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threadedComments/threadedComment1.xml" ContentType="application/vnd.ms-excel.threadedcomments+xml"/>
  <Override PartName="/xl/comments47.xml" ContentType="application/vnd.openxmlformats-officedocument.spreadsheetml.comments+xml"/>
  <Override PartName="/xl/threadedComments/threadedComment2.xml" ContentType="application/vnd.ms-excel.threadedcomments+xml"/>
  <Override PartName="/xl/comments48.xml" ContentType="application/vnd.openxmlformats-officedocument.spreadsheetml.comments+xml"/>
  <Override PartName="/xl/threadedComments/threadedComment3.xml" ContentType="application/vnd.ms-excel.threaded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54.xml" ContentType="application/vnd.openxmlformats-officedocument.spreadsheetml.comments+xml"/>
  <Override PartName="/xl/comments55.xml" ContentType="application/vnd.openxmlformats-officedocument.spreadsheetml.comments+xml"/>
  <Override PartName="/xl/comments56.xml" ContentType="application/vnd.openxmlformats-officedocument.spreadsheetml.comments+xml"/>
  <Override PartName="/xl/comments57.xml" ContentType="application/vnd.openxmlformats-officedocument.spreadsheetml.comments+xml"/>
  <Override PartName="/xl/comments58.xml" ContentType="application/vnd.openxmlformats-officedocument.spreadsheetml.comments+xml"/>
  <Override PartName="/xl/comments59.xml" ContentType="application/vnd.openxmlformats-officedocument.spreadsheetml.comments+xml"/>
  <Override PartName="/xl/comments60.xml" ContentType="application/vnd.openxmlformats-officedocument.spreadsheetml.comments+xml"/>
  <Override PartName="/xl/comments61.xml" ContentType="application/vnd.openxmlformats-officedocument.spreadsheetml.comments+xml"/>
  <Override PartName="/xl/comments62.xml" ContentType="application/vnd.openxmlformats-officedocument.spreadsheetml.comments+xml"/>
  <Override PartName="/xl/comments63.xml" ContentType="application/vnd.openxmlformats-officedocument.spreadsheetml.comments+xml"/>
  <Override PartName="/xl/comments64.xml" ContentType="application/vnd.openxmlformats-officedocument.spreadsheetml.comments+xml"/>
  <Override PartName="/xl/comments65.xml" ContentType="application/vnd.openxmlformats-officedocument.spreadsheetml.comments+xml"/>
  <Override PartName="/xl/comments66.xml" ContentType="application/vnd.openxmlformats-officedocument.spreadsheetml.comments+xml"/>
  <Override PartName="/xl/comments67.xml" ContentType="application/vnd.openxmlformats-officedocument.spreadsheetml.comments+xml"/>
  <Override PartName="/xl/comments68.xml" ContentType="application/vnd.openxmlformats-officedocument.spreadsheetml.comments+xml"/>
  <Override PartName="/xl/comments69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ing\Financial Statements\Operating Statements\FY 2021-2022\02 August\"/>
    </mc:Choice>
  </mc:AlternateContent>
  <xr:revisionPtr revIDLastSave="0" documentId="13_ncr:1_{70594ADB-E8A7-4E30-A3DD-FAC61BA3E07E}" xr6:coauthVersionLast="47" xr6:coauthVersionMax="47" xr10:uidLastSave="{00000000-0000-0000-0000-000000000000}"/>
  <bookViews>
    <workbookView xWindow="-120" yWindow="-120" windowWidth="29040" windowHeight="15840" tabRatio="763" firstSheet="46" activeTab="46" xr2:uid="{00000000-000D-0000-FFFF-FFFF00000000}"/>
  </bookViews>
  <sheets>
    <sheet name="Instructions" sheetId="59" state="hidden" r:id="rId1"/>
    <sheet name="June 2016 Post-audit" sheetId="180" state="hidden" r:id="rId2"/>
    <sheet name="FY2016-17 Budget" sheetId="181" state="hidden" r:id="rId3"/>
    <sheet name="July 2016" sheetId="182" state="hidden" r:id="rId4"/>
    <sheet name="Aug 2016" sheetId="183" state="hidden" r:id="rId5"/>
    <sheet name="Sept 2016" sheetId="184" state="hidden" r:id="rId6"/>
    <sheet name="Oct 2016" sheetId="185" state="hidden" r:id="rId7"/>
    <sheet name="Nov 2016" sheetId="186" state="hidden" r:id="rId8"/>
    <sheet name="Dec 2016" sheetId="187" state="hidden" r:id="rId9"/>
    <sheet name="Jan 2017" sheetId="188" state="hidden" r:id="rId10"/>
    <sheet name="Feb 2017" sheetId="189" state="hidden" r:id="rId11"/>
    <sheet name="Mar 2017" sheetId="190" state="hidden" r:id="rId12"/>
    <sheet name="April 2017" sheetId="191" state="hidden" r:id="rId13"/>
    <sheet name="May 2017" sheetId="193" state="hidden" r:id="rId14"/>
    <sheet name="June 2017 Pre-Audit" sheetId="194" state="hidden" r:id="rId15"/>
    <sheet name="June 2017 Post-Audit" sheetId="192" state="hidden" r:id="rId16"/>
    <sheet name="FY 2017-18 Budget" sheetId="195" state="hidden" r:id="rId17"/>
    <sheet name="July 2017" sheetId="196" state="hidden" r:id="rId18"/>
    <sheet name="Aug 2017" sheetId="197" state="hidden" r:id="rId19"/>
    <sheet name="Sept 2017" sheetId="198" state="hidden" r:id="rId20"/>
    <sheet name="Oct 2017" sheetId="199" state="hidden" r:id="rId21"/>
    <sheet name="Nov 2017" sheetId="200" state="hidden" r:id="rId22"/>
    <sheet name="Dec 2017" sheetId="201" state="hidden" r:id="rId23"/>
    <sheet name="Jan 2018" sheetId="202" state="hidden" r:id="rId24"/>
    <sheet name="Feb 2018" sheetId="203" state="hidden" r:id="rId25"/>
    <sheet name="Mar  2018" sheetId="204" state="hidden" r:id="rId26"/>
    <sheet name="Apr 2018" sheetId="205" state="hidden" r:id="rId27"/>
    <sheet name="May 2018" sheetId="206" state="hidden" r:id="rId28"/>
    <sheet name="June 2018 Preaudit" sheetId="207" state="hidden" r:id="rId29"/>
    <sheet name="June 2018 Post-audit" sheetId="208" state="hidden" r:id="rId30"/>
    <sheet name="FY 2018-2019 Budget" sheetId="209" state="hidden" r:id="rId31"/>
    <sheet name="July 2018" sheetId="211" state="hidden" r:id="rId32"/>
    <sheet name="August 2018" sheetId="212" state="hidden" r:id="rId33"/>
    <sheet name="September 2018" sheetId="213" state="hidden" r:id="rId34"/>
    <sheet name="October 2018" sheetId="214" state="hidden" r:id="rId35"/>
    <sheet name="November 2018" sheetId="215" state="hidden" r:id="rId36"/>
    <sheet name="December 2018" sheetId="216" state="hidden" r:id="rId37"/>
    <sheet name="January 2019" sheetId="217" state="hidden" r:id="rId38"/>
    <sheet name="March 2019" sheetId="219" state="hidden" r:id="rId39"/>
    <sheet name="April 2019" sheetId="220" state="hidden" r:id="rId40"/>
    <sheet name="Budget FY 2019-20" sheetId="221" state="hidden" r:id="rId41"/>
    <sheet name="July 2019" sheetId="222" state="hidden" r:id="rId42"/>
    <sheet name="Aug 2019" sheetId="223" state="hidden" r:id="rId43"/>
    <sheet name="Sept 2019" sheetId="224" state="hidden" r:id="rId44"/>
    <sheet name="Oct 2019" sheetId="225" state="hidden" r:id="rId45"/>
    <sheet name="Nov 2019" sheetId="226" state="hidden" r:id="rId46"/>
    <sheet name="Aug 2021" sheetId="250" r:id="rId47"/>
    <sheet name="July 2021" sheetId="249" state="hidden" r:id="rId48"/>
    <sheet name="FY 21-22 Budget" sheetId="248" state="hidden" r:id="rId49"/>
    <sheet name="June 2021 Final" sheetId="247" state="hidden" r:id="rId50"/>
    <sheet name="June 2021 Pre-Audit" sheetId="245" state="hidden" r:id="rId51"/>
    <sheet name="May 2021" sheetId="246" state="hidden" r:id="rId52"/>
    <sheet name="Apr 2021" sheetId="244" state="hidden" r:id="rId53"/>
    <sheet name="Mar 2021" sheetId="243" state="hidden" r:id="rId54"/>
    <sheet name="Feb 2021" sheetId="242" state="hidden" r:id="rId55"/>
    <sheet name="Jan 2021" sheetId="241" state="hidden" r:id="rId56"/>
    <sheet name="Dec 2020" sheetId="240" state="hidden" r:id="rId57"/>
    <sheet name="Nov 2020" sheetId="239" state="hidden" r:id="rId58"/>
    <sheet name="Oct 2020" sheetId="238" state="hidden" r:id="rId59"/>
    <sheet name="Sep 2020" sheetId="237" state="hidden" r:id="rId60"/>
    <sheet name="Aug 2020" sheetId="236" state="hidden" r:id="rId61"/>
    <sheet name="July 2020" sheetId="235" state="hidden" r:id="rId62"/>
    <sheet name="FY20-21 BUDGET" sheetId="234" state="hidden" r:id="rId63"/>
    <sheet name="June 2020 Pre-Audit" sheetId="232" state="hidden" r:id="rId64"/>
    <sheet name="May 2020" sheetId="231" state="hidden" r:id="rId65"/>
    <sheet name="Mar 2020" sheetId="230" state="hidden" r:id="rId66"/>
    <sheet name="Feb 2020" sheetId="229" state="hidden" r:id="rId67"/>
    <sheet name="February 2019" sheetId="218" state="hidden" r:id="rId68"/>
    <sheet name="Jan 2020" sheetId="228" state="hidden" r:id="rId69"/>
    <sheet name="Dec 2019" sheetId="227" state="hidden" r:id="rId70"/>
  </sheets>
  <definedNames>
    <definedName name="OSRRefD19_0x_1" localSheetId="52">'Apr 2021'!$E$20:$E$28</definedName>
    <definedName name="OSRRefD19_0x_1" localSheetId="60">'Aug 2020'!$E$20:$E$28</definedName>
    <definedName name="OSRRefD19_0x_1" localSheetId="46">'Aug 2021'!$E$20:$E$28</definedName>
    <definedName name="OSRRefD19_0x_1" localSheetId="56">'Dec 2020'!$E$20:$E$28</definedName>
    <definedName name="OSRRefD19_0x_1" localSheetId="54">'Feb 2021'!$E$20:$E$28</definedName>
    <definedName name="OSRRefD19_0x_1" localSheetId="48">'FY 21-22 Budget'!$E$20:$E$28</definedName>
    <definedName name="OSRRefD19_0x_1" localSheetId="62">'FY20-21 BUDGET'!$E$20:$E$28</definedName>
    <definedName name="OSRRefD19_0x_1" localSheetId="55">'Jan 2021'!$E$20:$E$28</definedName>
    <definedName name="OSRRefD19_0x_1" localSheetId="61">'July 2020'!$E$20:$E$28</definedName>
    <definedName name="OSRRefD19_0x_1" localSheetId="47">'July 2021'!$E$20:$E$28</definedName>
    <definedName name="OSRRefD19_0x_1" localSheetId="49">'June 2021 Final'!$E$20:$E$28</definedName>
    <definedName name="OSRRefD19_0x_1" localSheetId="50">'June 2021 Pre-Audit'!$E$20:$E$28</definedName>
    <definedName name="OSRRefD19_0x_1" localSheetId="53">'Mar 2021'!$E$20:$E$28</definedName>
    <definedName name="OSRRefD19_0x_1" localSheetId="51">'May 2021'!$E$20:$E$28</definedName>
    <definedName name="OSRRefD19_0x_1" localSheetId="57">'Nov 2020'!$E$20:$E$28</definedName>
    <definedName name="OSRRefD19_0x_1" localSheetId="58">'Oct 2020'!$E$20:$E$28</definedName>
    <definedName name="OSRRefD19_0x_1" localSheetId="59">'Sep 2020'!$E$20:$E$28</definedName>
    <definedName name="OSRRefD19_0x_10" localSheetId="52">'Apr 2021'!$N$20:$N$28</definedName>
    <definedName name="OSRRefD19_0x_10" localSheetId="60">'Aug 2020'!$N$20:$N$28</definedName>
    <definedName name="OSRRefD19_0x_10" localSheetId="46">'Aug 2021'!$N$20:$N$28</definedName>
    <definedName name="OSRRefD19_0x_10" localSheetId="56">'Dec 2020'!$N$20:$N$28</definedName>
    <definedName name="OSRRefD19_0x_10" localSheetId="54">'Feb 2021'!$N$20:$N$28</definedName>
    <definedName name="OSRRefD19_0x_10" localSheetId="48">'FY 21-22 Budget'!$N$20:$N$28</definedName>
    <definedName name="OSRRefD19_0x_10" localSheetId="62">'FY20-21 BUDGET'!$N$20:$N$28</definedName>
    <definedName name="OSRRefD19_0x_10" localSheetId="55">'Jan 2021'!$N$20:$N$28</definedName>
    <definedName name="OSRRefD19_0x_10" localSheetId="61">'July 2020'!$N$20:$N$28</definedName>
    <definedName name="OSRRefD19_0x_10" localSheetId="47">'July 2021'!$N$20:$N$28</definedName>
    <definedName name="OSRRefD19_0x_10" localSheetId="49">'June 2021 Final'!$N$20:$N$28</definedName>
    <definedName name="OSRRefD19_0x_10" localSheetId="50">'June 2021 Pre-Audit'!$N$20:$N$28</definedName>
    <definedName name="OSRRefD19_0x_10" localSheetId="53">'Mar 2021'!$N$20:$N$28</definedName>
    <definedName name="OSRRefD19_0x_10" localSheetId="51">'May 2021'!$N$20:$N$28</definedName>
    <definedName name="OSRRefD19_0x_10" localSheetId="57">'Nov 2020'!$N$20:$N$28</definedName>
    <definedName name="OSRRefD19_0x_10" localSheetId="58">'Oct 2020'!$N$20:$N$28</definedName>
    <definedName name="OSRRefD19_0x_10" localSheetId="59">'Sep 2020'!$N$20:$N$28</definedName>
    <definedName name="OSRRefD19_0x_11" localSheetId="52">'Apr 2021'!$O$20:$O$28</definedName>
    <definedName name="OSRRefD19_0x_11" localSheetId="60">'Aug 2020'!$O$20:$O$28</definedName>
    <definedName name="OSRRefD19_0x_11" localSheetId="46">'Aug 2021'!$O$20:$O$28</definedName>
    <definedName name="OSRRefD19_0x_11" localSheetId="56">'Dec 2020'!$O$20:$O$28</definedName>
    <definedName name="OSRRefD19_0x_11" localSheetId="54">'Feb 2021'!$O$20:$O$28</definedName>
    <definedName name="OSRRefD19_0x_11" localSheetId="48">'FY 21-22 Budget'!$O$20:$O$28</definedName>
    <definedName name="OSRRefD19_0x_11" localSheetId="62">'FY20-21 BUDGET'!$O$20:$O$28</definedName>
    <definedName name="OSRRefD19_0x_11" localSheetId="55">'Jan 2021'!$O$20:$O$28</definedName>
    <definedName name="OSRRefD19_0x_11" localSheetId="61">'July 2020'!$O$20:$O$28</definedName>
    <definedName name="OSRRefD19_0x_11" localSheetId="47">'July 2021'!$O$20:$O$28</definedName>
    <definedName name="OSRRefD19_0x_11" localSheetId="49">'June 2021 Final'!$O$20:$O$28</definedName>
    <definedName name="OSRRefD19_0x_11" localSheetId="50">'June 2021 Pre-Audit'!$O$20:$O$28</definedName>
    <definedName name="OSRRefD19_0x_11" localSheetId="53">'Mar 2021'!$O$20:$O$28</definedName>
    <definedName name="OSRRefD19_0x_11" localSheetId="51">'May 2021'!$O$20:$O$28</definedName>
    <definedName name="OSRRefD19_0x_11" localSheetId="57">'Nov 2020'!$O$20:$O$28</definedName>
    <definedName name="OSRRefD19_0x_11" localSheetId="58">'Oct 2020'!$O$20:$O$28</definedName>
    <definedName name="OSRRefD19_0x_11" localSheetId="59">'Sep 2020'!$O$20:$O$28</definedName>
    <definedName name="OSRRefD19_0x_2" localSheetId="52">'Apr 2021'!$F$20:$F$28</definedName>
    <definedName name="OSRRefD19_0x_2" localSheetId="60">'Aug 2020'!$F$20:$F$28</definedName>
    <definedName name="OSRRefD19_0x_2" localSheetId="46">'Aug 2021'!$F$20:$F$28</definedName>
    <definedName name="OSRRefD19_0x_2" localSheetId="56">'Dec 2020'!$F$20:$F$28</definedName>
    <definedName name="OSRRefD19_0x_2" localSheetId="54">'Feb 2021'!$F$20:$F$28</definedName>
    <definedName name="OSRRefD19_0x_2" localSheetId="48">'FY 21-22 Budget'!$F$20:$F$28</definedName>
    <definedName name="OSRRefD19_0x_2" localSheetId="62">'FY20-21 BUDGET'!$F$20:$F$28</definedName>
    <definedName name="OSRRefD19_0x_2" localSheetId="55">'Jan 2021'!$F$20:$F$28</definedName>
    <definedName name="OSRRefD19_0x_2" localSheetId="61">'July 2020'!$F$20:$F$28</definedName>
    <definedName name="OSRRefD19_0x_2" localSheetId="47">'July 2021'!$F$20:$F$28</definedName>
    <definedName name="OSRRefD19_0x_2" localSheetId="49">'June 2021 Final'!$F$20:$F$28</definedName>
    <definedName name="OSRRefD19_0x_2" localSheetId="50">'June 2021 Pre-Audit'!$F$20:$F$28</definedName>
    <definedName name="OSRRefD19_0x_2" localSheetId="53">'Mar 2021'!$F$20:$F$28</definedName>
    <definedName name="OSRRefD19_0x_2" localSheetId="51">'May 2021'!$F$20:$F$28</definedName>
    <definedName name="OSRRefD19_0x_2" localSheetId="57">'Nov 2020'!$F$20:$F$28</definedName>
    <definedName name="OSRRefD19_0x_2" localSheetId="58">'Oct 2020'!$F$20:$F$28</definedName>
    <definedName name="OSRRefD19_0x_2" localSheetId="59">'Sep 2020'!$F$20:$F$28</definedName>
    <definedName name="OSRRefD19_0x_3" localSheetId="52">'Apr 2021'!$G$20:$G$28</definedName>
    <definedName name="OSRRefD19_0x_3" localSheetId="60">'Aug 2020'!$G$20:$G$28</definedName>
    <definedName name="OSRRefD19_0x_3" localSheetId="46">'Aug 2021'!$G$20:$G$28</definedName>
    <definedName name="OSRRefD19_0x_3" localSheetId="56">'Dec 2020'!$G$20:$G$28</definedName>
    <definedName name="OSRRefD19_0x_3" localSheetId="54">'Feb 2021'!$G$20:$G$28</definedName>
    <definedName name="OSRRefD19_0x_3" localSheetId="48">'FY 21-22 Budget'!$G$20:$G$28</definedName>
    <definedName name="OSRRefD19_0x_3" localSheetId="62">'FY20-21 BUDGET'!$G$20:$G$28</definedName>
    <definedName name="OSRRefD19_0x_3" localSheetId="55">'Jan 2021'!$G$20:$G$28</definedName>
    <definedName name="OSRRefD19_0x_3" localSheetId="61">'July 2020'!$G$20:$G$28</definedName>
    <definedName name="OSRRefD19_0x_3" localSheetId="47">'July 2021'!$G$20:$G$28</definedName>
    <definedName name="OSRRefD19_0x_3" localSheetId="49">'June 2021 Final'!$G$20:$G$28</definedName>
    <definedName name="OSRRefD19_0x_3" localSheetId="50">'June 2021 Pre-Audit'!$G$20:$G$28</definedName>
    <definedName name="OSRRefD19_0x_3" localSheetId="53">'Mar 2021'!$G$20:$G$28</definedName>
    <definedName name="OSRRefD19_0x_3" localSheetId="51">'May 2021'!$G$20:$G$28</definedName>
    <definedName name="OSRRefD19_0x_3" localSheetId="57">'Nov 2020'!$G$20:$G$28</definedName>
    <definedName name="OSRRefD19_0x_3" localSheetId="58">'Oct 2020'!$G$20:$G$28</definedName>
    <definedName name="OSRRefD19_0x_3" localSheetId="59">'Sep 2020'!$G$20:$G$28</definedName>
    <definedName name="OSRRefD19_0x_4" localSheetId="52">'Apr 2021'!$H$20:$H$28</definedName>
    <definedName name="OSRRefD19_0x_4" localSheetId="60">'Aug 2020'!$H$20:$H$28</definedName>
    <definedName name="OSRRefD19_0x_4" localSheetId="46">'Aug 2021'!$H$20:$H$28</definedName>
    <definedName name="OSRRefD19_0x_4" localSheetId="56">'Dec 2020'!$H$20:$H$28</definedName>
    <definedName name="OSRRefD19_0x_4" localSheetId="54">'Feb 2021'!$H$20:$H$28</definedName>
    <definedName name="OSRRefD19_0x_4" localSheetId="48">'FY 21-22 Budget'!$H$20:$H$28</definedName>
    <definedName name="OSRRefD19_0x_4" localSheetId="62">'FY20-21 BUDGET'!$H$20:$H$28</definedName>
    <definedName name="OSRRefD19_0x_4" localSheetId="55">'Jan 2021'!$H$20:$H$28</definedName>
    <definedName name="OSRRefD19_0x_4" localSheetId="61">'July 2020'!$H$20:$H$28</definedName>
    <definedName name="OSRRefD19_0x_4" localSheetId="47">'July 2021'!$H$20:$H$28</definedName>
    <definedName name="OSRRefD19_0x_4" localSheetId="49">'June 2021 Final'!$H$20:$H$28</definedName>
    <definedName name="OSRRefD19_0x_4" localSheetId="50">'June 2021 Pre-Audit'!$H$20:$H$28</definedName>
    <definedName name="OSRRefD19_0x_4" localSheetId="53">'Mar 2021'!$H$20:$H$28</definedName>
    <definedName name="OSRRefD19_0x_4" localSheetId="51">'May 2021'!$H$20:$H$28</definedName>
    <definedName name="OSRRefD19_0x_4" localSheetId="57">'Nov 2020'!$H$20:$H$28</definedName>
    <definedName name="OSRRefD19_0x_4" localSheetId="58">'Oct 2020'!$H$20:$H$28</definedName>
    <definedName name="OSRRefD19_0x_4" localSheetId="59">'Sep 2020'!$H$20:$H$28</definedName>
    <definedName name="OSRRefD19_0x_5" localSheetId="52">'Apr 2021'!$I$20:$I$28</definedName>
    <definedName name="OSRRefD19_0x_5" localSheetId="60">'Aug 2020'!$I$20:$I$28</definedName>
    <definedName name="OSRRefD19_0x_5" localSheetId="46">'Aug 2021'!$I$20:$I$28</definedName>
    <definedName name="OSRRefD19_0x_5" localSheetId="56">'Dec 2020'!$I$20:$I$28</definedName>
    <definedName name="OSRRefD19_0x_5" localSheetId="54">'Feb 2021'!$I$20:$I$28</definedName>
    <definedName name="OSRRefD19_0x_5" localSheetId="48">'FY 21-22 Budget'!$I$20:$I$28</definedName>
    <definedName name="OSRRefD19_0x_5" localSheetId="62">'FY20-21 BUDGET'!$I$20:$I$28</definedName>
    <definedName name="OSRRefD19_0x_5" localSheetId="55">'Jan 2021'!$I$20:$I$28</definedName>
    <definedName name="OSRRefD19_0x_5" localSheetId="61">'July 2020'!$I$20:$I$28</definedName>
    <definedName name="OSRRefD19_0x_5" localSheetId="47">'July 2021'!$I$20:$I$28</definedName>
    <definedName name="OSRRefD19_0x_5" localSheetId="49">'June 2021 Final'!$I$20:$I$28</definedName>
    <definedName name="OSRRefD19_0x_5" localSheetId="50">'June 2021 Pre-Audit'!$I$20:$I$28</definedName>
    <definedName name="OSRRefD19_0x_5" localSheetId="53">'Mar 2021'!$I$20:$I$28</definedName>
    <definedName name="OSRRefD19_0x_5" localSheetId="51">'May 2021'!$I$20:$I$28</definedName>
    <definedName name="OSRRefD19_0x_5" localSheetId="57">'Nov 2020'!$I$20:$I$28</definedName>
    <definedName name="OSRRefD19_0x_5" localSheetId="58">'Oct 2020'!$I$20:$I$28</definedName>
    <definedName name="OSRRefD19_0x_5" localSheetId="59">'Sep 2020'!$I$20:$I$28</definedName>
    <definedName name="OSRRefD19_0x_6" localSheetId="52">'Apr 2021'!$J$20:$J$28</definedName>
    <definedName name="OSRRefD19_0x_6" localSheetId="60">'Aug 2020'!$J$20:$J$28</definedName>
    <definedName name="OSRRefD19_0x_6" localSheetId="46">'Aug 2021'!$J$20:$J$28</definedName>
    <definedName name="OSRRefD19_0x_6" localSheetId="56">'Dec 2020'!$J$20:$J$28</definedName>
    <definedName name="OSRRefD19_0x_6" localSheetId="54">'Feb 2021'!$J$20:$J$28</definedName>
    <definedName name="OSRRefD19_0x_6" localSheetId="48">'FY 21-22 Budget'!$J$20:$J$28</definedName>
    <definedName name="OSRRefD19_0x_6" localSheetId="62">'FY20-21 BUDGET'!$J$20:$J$28</definedName>
    <definedName name="OSRRefD19_0x_6" localSheetId="55">'Jan 2021'!$J$20:$J$28</definedName>
    <definedName name="OSRRefD19_0x_6" localSheetId="61">'July 2020'!$J$20:$J$28</definedName>
    <definedName name="OSRRefD19_0x_6" localSheetId="47">'July 2021'!$J$20:$J$28</definedName>
    <definedName name="OSRRefD19_0x_6" localSheetId="49">'June 2021 Final'!$J$20:$J$28</definedName>
    <definedName name="OSRRefD19_0x_6" localSheetId="50">'June 2021 Pre-Audit'!$J$20:$J$28</definedName>
    <definedName name="OSRRefD19_0x_6" localSheetId="53">'Mar 2021'!$J$20:$J$28</definedName>
    <definedName name="OSRRefD19_0x_6" localSheetId="51">'May 2021'!$J$20:$J$28</definedName>
    <definedName name="OSRRefD19_0x_6" localSheetId="57">'Nov 2020'!$J$20:$J$28</definedName>
    <definedName name="OSRRefD19_0x_6" localSheetId="58">'Oct 2020'!$J$20:$J$28</definedName>
    <definedName name="OSRRefD19_0x_6" localSheetId="59">'Sep 2020'!$J$20:$J$28</definedName>
    <definedName name="OSRRefD19_0x_7" localSheetId="52">'Apr 2021'!$K$20:$K$28</definedName>
    <definedName name="OSRRefD19_0x_7" localSheetId="60">'Aug 2020'!$K$20:$K$28</definedName>
    <definedName name="OSRRefD19_0x_7" localSheetId="46">'Aug 2021'!$K$20:$K$28</definedName>
    <definedName name="OSRRefD19_0x_7" localSheetId="56">'Dec 2020'!$K$20:$K$28</definedName>
    <definedName name="OSRRefD19_0x_7" localSheetId="54">'Feb 2021'!$K$20:$K$28</definedName>
    <definedName name="OSRRefD19_0x_7" localSheetId="48">'FY 21-22 Budget'!$K$20:$K$28</definedName>
    <definedName name="OSRRefD19_0x_7" localSheetId="62">'FY20-21 BUDGET'!$K$20:$K$28</definedName>
    <definedName name="OSRRefD19_0x_7" localSheetId="55">'Jan 2021'!$K$20:$K$28</definedName>
    <definedName name="OSRRefD19_0x_7" localSheetId="61">'July 2020'!$K$20:$K$28</definedName>
    <definedName name="OSRRefD19_0x_7" localSheetId="47">'July 2021'!$K$20:$K$28</definedName>
    <definedName name="OSRRefD19_0x_7" localSheetId="49">'June 2021 Final'!$K$20:$K$28</definedName>
    <definedName name="OSRRefD19_0x_7" localSheetId="50">'June 2021 Pre-Audit'!$K$20:$K$28</definedName>
    <definedName name="OSRRefD19_0x_7" localSheetId="53">'Mar 2021'!$K$20:$K$28</definedName>
    <definedName name="OSRRefD19_0x_7" localSheetId="51">'May 2021'!$K$20:$K$28</definedName>
    <definedName name="OSRRefD19_0x_7" localSheetId="57">'Nov 2020'!$K$20:$K$28</definedName>
    <definedName name="OSRRefD19_0x_7" localSheetId="58">'Oct 2020'!$K$20:$K$28</definedName>
    <definedName name="OSRRefD19_0x_7" localSheetId="59">'Sep 2020'!$K$20:$K$28</definedName>
    <definedName name="OSRRefD19_0x_8" localSheetId="52">'Apr 2021'!$L$20:$L$28</definedName>
    <definedName name="OSRRefD19_0x_8" localSheetId="60">'Aug 2020'!$L$20:$L$28</definedName>
    <definedName name="OSRRefD19_0x_8" localSheetId="46">'Aug 2021'!$L$20:$L$28</definedName>
    <definedName name="OSRRefD19_0x_8" localSheetId="56">'Dec 2020'!$L$20:$L$28</definedName>
    <definedName name="OSRRefD19_0x_8" localSheetId="54">'Feb 2021'!$L$20:$L$28</definedName>
    <definedName name="OSRRefD19_0x_8" localSheetId="48">'FY 21-22 Budget'!$L$20:$L$28</definedName>
    <definedName name="OSRRefD19_0x_8" localSheetId="62">'FY20-21 BUDGET'!$L$20:$L$28</definedName>
    <definedName name="OSRRefD19_0x_8" localSheetId="55">'Jan 2021'!$L$20:$L$28</definedName>
    <definedName name="OSRRefD19_0x_8" localSheetId="61">'July 2020'!$L$20:$L$28</definedName>
    <definedName name="OSRRefD19_0x_8" localSheetId="47">'July 2021'!$L$20:$L$28</definedName>
    <definedName name="OSRRefD19_0x_8" localSheetId="49">'June 2021 Final'!$L$20:$L$28</definedName>
    <definedName name="OSRRefD19_0x_8" localSheetId="50">'June 2021 Pre-Audit'!$L$20:$L$28</definedName>
    <definedName name="OSRRefD19_0x_8" localSheetId="53">'Mar 2021'!$L$20:$L$28</definedName>
    <definedName name="OSRRefD19_0x_8" localSheetId="51">'May 2021'!$L$20:$L$28</definedName>
    <definedName name="OSRRefD19_0x_8" localSheetId="57">'Nov 2020'!$L$20:$L$28</definedName>
    <definedName name="OSRRefD19_0x_8" localSheetId="58">'Oct 2020'!$L$20:$L$28</definedName>
    <definedName name="OSRRefD19_0x_8" localSheetId="59">'Sep 2020'!$L$20:$L$28</definedName>
    <definedName name="OSRRefD19_0x_9" localSheetId="52">'Apr 2021'!$M$20:$M$28</definedName>
    <definedName name="OSRRefD19_0x_9" localSheetId="60">'Aug 2020'!$M$20:$M$28</definedName>
    <definedName name="OSRRefD19_0x_9" localSheetId="46">'Aug 2021'!$M$20:$M$28</definedName>
    <definedName name="OSRRefD19_0x_9" localSheetId="56">'Dec 2020'!$M$20:$M$28</definedName>
    <definedName name="OSRRefD19_0x_9" localSheetId="54">'Feb 2021'!$M$20:$M$28</definedName>
    <definedName name="OSRRefD19_0x_9" localSheetId="48">'FY 21-22 Budget'!$M$20:$M$28</definedName>
    <definedName name="OSRRefD19_0x_9" localSheetId="62">'FY20-21 BUDGET'!$M$20:$M$28</definedName>
    <definedName name="OSRRefD19_0x_9" localSheetId="55">'Jan 2021'!$M$20:$M$28</definedName>
    <definedName name="OSRRefD19_0x_9" localSheetId="61">'July 2020'!$M$20:$M$28</definedName>
    <definedName name="OSRRefD19_0x_9" localSheetId="47">'July 2021'!$M$20:$M$28</definedName>
    <definedName name="OSRRefD19_0x_9" localSheetId="49">'June 2021 Final'!$M$20:$M$28</definedName>
    <definedName name="OSRRefD19_0x_9" localSheetId="50">'June 2021 Pre-Audit'!$M$20:$M$28</definedName>
    <definedName name="OSRRefD19_0x_9" localSheetId="53">'Mar 2021'!$M$20:$M$28</definedName>
    <definedName name="OSRRefD19_0x_9" localSheetId="51">'May 2021'!$M$20:$M$28</definedName>
    <definedName name="OSRRefD19_0x_9" localSheetId="57">'Nov 2020'!$M$20:$M$28</definedName>
    <definedName name="OSRRefD19_0x_9" localSheetId="58">'Oct 2020'!$M$20:$M$28</definedName>
    <definedName name="OSRRefD19_0x_9" localSheetId="59">'Sep 2020'!$M$20:$M$28</definedName>
    <definedName name="OSRRefD29_0x" localSheetId="52">'Apr 2021'!$D$25:$N$25</definedName>
    <definedName name="OSRRefD29_0x" localSheetId="39">'April 2019'!$D$25:$O$25</definedName>
    <definedName name="OSRRefD29_0x" localSheetId="42">'Aug 2019'!$D$25:$O$25</definedName>
    <definedName name="OSRRefD29_0x" localSheetId="60">'Aug 2020'!$D$25:$N$25</definedName>
    <definedName name="OSRRefD29_0x" localSheetId="46">'Aug 2021'!$D$25:$N$25</definedName>
    <definedName name="OSRRefD29_0x" localSheetId="32">'August 2018'!$D$25:$O$25</definedName>
    <definedName name="OSRRefD29_0x" localSheetId="40">'Budget FY 2019-20'!$D$25:$O$25</definedName>
    <definedName name="OSRRefD29_0x" localSheetId="69">'Dec 2019'!$D$25:$O$25</definedName>
    <definedName name="OSRRefD29_0x" localSheetId="56">'Dec 2020'!$D$25:$N$25</definedName>
    <definedName name="OSRRefD29_0x" localSheetId="36">'December 2018'!$D$25:$O$25</definedName>
    <definedName name="OSRRefD29_0x" localSheetId="66">'Feb 2020'!$D$25:$O$25</definedName>
    <definedName name="OSRRefD29_0x" localSheetId="54">'Feb 2021'!$D$25:$N$25</definedName>
    <definedName name="OSRRefD29_0x" localSheetId="67">'February 2019'!$D$25:$O$25</definedName>
    <definedName name="OSRRefD29_0x" localSheetId="30">'FY 2018-2019 Budget'!$D$25:$O$25</definedName>
    <definedName name="OSRRefD29_0x" localSheetId="48">'FY 21-22 Budget'!$D$25:$N$25</definedName>
    <definedName name="OSRRefD29_0x" localSheetId="62">'FY20-21 BUDGET'!$D$25:$N$25</definedName>
    <definedName name="OSRRefD29_0x" localSheetId="68">'Jan 2020'!$D$25:$O$25</definedName>
    <definedName name="OSRRefD29_0x" localSheetId="55">'Jan 2021'!$D$25:$N$25</definedName>
    <definedName name="OSRRefD29_0x" localSheetId="37">'January 2019'!$D$25:$O$25</definedName>
    <definedName name="OSRRefD29_0x" localSheetId="31">'July 2018'!$D$25:$O$25</definedName>
    <definedName name="OSRRefD29_0x" localSheetId="41">'July 2019'!$D$25:$O$25</definedName>
    <definedName name="OSRRefD29_0x" localSheetId="61">'July 2020'!$D$25:$N$25</definedName>
    <definedName name="OSRRefD29_0x" localSheetId="47">'July 2021'!$D$25:$N$25</definedName>
    <definedName name="OSRRefD29_0x" localSheetId="63">'June 2020 Pre-Audit'!$D$25:$N$25</definedName>
    <definedName name="OSRRefD29_0x" localSheetId="49">'June 2021 Final'!$D$25:$N$25</definedName>
    <definedName name="OSRRefD29_0x" localSheetId="50">'June 2021 Pre-Audit'!$D$25:$N$25</definedName>
    <definedName name="OSRRefD29_0x" localSheetId="65">'Mar 2020'!$D$25:$N$25</definedName>
    <definedName name="OSRRefD29_0x" localSheetId="53">'Mar 2021'!$D$25:$N$25</definedName>
    <definedName name="OSRRefD29_0x" localSheetId="38">'March 2019'!$D$25:$O$25</definedName>
    <definedName name="OSRRefD29_0x" localSheetId="64">'May 2020'!$D$25:$N$25</definedName>
    <definedName name="OSRRefD29_0x" localSheetId="51">'May 2021'!$D$25:$N$25</definedName>
    <definedName name="OSRRefD29_0x" localSheetId="45">'Nov 2019'!$D$25:$O$25</definedName>
    <definedName name="OSRRefD29_0x" localSheetId="57">'Nov 2020'!$D$25:$N$25</definedName>
    <definedName name="OSRRefD29_0x" localSheetId="35">'November 2018'!$D$25:$O$25</definedName>
    <definedName name="OSRRefD29_0x" localSheetId="44">'Oct 2019'!$D$25:$O$25</definedName>
    <definedName name="OSRRefD29_0x" localSheetId="58">'Oct 2020'!$D$25:$N$25</definedName>
    <definedName name="OSRRefD29_0x" localSheetId="34">'October 2018'!$D$25:$O$25</definedName>
    <definedName name="OSRRefD29_0x" localSheetId="59">'Sep 2020'!$D$25:$N$25</definedName>
    <definedName name="OSRRefD29_0x" localSheetId="43">'Sept 2019'!$D$25:$O$25</definedName>
    <definedName name="OSRRefD29_0x" localSheetId="33">'September 2018'!$D$25:$O$25</definedName>
    <definedName name="OSRRefD30_0x" localSheetId="52">'Apr 2021'!$D$26:$N$26</definedName>
    <definedName name="OSRRefD30_0x" localSheetId="39">'April 2019'!$D$26:$O$26</definedName>
    <definedName name="OSRRefD30_0x" localSheetId="42">'Aug 2019'!$D$26:$O$26</definedName>
    <definedName name="OSRRefD30_0x" localSheetId="60">'Aug 2020'!$D$26:$N$26</definedName>
    <definedName name="OSRRefD30_0x" localSheetId="46">'Aug 2021'!$D$26:$N$26</definedName>
    <definedName name="OSRRefD30_0x" localSheetId="32">'August 2018'!$D$26:$O$26</definedName>
    <definedName name="OSRRefD30_0x" localSheetId="40">'Budget FY 2019-20'!$D$26:$O$26</definedName>
    <definedName name="OSRRefD30_0x" localSheetId="69">'Dec 2019'!$D$26:$O$26</definedName>
    <definedName name="OSRRefD30_0x" localSheetId="56">'Dec 2020'!$D$26:$N$26</definedName>
    <definedName name="OSRRefD30_0x" localSheetId="36">'December 2018'!$D$26:$O$26</definedName>
    <definedName name="OSRRefD30_0x" localSheetId="66">'Feb 2020'!$D$26:$O$26</definedName>
    <definedName name="OSRRefD30_0x" localSheetId="54">'Feb 2021'!$D$26:$N$26</definedName>
    <definedName name="OSRRefD30_0x" localSheetId="67">'February 2019'!$D$26:$O$26</definedName>
    <definedName name="OSRRefD30_0x" localSheetId="30">'FY 2018-2019 Budget'!$D$26:$O$26</definedName>
    <definedName name="OSRRefD30_0x" localSheetId="48">'FY 21-22 Budget'!$D$26:$N$26</definedName>
    <definedName name="OSRRefD30_0x" localSheetId="62">'FY20-21 BUDGET'!$D$26:$N$26</definedName>
    <definedName name="OSRRefD30_0x" localSheetId="68">'Jan 2020'!$D$26:$O$26</definedName>
    <definedName name="OSRRefD30_0x" localSheetId="55">'Jan 2021'!$D$26:$N$26</definedName>
    <definedName name="OSRRefD30_0x" localSheetId="37">'January 2019'!$D$26:$O$26</definedName>
    <definedName name="OSRRefD30_0x" localSheetId="31">'July 2018'!$D$26:$O$26</definedName>
    <definedName name="OSRRefD30_0x" localSheetId="41">'July 2019'!$D$26:$O$26</definedName>
    <definedName name="OSRRefD30_0x" localSheetId="61">'July 2020'!$D$26:$N$26</definedName>
    <definedName name="OSRRefD30_0x" localSheetId="47">'July 2021'!$D$26:$N$26</definedName>
    <definedName name="OSRRefD30_0x" localSheetId="63">'June 2020 Pre-Audit'!$D$26:$N$26</definedName>
    <definedName name="OSRRefD30_0x" localSheetId="49">'June 2021 Final'!$D$26:$N$26</definedName>
    <definedName name="OSRRefD30_0x" localSheetId="50">'June 2021 Pre-Audit'!$D$26:$N$26</definedName>
    <definedName name="OSRRefD30_0x" localSheetId="65">'Mar 2020'!$D$26:$N$26</definedName>
    <definedName name="OSRRefD30_0x" localSheetId="53">'Mar 2021'!$D$26:$N$26</definedName>
    <definedName name="OSRRefD30_0x" localSheetId="38">'March 2019'!$D$26:$O$26</definedName>
    <definedName name="OSRRefD30_0x" localSheetId="64">'May 2020'!$D$26:$N$26</definedName>
    <definedName name="OSRRefD30_0x" localSheetId="51">'May 2021'!$D$26:$N$26</definedName>
    <definedName name="OSRRefD30_0x" localSheetId="45">'Nov 2019'!$D$26:$O$26</definedName>
    <definedName name="OSRRefD30_0x" localSheetId="57">'Nov 2020'!$D$26:$N$26</definedName>
    <definedName name="OSRRefD30_0x" localSheetId="35">'November 2018'!$D$26:$O$26</definedName>
    <definedName name="OSRRefD30_0x" localSheetId="44">'Oct 2019'!$D$26:$O$26</definedName>
    <definedName name="OSRRefD30_0x" localSheetId="58">'Oct 2020'!$D$26:$N$26</definedName>
    <definedName name="OSRRefD30_0x" localSheetId="34">'October 2018'!$D$26:$O$26</definedName>
    <definedName name="OSRRefD30_0x" localSheetId="59">'Sep 2020'!$D$26:$N$26</definedName>
    <definedName name="OSRRefD30_0x" localSheetId="43">'Sept 2019'!$D$26:$O$26</definedName>
    <definedName name="OSRRefD30_0x" localSheetId="33">'September 2018'!$D$26:$O$26</definedName>
    <definedName name="_xlnm.Print_Area" localSheetId="26">'Apr 2018'!$A$1:$N$64</definedName>
    <definedName name="_xlnm.Print_Area" localSheetId="52">'Apr 2021'!$A$1:$N$64</definedName>
    <definedName name="_xlnm.Print_Area" localSheetId="12">'April 2017'!$A$1:$N$64</definedName>
    <definedName name="_xlnm.Print_Area" localSheetId="39">'April 2019'!$A$1:$N$64</definedName>
    <definedName name="_xlnm.Print_Area" localSheetId="4">'Aug 2016'!$A$1:$N$64</definedName>
    <definedName name="_xlnm.Print_Area" localSheetId="18">'Aug 2017'!$A$1:$N$64</definedName>
    <definedName name="_xlnm.Print_Area" localSheetId="42">'Aug 2019'!$A$1:$N$64</definedName>
    <definedName name="_xlnm.Print_Area" localSheetId="60">'Aug 2020'!$A$1:$N$64</definedName>
    <definedName name="_xlnm.Print_Area" localSheetId="46">'Aug 2021'!$A$1:$N$67</definedName>
    <definedName name="_xlnm.Print_Area" localSheetId="32">'August 2018'!$A$1:$N$64</definedName>
    <definedName name="_xlnm.Print_Area" localSheetId="40">'Budget FY 2019-20'!$A$1:$N$64</definedName>
    <definedName name="_xlnm.Print_Area" localSheetId="8">'Dec 2016'!$A$1:$N$64</definedName>
    <definedName name="_xlnm.Print_Area" localSheetId="22">'Dec 2017'!$A$1:$N$64</definedName>
    <definedName name="_xlnm.Print_Area" localSheetId="69">'Dec 2019'!$A$1:$N$64</definedName>
    <definedName name="_xlnm.Print_Area" localSheetId="56">'Dec 2020'!$A$1:$N$64</definedName>
    <definedName name="_xlnm.Print_Area" localSheetId="36">'December 2018'!$A$1:$N$64</definedName>
    <definedName name="_xlnm.Print_Area" localSheetId="10">'Feb 2017'!$A$1:$N$64</definedName>
    <definedName name="_xlnm.Print_Area" localSheetId="24">'Feb 2018'!$A$1:$N$64</definedName>
    <definedName name="_xlnm.Print_Area" localSheetId="66">'Feb 2020'!$A$1:$N$64</definedName>
    <definedName name="_xlnm.Print_Area" localSheetId="54">'Feb 2021'!$A$1:$N$64</definedName>
    <definedName name="_xlnm.Print_Area" localSheetId="67">'February 2019'!$A$1:$N$64</definedName>
    <definedName name="_xlnm.Print_Area" localSheetId="16">'FY 2017-18 Budget'!$A$1:$N$64</definedName>
    <definedName name="_xlnm.Print_Area" localSheetId="30">'FY 2018-2019 Budget'!$A$1:$N$64</definedName>
    <definedName name="_xlnm.Print_Area" localSheetId="48">'FY 21-22 Budget'!$A$1:$N$67</definedName>
    <definedName name="_xlnm.Print_Area" localSheetId="2">'FY2016-17 Budget'!$A$1:$N$64</definedName>
    <definedName name="_xlnm.Print_Area" localSheetId="62">'FY20-21 BUDGET'!$A$1:$N$64</definedName>
    <definedName name="_xlnm.Print_Area" localSheetId="9">'Jan 2017'!$A$1:$N$64</definedName>
    <definedName name="_xlnm.Print_Area" localSheetId="23">'Jan 2018'!$A$1:$N$64</definedName>
    <definedName name="_xlnm.Print_Area" localSheetId="68">'Jan 2020'!$A$1:$N$64</definedName>
    <definedName name="_xlnm.Print_Area" localSheetId="55">'Jan 2021'!$A$1:$N$64</definedName>
    <definedName name="_xlnm.Print_Area" localSheetId="37">'January 2019'!$A$1:$N$64</definedName>
    <definedName name="_xlnm.Print_Area" localSheetId="3">'July 2016'!$A$1:$N$64</definedName>
    <definedName name="_xlnm.Print_Area" localSheetId="17">'July 2017'!$A$1:$N$64</definedName>
    <definedName name="_xlnm.Print_Area" localSheetId="31">'July 2018'!$A$1:$N$64</definedName>
    <definedName name="_xlnm.Print_Area" localSheetId="41">'July 2019'!$A$1:$N$64</definedName>
    <definedName name="_xlnm.Print_Area" localSheetId="61">'July 2020'!$A$1:$N$64</definedName>
    <definedName name="_xlnm.Print_Area" localSheetId="47">'July 2021'!$A$1:$N$67</definedName>
    <definedName name="_xlnm.Print_Area" localSheetId="1">'June 2016 Post-audit'!$A$1:$N$63</definedName>
    <definedName name="_xlnm.Print_Area" localSheetId="15">'June 2017 Post-Audit'!$A$1:$N$64</definedName>
    <definedName name="_xlnm.Print_Area" localSheetId="14">'June 2017 Pre-Audit'!$A$1:$N$64</definedName>
    <definedName name="_xlnm.Print_Area" localSheetId="29">'June 2018 Post-audit'!$A$1:$N$64</definedName>
    <definedName name="_xlnm.Print_Area" localSheetId="28">'June 2018 Preaudit'!$A$1:$N$64</definedName>
    <definedName name="_xlnm.Print_Area" localSheetId="63">'June 2020 Pre-Audit'!$A$1:$N$64</definedName>
    <definedName name="_xlnm.Print_Area" localSheetId="49">'June 2021 Final'!$A$1:$N$67</definedName>
    <definedName name="_xlnm.Print_Area" localSheetId="50">'June 2021 Pre-Audit'!$A$1:$N$67</definedName>
    <definedName name="_xlnm.Print_Area" localSheetId="25">'Mar  2018'!$A$1:$N$64</definedName>
    <definedName name="_xlnm.Print_Area" localSheetId="11">'Mar 2017'!$A$1:$N$64</definedName>
    <definedName name="_xlnm.Print_Area" localSheetId="65">'Mar 2020'!$A$1:$N$64</definedName>
    <definedName name="_xlnm.Print_Area" localSheetId="53">'Mar 2021'!$A$1:$N$64</definedName>
    <definedName name="_xlnm.Print_Area" localSheetId="38">'March 2019'!$A$1:$N$64</definedName>
    <definedName name="_xlnm.Print_Area" localSheetId="13">'May 2017'!$A$1:$N$64</definedName>
    <definedName name="_xlnm.Print_Area" localSheetId="27">'May 2018'!$A$1:$N$64</definedName>
    <definedName name="_xlnm.Print_Area" localSheetId="64">'May 2020'!$A$1:$N$64</definedName>
    <definedName name="_xlnm.Print_Area" localSheetId="51">'May 2021'!$A$1:$N$64</definedName>
    <definedName name="_xlnm.Print_Area" localSheetId="7">'Nov 2016'!$A$1:$N$64</definedName>
    <definedName name="_xlnm.Print_Area" localSheetId="21">'Nov 2017'!$A$1:$N$64</definedName>
    <definedName name="_xlnm.Print_Area" localSheetId="45">'Nov 2019'!$A$1:$N$64</definedName>
    <definedName name="_xlnm.Print_Area" localSheetId="57">'Nov 2020'!$A$1:$N$64</definedName>
    <definedName name="_xlnm.Print_Area" localSheetId="35">'November 2018'!$A$1:$N$64</definedName>
    <definedName name="_xlnm.Print_Area" localSheetId="6">'Oct 2016'!$A$1:$N$64</definedName>
    <definedName name="_xlnm.Print_Area" localSheetId="20">'Oct 2017'!$A$1:$N$64</definedName>
    <definedName name="_xlnm.Print_Area" localSheetId="44">'Oct 2019'!$A$1:$N$64</definedName>
    <definedName name="_xlnm.Print_Area" localSheetId="58">'Oct 2020'!$A$1:$N$64</definedName>
    <definedName name="_xlnm.Print_Area" localSheetId="34">'October 2018'!$A$1:$N$64</definedName>
    <definedName name="_xlnm.Print_Area" localSheetId="59">'Sep 2020'!$A$1:$N$64</definedName>
    <definedName name="_xlnm.Print_Area" localSheetId="5">'Sept 2016'!$A$1:$N$64</definedName>
    <definedName name="_xlnm.Print_Area" localSheetId="19">'Sept 2017'!$A$1:$N$64</definedName>
    <definedName name="_xlnm.Print_Area" localSheetId="43">'Sept 2019'!$A$1:$N$64</definedName>
    <definedName name="_xlnm.Print_Area" localSheetId="33">'September 2018'!$A$1:$N$64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6" i="250" l="1"/>
  <c r="B71" i="250"/>
  <c r="B72" i="250" s="1"/>
  <c r="C72" i="250" s="1"/>
  <c r="D72" i="250" s="1"/>
  <c r="E72" i="250" s="1"/>
  <c r="F72" i="250" s="1"/>
  <c r="G72" i="250" s="1"/>
  <c r="H72" i="250" s="1"/>
  <c r="I72" i="250" s="1"/>
  <c r="J72" i="250" s="1"/>
  <c r="K72" i="250" s="1"/>
  <c r="L72" i="250" s="1"/>
  <c r="M72" i="250" s="1"/>
  <c r="M61" i="250"/>
  <c r="L61" i="250"/>
  <c r="K61" i="250"/>
  <c r="J61" i="250"/>
  <c r="I61" i="250"/>
  <c r="H61" i="250"/>
  <c r="G61" i="250"/>
  <c r="F61" i="250"/>
  <c r="E61" i="250"/>
  <c r="D61" i="250"/>
  <c r="C61" i="250"/>
  <c r="B61" i="250"/>
  <c r="N60" i="250"/>
  <c r="N59" i="250"/>
  <c r="N58" i="250"/>
  <c r="N57" i="250"/>
  <c r="N56" i="250"/>
  <c r="N55" i="250"/>
  <c r="N54" i="250"/>
  <c r="N53" i="250"/>
  <c r="M46" i="250"/>
  <c r="L46" i="250"/>
  <c r="K46" i="250"/>
  <c r="J46" i="250"/>
  <c r="I46" i="250"/>
  <c r="H46" i="250"/>
  <c r="G46" i="250"/>
  <c r="F46" i="250"/>
  <c r="E46" i="250"/>
  <c r="D46" i="250"/>
  <c r="C46" i="250"/>
  <c r="B46" i="250"/>
  <c r="N45" i="250"/>
  <c r="N44" i="250"/>
  <c r="N41" i="250"/>
  <c r="N40" i="250"/>
  <c r="N39" i="250"/>
  <c r="N37" i="250"/>
  <c r="M34" i="250"/>
  <c r="M38" i="250" s="1"/>
  <c r="M42" i="250" s="1"/>
  <c r="L34" i="250"/>
  <c r="L38" i="250" s="1"/>
  <c r="L42" i="250" s="1"/>
  <c r="K34" i="250"/>
  <c r="K38" i="250" s="1"/>
  <c r="K42" i="250" s="1"/>
  <c r="J34" i="250"/>
  <c r="J38" i="250" s="1"/>
  <c r="J42" i="250" s="1"/>
  <c r="I34" i="250"/>
  <c r="I38" i="250" s="1"/>
  <c r="I42" i="250" s="1"/>
  <c r="H34" i="250"/>
  <c r="H38" i="250" s="1"/>
  <c r="H42" i="250" s="1"/>
  <c r="G34" i="250"/>
  <c r="G38" i="250" s="1"/>
  <c r="G42" i="250" s="1"/>
  <c r="F34" i="250"/>
  <c r="F38" i="250" s="1"/>
  <c r="F42" i="250" s="1"/>
  <c r="E34" i="250"/>
  <c r="E38" i="250" s="1"/>
  <c r="E42" i="250" s="1"/>
  <c r="D34" i="250"/>
  <c r="D38" i="250" s="1"/>
  <c r="D42" i="250" s="1"/>
  <c r="C34" i="250"/>
  <c r="C38" i="250" s="1"/>
  <c r="B34" i="250"/>
  <c r="B38" i="250" s="1"/>
  <c r="B42" i="250" s="1"/>
  <c r="N33" i="250"/>
  <c r="N32" i="250"/>
  <c r="N31" i="250"/>
  <c r="N30" i="250"/>
  <c r="M26" i="250"/>
  <c r="L26" i="250"/>
  <c r="K26" i="250"/>
  <c r="J26" i="250"/>
  <c r="I26" i="250"/>
  <c r="H26" i="250"/>
  <c r="G26" i="250"/>
  <c r="F26" i="250"/>
  <c r="E26" i="250"/>
  <c r="D26" i="250"/>
  <c r="C26" i="250"/>
  <c r="B26" i="250"/>
  <c r="M25" i="250"/>
  <c r="L25" i="250"/>
  <c r="K25" i="250"/>
  <c r="J25" i="250"/>
  <c r="I25" i="250"/>
  <c r="H25" i="250"/>
  <c r="G25" i="250"/>
  <c r="F25" i="250"/>
  <c r="E25" i="250"/>
  <c r="D25" i="250"/>
  <c r="C25" i="250"/>
  <c r="B25" i="250"/>
  <c r="M24" i="250"/>
  <c r="L24" i="250"/>
  <c r="K24" i="250"/>
  <c r="J24" i="250"/>
  <c r="I24" i="250"/>
  <c r="H24" i="250"/>
  <c r="G24" i="250"/>
  <c r="F24" i="250"/>
  <c r="E24" i="250"/>
  <c r="D24" i="250"/>
  <c r="C24" i="250"/>
  <c r="B24" i="250"/>
  <c r="M23" i="250"/>
  <c r="M27" i="250" s="1"/>
  <c r="L23" i="250"/>
  <c r="K23" i="250"/>
  <c r="J23" i="250"/>
  <c r="J27" i="250" s="1"/>
  <c r="I23" i="250"/>
  <c r="H23" i="250"/>
  <c r="G23" i="250"/>
  <c r="F23" i="250"/>
  <c r="E23" i="250"/>
  <c r="E27" i="250" s="1"/>
  <c r="D23" i="250"/>
  <c r="C23" i="250"/>
  <c r="B23" i="250"/>
  <c r="B27" i="250" s="1"/>
  <c r="M20" i="250"/>
  <c r="L20" i="250"/>
  <c r="K20" i="250"/>
  <c r="K48" i="250" s="1"/>
  <c r="J20" i="250"/>
  <c r="I20" i="250"/>
  <c r="H20" i="250"/>
  <c r="G20" i="250"/>
  <c r="F20" i="250"/>
  <c r="E20" i="250"/>
  <c r="D20" i="250"/>
  <c r="C20" i="250"/>
  <c r="B20" i="250"/>
  <c r="N19" i="250"/>
  <c r="N17" i="250"/>
  <c r="N16" i="250"/>
  <c r="L13" i="250"/>
  <c r="N11" i="250"/>
  <c r="M9" i="250"/>
  <c r="M13" i="250" s="1"/>
  <c r="L9" i="250"/>
  <c r="K9" i="250"/>
  <c r="K13" i="250" s="1"/>
  <c r="J9" i="250"/>
  <c r="J13" i="250" s="1"/>
  <c r="I9" i="250"/>
  <c r="I13" i="250" s="1"/>
  <c r="H9" i="250"/>
  <c r="H13" i="250" s="1"/>
  <c r="G9" i="250"/>
  <c r="G13" i="250" s="1"/>
  <c r="F9" i="250"/>
  <c r="F13" i="250" s="1"/>
  <c r="E9" i="250"/>
  <c r="E13" i="250" s="1"/>
  <c r="D9" i="250"/>
  <c r="D13" i="250" s="1"/>
  <c r="C9" i="250"/>
  <c r="C13" i="250" s="1"/>
  <c r="B9" i="250"/>
  <c r="B13" i="250" s="1"/>
  <c r="N8" i="250"/>
  <c r="N7" i="250"/>
  <c r="N6" i="250"/>
  <c r="N5" i="250"/>
  <c r="C61" i="249"/>
  <c r="N76" i="249"/>
  <c r="M61" i="249"/>
  <c r="L61" i="249"/>
  <c r="K61" i="249"/>
  <c r="J61" i="249"/>
  <c r="I61" i="249"/>
  <c r="H61" i="249"/>
  <c r="G61" i="249"/>
  <c r="F61" i="249"/>
  <c r="E61" i="249"/>
  <c r="D61" i="249"/>
  <c r="N60" i="249"/>
  <c r="N59" i="249"/>
  <c r="N58" i="249"/>
  <c r="N57" i="249"/>
  <c r="N56" i="249"/>
  <c r="B61" i="249"/>
  <c r="N54" i="249"/>
  <c r="N53" i="249"/>
  <c r="M46" i="249"/>
  <c r="L46" i="249"/>
  <c r="K46" i="249"/>
  <c r="J46" i="249"/>
  <c r="I46" i="249"/>
  <c r="H46" i="249"/>
  <c r="G46" i="249"/>
  <c r="F46" i="249"/>
  <c r="E46" i="249"/>
  <c r="D46" i="249"/>
  <c r="C46" i="249"/>
  <c r="B46" i="249"/>
  <c r="N45" i="249"/>
  <c r="N44" i="249"/>
  <c r="N41" i="249"/>
  <c r="N40" i="249"/>
  <c r="N39" i="249"/>
  <c r="L38" i="249"/>
  <c r="L42" i="249" s="1"/>
  <c r="D38" i="249"/>
  <c r="D42" i="249" s="1"/>
  <c r="N37" i="249"/>
  <c r="M34" i="249"/>
  <c r="M38" i="249" s="1"/>
  <c r="M42" i="249" s="1"/>
  <c r="L34" i="249"/>
  <c r="K34" i="249"/>
  <c r="K38" i="249" s="1"/>
  <c r="K42" i="249" s="1"/>
  <c r="J34" i="249"/>
  <c r="J38" i="249" s="1"/>
  <c r="J42" i="249" s="1"/>
  <c r="I34" i="249"/>
  <c r="I38" i="249" s="1"/>
  <c r="I42" i="249" s="1"/>
  <c r="H34" i="249"/>
  <c r="H38" i="249" s="1"/>
  <c r="H42" i="249" s="1"/>
  <c r="G34" i="249"/>
  <c r="G38" i="249" s="1"/>
  <c r="G42" i="249" s="1"/>
  <c r="F34" i="249"/>
  <c r="F38" i="249" s="1"/>
  <c r="F42" i="249" s="1"/>
  <c r="E34" i="249"/>
  <c r="E38" i="249" s="1"/>
  <c r="E42" i="249" s="1"/>
  <c r="D34" i="249"/>
  <c r="C34" i="249"/>
  <c r="C38" i="249" s="1"/>
  <c r="C42" i="249" s="1"/>
  <c r="B34" i="249"/>
  <c r="B38" i="249" s="1"/>
  <c r="N33" i="249"/>
  <c r="N32" i="249"/>
  <c r="N31" i="249"/>
  <c r="N30" i="249"/>
  <c r="M26" i="249"/>
  <c r="L26" i="249"/>
  <c r="K26" i="249"/>
  <c r="J26" i="249"/>
  <c r="I26" i="249"/>
  <c r="H26" i="249"/>
  <c r="G26" i="249"/>
  <c r="F26" i="249"/>
  <c r="E26" i="249"/>
  <c r="D26" i="249"/>
  <c r="C26" i="249"/>
  <c r="B26" i="249"/>
  <c r="M25" i="249"/>
  <c r="L25" i="249"/>
  <c r="K25" i="249"/>
  <c r="J25" i="249"/>
  <c r="I25" i="249"/>
  <c r="H25" i="249"/>
  <c r="G25" i="249"/>
  <c r="F25" i="249"/>
  <c r="E25" i="249"/>
  <c r="D25" i="249"/>
  <c r="C25" i="249"/>
  <c r="B25" i="249"/>
  <c r="M24" i="249"/>
  <c r="L24" i="249"/>
  <c r="K24" i="249"/>
  <c r="J24" i="249"/>
  <c r="I24" i="249"/>
  <c r="H24" i="249"/>
  <c r="G24" i="249"/>
  <c r="F24" i="249"/>
  <c r="E24" i="249"/>
  <c r="D24" i="249"/>
  <c r="C24" i="249"/>
  <c r="B24" i="249"/>
  <c r="M23" i="249"/>
  <c r="L23" i="249"/>
  <c r="K23" i="249"/>
  <c r="K27" i="249" s="1"/>
  <c r="J23" i="249"/>
  <c r="I23" i="249"/>
  <c r="H23" i="249"/>
  <c r="G23" i="249"/>
  <c r="F23" i="249"/>
  <c r="E23" i="249"/>
  <c r="D23" i="249"/>
  <c r="C23" i="249"/>
  <c r="C27" i="249" s="1"/>
  <c r="B23" i="249"/>
  <c r="M20" i="249"/>
  <c r="M48" i="249" s="1"/>
  <c r="M64" i="249" s="1"/>
  <c r="L20" i="249"/>
  <c r="K20" i="249"/>
  <c r="J20" i="249"/>
  <c r="J48" i="249" s="1"/>
  <c r="I20" i="249"/>
  <c r="I48" i="249" s="1"/>
  <c r="H20" i="249"/>
  <c r="G20" i="249"/>
  <c r="F20" i="249"/>
  <c r="F48" i="249" s="1"/>
  <c r="F64" i="249" s="1"/>
  <c r="E20" i="249"/>
  <c r="E48" i="249" s="1"/>
  <c r="E64" i="249" s="1"/>
  <c r="D20" i="249"/>
  <c r="C20" i="249"/>
  <c r="B20" i="249"/>
  <c r="N19" i="249"/>
  <c r="N17" i="249"/>
  <c r="N16" i="249"/>
  <c r="N11" i="249"/>
  <c r="M9" i="249"/>
  <c r="M13" i="249" s="1"/>
  <c r="L9" i="249"/>
  <c r="L13" i="249" s="1"/>
  <c r="K9" i="249"/>
  <c r="K13" i="249" s="1"/>
  <c r="J9" i="249"/>
  <c r="J13" i="249" s="1"/>
  <c r="I9" i="249"/>
  <c r="I13" i="249" s="1"/>
  <c r="H9" i="249"/>
  <c r="H13" i="249" s="1"/>
  <c r="G9" i="249"/>
  <c r="G13" i="249" s="1"/>
  <c r="F9" i="249"/>
  <c r="F13" i="249" s="1"/>
  <c r="E9" i="249"/>
  <c r="E13" i="249" s="1"/>
  <c r="D9" i="249"/>
  <c r="D13" i="249" s="1"/>
  <c r="C9" i="249"/>
  <c r="C13" i="249" s="1"/>
  <c r="B9" i="249"/>
  <c r="B13" i="249" s="1"/>
  <c r="N8" i="249"/>
  <c r="N7" i="249"/>
  <c r="N6" i="249"/>
  <c r="N5" i="249"/>
  <c r="B55" i="248"/>
  <c r="N55" i="248"/>
  <c r="N76" i="248"/>
  <c r="M61" i="248"/>
  <c r="L61" i="248"/>
  <c r="K61" i="248"/>
  <c r="J61" i="248"/>
  <c r="I61" i="248"/>
  <c r="H61" i="248"/>
  <c r="G61" i="248"/>
  <c r="F61" i="248"/>
  <c r="E61" i="248"/>
  <c r="D61" i="248"/>
  <c r="C61" i="248"/>
  <c r="N60" i="248"/>
  <c r="N59" i="248"/>
  <c r="N58" i="248"/>
  <c r="N57" i="248"/>
  <c r="N56" i="248"/>
  <c r="N54" i="248"/>
  <c r="N53" i="248"/>
  <c r="M46" i="248"/>
  <c r="L46" i="248"/>
  <c r="K46" i="248"/>
  <c r="J46" i="248"/>
  <c r="I46" i="248"/>
  <c r="H46" i="248"/>
  <c r="G46" i="248"/>
  <c r="F46" i="248"/>
  <c r="E46" i="248"/>
  <c r="D46" i="248"/>
  <c r="C46" i="248"/>
  <c r="B46" i="248"/>
  <c r="N45" i="248"/>
  <c r="N44" i="248"/>
  <c r="N41" i="248"/>
  <c r="N40" i="248"/>
  <c r="N39" i="248"/>
  <c r="N37" i="248"/>
  <c r="M34" i="248"/>
  <c r="M38" i="248" s="1"/>
  <c r="M42" i="248" s="1"/>
  <c r="L34" i="248"/>
  <c r="L38" i="248" s="1"/>
  <c r="L42" i="248" s="1"/>
  <c r="K34" i="248"/>
  <c r="K38" i="248" s="1"/>
  <c r="K42" i="248" s="1"/>
  <c r="J34" i="248"/>
  <c r="J38" i="248" s="1"/>
  <c r="J42" i="248" s="1"/>
  <c r="I34" i="248"/>
  <c r="I38" i="248" s="1"/>
  <c r="I42" i="248" s="1"/>
  <c r="H34" i="248"/>
  <c r="H38" i="248" s="1"/>
  <c r="H42" i="248" s="1"/>
  <c r="G34" i="248"/>
  <c r="F34" i="248"/>
  <c r="F38" i="248" s="1"/>
  <c r="F42" i="248" s="1"/>
  <c r="E34" i="248"/>
  <c r="E38" i="248" s="1"/>
  <c r="E42" i="248" s="1"/>
  <c r="D34" i="248"/>
  <c r="D38" i="248" s="1"/>
  <c r="D42" i="248" s="1"/>
  <c r="C34" i="248"/>
  <c r="C38" i="248" s="1"/>
  <c r="C42" i="248" s="1"/>
  <c r="B34" i="248"/>
  <c r="B38" i="248" s="1"/>
  <c r="N33" i="248"/>
  <c r="N32" i="248"/>
  <c r="N31" i="248"/>
  <c r="N30" i="248"/>
  <c r="M26" i="248"/>
  <c r="L26" i="248"/>
  <c r="K26" i="248"/>
  <c r="J26" i="248"/>
  <c r="I26" i="248"/>
  <c r="H26" i="248"/>
  <c r="G26" i="248"/>
  <c r="F26" i="248"/>
  <c r="E26" i="248"/>
  <c r="D26" i="248"/>
  <c r="C26" i="248"/>
  <c r="B26" i="248"/>
  <c r="M25" i="248"/>
  <c r="L25" i="248"/>
  <c r="K25" i="248"/>
  <c r="J25" i="248"/>
  <c r="I25" i="248"/>
  <c r="H25" i="248"/>
  <c r="G25" i="248"/>
  <c r="F25" i="248"/>
  <c r="E25" i="248"/>
  <c r="D25" i="248"/>
  <c r="C25" i="248"/>
  <c r="B25" i="248"/>
  <c r="M24" i="248"/>
  <c r="L24" i="248"/>
  <c r="K24" i="248"/>
  <c r="J24" i="248"/>
  <c r="I24" i="248"/>
  <c r="H24" i="248"/>
  <c r="G24" i="248"/>
  <c r="F24" i="248"/>
  <c r="E24" i="248"/>
  <c r="D24" i="248"/>
  <c r="C24" i="248"/>
  <c r="B24" i="248"/>
  <c r="M23" i="248"/>
  <c r="L23" i="248"/>
  <c r="K23" i="248"/>
  <c r="J23" i="248"/>
  <c r="I23" i="248"/>
  <c r="H23" i="248"/>
  <c r="G23" i="248"/>
  <c r="F23" i="248"/>
  <c r="E23" i="248"/>
  <c r="D23" i="248"/>
  <c r="C23" i="248"/>
  <c r="B23" i="248"/>
  <c r="M20" i="248"/>
  <c r="L20" i="248"/>
  <c r="K20" i="248"/>
  <c r="J20" i="248"/>
  <c r="I20" i="248"/>
  <c r="H20" i="248"/>
  <c r="G20" i="248"/>
  <c r="F20" i="248"/>
  <c r="E20" i="248"/>
  <c r="D20" i="248"/>
  <c r="D48" i="248" s="1"/>
  <c r="C20" i="248"/>
  <c r="B20" i="248"/>
  <c r="N19" i="248"/>
  <c r="N17" i="248"/>
  <c r="N16" i="248"/>
  <c r="N11" i="248"/>
  <c r="M9" i="248"/>
  <c r="M13" i="248" s="1"/>
  <c r="L9" i="248"/>
  <c r="L13" i="248" s="1"/>
  <c r="K9" i="248"/>
  <c r="K13" i="248" s="1"/>
  <c r="J9" i="248"/>
  <c r="J13" i="248" s="1"/>
  <c r="I9" i="248"/>
  <c r="I13" i="248" s="1"/>
  <c r="H9" i="248"/>
  <c r="H13" i="248" s="1"/>
  <c r="G9" i="248"/>
  <c r="G13" i="248" s="1"/>
  <c r="F9" i="248"/>
  <c r="F13" i="248" s="1"/>
  <c r="E9" i="248"/>
  <c r="E13" i="248" s="1"/>
  <c r="D9" i="248"/>
  <c r="D13" i="248" s="1"/>
  <c r="C9" i="248"/>
  <c r="C13" i="248" s="1"/>
  <c r="B9" i="248"/>
  <c r="B13" i="248" s="1"/>
  <c r="N8" i="248"/>
  <c r="N7" i="248"/>
  <c r="N6" i="248"/>
  <c r="N5" i="248"/>
  <c r="M46" i="247"/>
  <c r="N76" i="247"/>
  <c r="B71" i="247"/>
  <c r="B72" i="247" s="1"/>
  <c r="C72" i="247" s="1"/>
  <c r="D72" i="247" s="1"/>
  <c r="E72" i="247" s="1"/>
  <c r="F72" i="247" s="1"/>
  <c r="G72" i="247" s="1"/>
  <c r="H72" i="247" s="1"/>
  <c r="I72" i="247" s="1"/>
  <c r="J72" i="247" s="1"/>
  <c r="K72" i="247" s="1"/>
  <c r="L72" i="247" s="1"/>
  <c r="M72" i="247" s="1"/>
  <c r="M61" i="247"/>
  <c r="L61" i="247"/>
  <c r="K61" i="247"/>
  <c r="J61" i="247"/>
  <c r="I61" i="247"/>
  <c r="H61" i="247"/>
  <c r="G61" i="247"/>
  <c r="F61" i="247"/>
  <c r="E61" i="247"/>
  <c r="D61" i="247"/>
  <c r="C61" i="247"/>
  <c r="B61" i="247"/>
  <c r="N60" i="247"/>
  <c r="N59" i="247"/>
  <c r="N58" i="247"/>
  <c r="N57" i="247"/>
  <c r="N56" i="247"/>
  <c r="N55" i="247"/>
  <c r="N54" i="247"/>
  <c r="N53" i="247"/>
  <c r="L46" i="247"/>
  <c r="K46" i="247"/>
  <c r="J46" i="247"/>
  <c r="I46" i="247"/>
  <c r="H46" i="247"/>
  <c r="G46" i="247"/>
  <c r="F46" i="247"/>
  <c r="E46" i="247"/>
  <c r="D46" i="247"/>
  <c r="C46" i="247"/>
  <c r="B46" i="247"/>
  <c r="N45" i="247"/>
  <c r="N44" i="247"/>
  <c r="N46" i="247" s="1"/>
  <c r="N41" i="247"/>
  <c r="N40" i="247"/>
  <c r="N39" i="247"/>
  <c r="D38" i="247"/>
  <c r="D42" i="247" s="1"/>
  <c r="N37" i="247"/>
  <c r="M34" i="247"/>
  <c r="M38" i="247" s="1"/>
  <c r="L34" i="247"/>
  <c r="L38" i="247" s="1"/>
  <c r="L42" i="247" s="1"/>
  <c r="K34" i="247"/>
  <c r="K38" i="247" s="1"/>
  <c r="K42" i="247" s="1"/>
  <c r="J34" i="247"/>
  <c r="J38" i="247" s="1"/>
  <c r="J42" i="247" s="1"/>
  <c r="I34" i="247"/>
  <c r="I38" i="247" s="1"/>
  <c r="I42" i="247" s="1"/>
  <c r="H34" i="247"/>
  <c r="H38" i="247" s="1"/>
  <c r="H42" i="247" s="1"/>
  <c r="G34" i="247"/>
  <c r="G38" i="247" s="1"/>
  <c r="G42" i="247" s="1"/>
  <c r="F34" i="247"/>
  <c r="F38" i="247" s="1"/>
  <c r="F42" i="247" s="1"/>
  <c r="E34" i="247"/>
  <c r="E38" i="247" s="1"/>
  <c r="E42" i="247" s="1"/>
  <c r="D34" i="247"/>
  <c r="C34" i="247"/>
  <c r="C38" i="247" s="1"/>
  <c r="C42" i="247" s="1"/>
  <c r="B34" i="247"/>
  <c r="B38" i="247" s="1"/>
  <c r="N33" i="247"/>
  <c r="N32" i="247"/>
  <c r="N31" i="247"/>
  <c r="N30" i="247"/>
  <c r="M26" i="247"/>
  <c r="L26" i="247"/>
  <c r="K26" i="247"/>
  <c r="J26" i="247"/>
  <c r="I26" i="247"/>
  <c r="H26" i="247"/>
  <c r="G26" i="247"/>
  <c r="F26" i="247"/>
  <c r="E26" i="247"/>
  <c r="D26" i="247"/>
  <c r="C26" i="247"/>
  <c r="B26" i="247"/>
  <c r="M25" i="247"/>
  <c r="L25" i="247"/>
  <c r="K25" i="247"/>
  <c r="J25" i="247"/>
  <c r="I25" i="247"/>
  <c r="H25" i="247"/>
  <c r="G25" i="247"/>
  <c r="F25" i="247"/>
  <c r="E25" i="247"/>
  <c r="D25" i="247"/>
  <c r="C25" i="247"/>
  <c r="B25" i="247"/>
  <c r="M24" i="247"/>
  <c r="L24" i="247"/>
  <c r="K24" i="247"/>
  <c r="J24" i="247"/>
  <c r="I24" i="247"/>
  <c r="H24" i="247"/>
  <c r="G24" i="247"/>
  <c r="F24" i="247"/>
  <c r="E24" i="247"/>
  <c r="D24" i="247"/>
  <c r="C24" i="247"/>
  <c r="B24" i="247"/>
  <c r="M23" i="247"/>
  <c r="M27" i="247" s="1"/>
  <c r="M28" i="247" s="1"/>
  <c r="L23" i="247"/>
  <c r="L27" i="247" s="1"/>
  <c r="K23" i="247"/>
  <c r="J23" i="247"/>
  <c r="I23" i="247"/>
  <c r="H23" i="247"/>
  <c r="G23" i="247"/>
  <c r="F23" i="247"/>
  <c r="E23" i="247"/>
  <c r="E27" i="247" s="1"/>
  <c r="E28" i="247" s="1"/>
  <c r="D23" i="247"/>
  <c r="D27" i="247" s="1"/>
  <c r="C23" i="247"/>
  <c r="B23" i="247"/>
  <c r="M20" i="247"/>
  <c r="L20" i="247"/>
  <c r="K20" i="247"/>
  <c r="J20" i="247"/>
  <c r="I20" i="247"/>
  <c r="H20" i="247"/>
  <c r="G20" i="247"/>
  <c r="F20" i="247"/>
  <c r="E20" i="247"/>
  <c r="D20" i="247"/>
  <c r="C20" i="247"/>
  <c r="B20" i="247"/>
  <c r="N19" i="247"/>
  <c r="N17" i="247"/>
  <c r="N16" i="247"/>
  <c r="N11" i="247"/>
  <c r="M9" i="247"/>
  <c r="M13" i="247" s="1"/>
  <c r="L9" i="247"/>
  <c r="L13" i="247" s="1"/>
  <c r="K9" i="247"/>
  <c r="K13" i="247" s="1"/>
  <c r="J9" i="247"/>
  <c r="J13" i="247" s="1"/>
  <c r="I9" i="247"/>
  <c r="I13" i="247" s="1"/>
  <c r="H9" i="247"/>
  <c r="H13" i="247" s="1"/>
  <c r="G9" i="247"/>
  <c r="G13" i="247" s="1"/>
  <c r="F9" i="247"/>
  <c r="F13" i="247" s="1"/>
  <c r="E9" i="247"/>
  <c r="E13" i="247" s="1"/>
  <c r="D9" i="247"/>
  <c r="D13" i="247" s="1"/>
  <c r="C9" i="247"/>
  <c r="C13" i="247" s="1"/>
  <c r="B9" i="247"/>
  <c r="B13" i="247" s="1"/>
  <c r="N8" i="247"/>
  <c r="N7" i="247"/>
  <c r="N6" i="247"/>
  <c r="N5" i="247"/>
  <c r="N58" i="245"/>
  <c r="G27" i="250" l="1"/>
  <c r="N9" i="250"/>
  <c r="F27" i="250"/>
  <c r="B48" i="250"/>
  <c r="B64" i="250" s="1"/>
  <c r="B65" i="250" s="1"/>
  <c r="N46" i="250"/>
  <c r="B28" i="250"/>
  <c r="J28" i="250"/>
  <c r="N34" i="250"/>
  <c r="F48" i="250"/>
  <c r="F50" i="250" s="1"/>
  <c r="H48" i="250"/>
  <c r="H64" i="250" s="1"/>
  <c r="H65" i="250" s="1"/>
  <c r="H75" i="250" s="1"/>
  <c r="J48" i="250"/>
  <c r="J64" i="250" s="1"/>
  <c r="K64" i="250"/>
  <c r="K65" i="250" s="1"/>
  <c r="K75" i="250" s="1"/>
  <c r="D27" i="250"/>
  <c r="D28" i="250" s="1"/>
  <c r="E28" i="250"/>
  <c r="N24" i="250"/>
  <c r="N20" i="250"/>
  <c r="G48" i="250"/>
  <c r="G50" i="250" s="1"/>
  <c r="N61" i="250"/>
  <c r="L27" i="250"/>
  <c r="L28" i="250" s="1"/>
  <c r="F28" i="250"/>
  <c r="G28" i="250"/>
  <c r="K27" i="250"/>
  <c r="K28" i="250" s="1"/>
  <c r="H27" i="250"/>
  <c r="H28" i="250" s="1"/>
  <c r="C71" i="250"/>
  <c r="D71" i="250" s="1"/>
  <c r="E71" i="250" s="1"/>
  <c r="F71" i="250" s="1"/>
  <c r="G71" i="250" s="1"/>
  <c r="H71" i="250" s="1"/>
  <c r="I71" i="250" s="1"/>
  <c r="J71" i="250" s="1"/>
  <c r="K71" i="250" s="1"/>
  <c r="L71" i="250" s="1"/>
  <c r="M71" i="250" s="1"/>
  <c r="M28" i="250"/>
  <c r="N26" i="250"/>
  <c r="C27" i="250"/>
  <c r="C28" i="250" s="1"/>
  <c r="I27" i="250"/>
  <c r="I28" i="250" s="1"/>
  <c r="N13" i="250"/>
  <c r="I48" i="250"/>
  <c r="I64" i="250" s="1"/>
  <c r="I65" i="250" s="1"/>
  <c r="I75" i="250" s="1"/>
  <c r="F64" i="250"/>
  <c r="F65" i="250" s="1"/>
  <c r="F75" i="250" s="1"/>
  <c r="D48" i="250"/>
  <c r="D64" i="250" s="1"/>
  <c r="D65" i="250" s="1"/>
  <c r="D75" i="250" s="1"/>
  <c r="L48" i="250"/>
  <c r="L64" i="250" s="1"/>
  <c r="L65" i="250" s="1"/>
  <c r="L75" i="250" s="1"/>
  <c r="G64" i="250"/>
  <c r="G65" i="250" s="1"/>
  <c r="G75" i="250" s="1"/>
  <c r="B50" i="250"/>
  <c r="J65" i="250"/>
  <c r="J75" i="250" s="1"/>
  <c r="J50" i="250"/>
  <c r="E48" i="250"/>
  <c r="E64" i="250" s="1"/>
  <c r="E65" i="250" s="1"/>
  <c r="E75" i="250" s="1"/>
  <c r="M48" i="250"/>
  <c r="M64" i="250" s="1"/>
  <c r="M65" i="250" s="1"/>
  <c r="M75" i="250" s="1"/>
  <c r="C42" i="250"/>
  <c r="C48" i="250" s="1"/>
  <c r="N38" i="250"/>
  <c r="N42" i="250" s="1"/>
  <c r="N25" i="250"/>
  <c r="K50" i="250"/>
  <c r="N23" i="250"/>
  <c r="N9" i="249"/>
  <c r="L48" i="249"/>
  <c r="L64" i="249" s="1"/>
  <c r="L65" i="249" s="1"/>
  <c r="G48" i="249"/>
  <c r="G64" i="249" s="1"/>
  <c r="G65" i="249" s="1"/>
  <c r="H27" i="249"/>
  <c r="H28" i="249" s="1"/>
  <c r="E27" i="249"/>
  <c r="E28" i="249" s="1"/>
  <c r="N26" i="249"/>
  <c r="G27" i="249"/>
  <c r="G28" i="249" s="1"/>
  <c r="M27" i="249"/>
  <c r="M28" i="249" s="1"/>
  <c r="F27" i="249"/>
  <c r="F28" i="249" s="1"/>
  <c r="K48" i="249"/>
  <c r="K64" i="249" s="1"/>
  <c r="K65" i="249" s="1"/>
  <c r="I27" i="249"/>
  <c r="I28" i="249" s="1"/>
  <c r="J64" i="249"/>
  <c r="J65" i="249" s="1"/>
  <c r="B27" i="249"/>
  <c r="B28" i="249" s="1"/>
  <c r="J27" i="249"/>
  <c r="J28" i="249" s="1"/>
  <c r="N24" i="249"/>
  <c r="N25" i="249"/>
  <c r="N20" i="249"/>
  <c r="C28" i="249"/>
  <c r="K28" i="249"/>
  <c r="D27" i="249"/>
  <c r="D28" i="249" s="1"/>
  <c r="L27" i="249"/>
  <c r="L28" i="249" s="1"/>
  <c r="N34" i="249"/>
  <c r="N46" i="249"/>
  <c r="E65" i="249"/>
  <c r="E50" i="249"/>
  <c r="M65" i="249"/>
  <c r="M50" i="249"/>
  <c r="C48" i="249"/>
  <c r="C64" i="249" s="1"/>
  <c r="C65" i="249" s="1"/>
  <c r="L50" i="249"/>
  <c r="N13" i="249"/>
  <c r="F65" i="249"/>
  <c r="F50" i="249"/>
  <c r="D48" i="249"/>
  <c r="D50" i="249" s="1"/>
  <c r="B42" i="249"/>
  <c r="B48" i="249" s="1"/>
  <c r="N38" i="249"/>
  <c r="N42" i="249" s="1"/>
  <c r="I64" i="249"/>
  <c r="I65" i="249" s="1"/>
  <c r="I50" i="249"/>
  <c r="G50" i="249"/>
  <c r="J50" i="249"/>
  <c r="H48" i="249"/>
  <c r="H64" i="249" s="1"/>
  <c r="H65" i="249" s="1"/>
  <c r="N55" i="249"/>
  <c r="N61" i="249" s="1"/>
  <c r="N23" i="249"/>
  <c r="B61" i="248"/>
  <c r="H27" i="248"/>
  <c r="C27" i="248"/>
  <c r="C28" i="248" s="1"/>
  <c r="K27" i="248"/>
  <c r="K28" i="248" s="1"/>
  <c r="F27" i="248"/>
  <c r="F28" i="248" s="1"/>
  <c r="E27" i="248"/>
  <c r="E28" i="248" s="1"/>
  <c r="M27" i="248"/>
  <c r="M28" i="248" s="1"/>
  <c r="L48" i="248"/>
  <c r="L50" i="248" s="1"/>
  <c r="I27" i="248"/>
  <c r="I28" i="248" s="1"/>
  <c r="H48" i="248"/>
  <c r="H50" i="248" s="1"/>
  <c r="I48" i="248"/>
  <c r="I64" i="248" s="1"/>
  <c r="I65" i="248" s="1"/>
  <c r="N20" i="248"/>
  <c r="B27" i="248"/>
  <c r="B28" i="248" s="1"/>
  <c r="J27" i="248"/>
  <c r="J28" i="248" s="1"/>
  <c r="N25" i="248"/>
  <c r="L27" i="248"/>
  <c r="L28" i="248" s="1"/>
  <c r="N61" i="248"/>
  <c r="N24" i="248"/>
  <c r="N34" i="248"/>
  <c r="N46" i="248"/>
  <c r="G27" i="248"/>
  <c r="G28" i="248" s="1"/>
  <c r="H28" i="248"/>
  <c r="G38" i="248"/>
  <c r="G42" i="248" s="1"/>
  <c r="G48" i="248" s="1"/>
  <c r="G50" i="248" s="1"/>
  <c r="N9" i="248"/>
  <c r="N26" i="248"/>
  <c r="J48" i="248"/>
  <c r="J64" i="248" s="1"/>
  <c r="J65" i="248" s="1"/>
  <c r="C48" i="248"/>
  <c r="C64" i="248" s="1"/>
  <c r="C65" i="248" s="1"/>
  <c r="K48" i="248"/>
  <c r="K64" i="248" s="1"/>
  <c r="K65" i="248" s="1"/>
  <c r="D64" i="248"/>
  <c r="D65" i="248" s="1"/>
  <c r="M48" i="248"/>
  <c r="F48" i="248"/>
  <c r="F50" i="248" s="1"/>
  <c r="E48" i="248"/>
  <c r="B42" i="248"/>
  <c r="B48" i="248" s="1"/>
  <c r="D50" i="248"/>
  <c r="N23" i="248"/>
  <c r="D27" i="248"/>
  <c r="D28" i="248" s="1"/>
  <c r="F48" i="247"/>
  <c r="D48" i="247"/>
  <c r="D64" i="247" s="1"/>
  <c r="I27" i="247"/>
  <c r="I28" i="247" s="1"/>
  <c r="J48" i="247"/>
  <c r="J64" i="247" s="1"/>
  <c r="J65" i="247" s="1"/>
  <c r="J75" i="247" s="1"/>
  <c r="I48" i="247"/>
  <c r="I64" i="247" s="1"/>
  <c r="I65" i="247" s="1"/>
  <c r="I75" i="247" s="1"/>
  <c r="E48" i="247"/>
  <c r="E64" i="247" s="1"/>
  <c r="E65" i="247" s="1"/>
  <c r="E75" i="247" s="1"/>
  <c r="K48" i="247"/>
  <c r="K64" i="247" s="1"/>
  <c r="K65" i="247" s="1"/>
  <c r="K75" i="247" s="1"/>
  <c r="B27" i="247"/>
  <c r="B28" i="247" s="1"/>
  <c r="J27" i="247"/>
  <c r="J28" i="247" s="1"/>
  <c r="N26" i="247"/>
  <c r="C48" i="247"/>
  <c r="C50" i="247" s="1"/>
  <c r="N20" i="247"/>
  <c r="G48" i="247"/>
  <c r="G64" i="247" s="1"/>
  <c r="G65" i="247" s="1"/>
  <c r="G75" i="247" s="1"/>
  <c r="C27" i="247"/>
  <c r="K27" i="247"/>
  <c r="K28" i="247" s="1"/>
  <c r="N34" i="247"/>
  <c r="H48" i="247"/>
  <c r="H64" i="247" s="1"/>
  <c r="H65" i="247" s="1"/>
  <c r="H75" i="247" s="1"/>
  <c r="N61" i="247"/>
  <c r="L28" i="247"/>
  <c r="N9" i="247"/>
  <c r="N13" i="247" s="1"/>
  <c r="F27" i="247"/>
  <c r="F28" i="247" s="1"/>
  <c r="N24" i="247"/>
  <c r="G27" i="247"/>
  <c r="G28" i="247" s="1"/>
  <c r="D28" i="247"/>
  <c r="H27" i="247"/>
  <c r="H28" i="247" s="1"/>
  <c r="C28" i="247"/>
  <c r="N25" i="247"/>
  <c r="F50" i="247"/>
  <c r="B42" i="247"/>
  <c r="B48" i="247" s="1"/>
  <c r="B50" i="247" s="1"/>
  <c r="N38" i="247"/>
  <c r="N42" i="247" s="1"/>
  <c r="L48" i="247"/>
  <c r="L64" i="247" s="1"/>
  <c r="L65" i="247" s="1"/>
  <c r="L75" i="247" s="1"/>
  <c r="D65" i="247"/>
  <c r="D75" i="247" s="1"/>
  <c r="F64" i="247"/>
  <c r="F65" i="247" s="1"/>
  <c r="F75" i="247" s="1"/>
  <c r="N23" i="247"/>
  <c r="M42" i="247"/>
  <c r="M48" i="247" s="1"/>
  <c r="C71" i="247"/>
  <c r="D71" i="247" s="1"/>
  <c r="E71" i="247" s="1"/>
  <c r="F71" i="247" s="1"/>
  <c r="G71" i="247" s="1"/>
  <c r="H71" i="247" s="1"/>
  <c r="I71" i="247" s="1"/>
  <c r="J71" i="247" s="1"/>
  <c r="K71" i="247" s="1"/>
  <c r="L71" i="247" s="1"/>
  <c r="M71" i="247" s="1"/>
  <c r="N57" i="245"/>
  <c r="N4" i="246"/>
  <c r="N5" i="246"/>
  <c r="N9" i="246" s="1"/>
  <c r="N6" i="246"/>
  <c r="N7" i="246"/>
  <c r="N8" i="246"/>
  <c r="B9" i="246"/>
  <c r="C9" i="246"/>
  <c r="C13" i="246" s="1"/>
  <c r="D9" i="246"/>
  <c r="E9" i="246"/>
  <c r="F9" i="246"/>
  <c r="F13" i="246" s="1"/>
  <c r="G9" i="246"/>
  <c r="G13" i="246" s="1"/>
  <c r="H9" i="246"/>
  <c r="I9" i="246"/>
  <c r="J9" i="246"/>
  <c r="K9" i="246"/>
  <c r="K13" i="246" s="1"/>
  <c r="L9" i="246"/>
  <c r="L13" i="246" s="1"/>
  <c r="M9" i="246"/>
  <c r="M13" i="246" s="1"/>
  <c r="N11" i="246"/>
  <c r="B13" i="246"/>
  <c r="D13" i="246"/>
  <c r="E13" i="246"/>
  <c r="H13" i="246"/>
  <c r="I13" i="246"/>
  <c r="J13" i="246"/>
  <c r="N16" i="246"/>
  <c r="N17" i="246"/>
  <c r="N19" i="246"/>
  <c r="B20" i="246"/>
  <c r="C20" i="246"/>
  <c r="D20" i="246"/>
  <c r="E20" i="246"/>
  <c r="F20" i="246"/>
  <c r="G20" i="246"/>
  <c r="H20" i="246"/>
  <c r="I20" i="246"/>
  <c r="J20" i="246"/>
  <c r="K20" i="246"/>
  <c r="L20" i="246"/>
  <c r="M20" i="246"/>
  <c r="B23" i="246"/>
  <c r="C23" i="246"/>
  <c r="D23" i="246"/>
  <c r="E23" i="246"/>
  <c r="F23" i="246"/>
  <c r="G23" i="246"/>
  <c r="G27" i="246" s="1"/>
  <c r="G28" i="246" s="1"/>
  <c r="H23" i="246"/>
  <c r="I23" i="246"/>
  <c r="J23" i="246"/>
  <c r="K23" i="246"/>
  <c r="L23" i="246"/>
  <c r="M23" i="246"/>
  <c r="B24" i="246"/>
  <c r="C24" i="246"/>
  <c r="D24" i="246"/>
  <c r="E24" i="246"/>
  <c r="F24" i="246"/>
  <c r="G24" i="246"/>
  <c r="H24" i="246"/>
  <c r="I24" i="246"/>
  <c r="J24" i="246"/>
  <c r="K24" i="246"/>
  <c r="L24" i="246"/>
  <c r="M24" i="246"/>
  <c r="B25" i="246"/>
  <c r="C25" i="246"/>
  <c r="D25" i="246"/>
  <c r="E25" i="246"/>
  <c r="F25" i="246"/>
  <c r="G25" i="246"/>
  <c r="H25" i="246"/>
  <c r="I25" i="246"/>
  <c r="J25" i="246"/>
  <c r="K25" i="246"/>
  <c r="L25" i="246"/>
  <c r="M25" i="246"/>
  <c r="B26" i="246"/>
  <c r="C26" i="246"/>
  <c r="D26" i="246"/>
  <c r="E26" i="246"/>
  <c r="F26" i="246"/>
  <c r="G26" i="246"/>
  <c r="H26" i="246"/>
  <c r="I26" i="246"/>
  <c r="J26" i="246"/>
  <c r="K26" i="246"/>
  <c r="L26" i="246"/>
  <c r="M26" i="246"/>
  <c r="H27" i="246"/>
  <c r="H28" i="246" s="1"/>
  <c r="M27" i="246"/>
  <c r="M28" i="246" s="1"/>
  <c r="N30" i="246"/>
  <c r="N31" i="246"/>
  <c r="N34" i="246" s="1"/>
  <c r="N32" i="246"/>
  <c r="N33" i="246"/>
  <c r="B34" i="246"/>
  <c r="B38" i="246" s="1"/>
  <c r="C34" i="246"/>
  <c r="C38" i="246" s="1"/>
  <c r="C42" i="246" s="1"/>
  <c r="C48" i="246" s="1"/>
  <c r="C50" i="246" s="1"/>
  <c r="D34" i="246"/>
  <c r="D38" i="246" s="1"/>
  <c r="D42" i="246" s="1"/>
  <c r="D48" i="246" s="1"/>
  <c r="D61" i="246" s="1"/>
  <c r="E34" i="246"/>
  <c r="E38" i="246" s="1"/>
  <c r="E42" i="246" s="1"/>
  <c r="F34" i="246"/>
  <c r="F38" i="246" s="1"/>
  <c r="F42" i="246" s="1"/>
  <c r="G34" i="246"/>
  <c r="G38" i="246" s="1"/>
  <c r="G42" i="246" s="1"/>
  <c r="G48" i="246" s="1"/>
  <c r="G61" i="246" s="1"/>
  <c r="H34" i="246"/>
  <c r="H38" i="246" s="1"/>
  <c r="H42" i="246" s="1"/>
  <c r="I34" i="246"/>
  <c r="J34" i="246"/>
  <c r="K34" i="246"/>
  <c r="K38" i="246" s="1"/>
  <c r="K42" i="246" s="1"/>
  <c r="K48" i="246" s="1"/>
  <c r="K61" i="246" s="1"/>
  <c r="K62" i="246" s="1"/>
  <c r="K72" i="246" s="1"/>
  <c r="L34" i="246"/>
  <c r="L38" i="246" s="1"/>
  <c r="L42" i="246" s="1"/>
  <c r="M34" i="246"/>
  <c r="M38" i="246" s="1"/>
  <c r="M42" i="246" s="1"/>
  <c r="N37" i="246"/>
  <c r="I38" i="246"/>
  <c r="I42" i="246" s="1"/>
  <c r="I48" i="246" s="1"/>
  <c r="I50" i="246" s="1"/>
  <c r="J38" i="246"/>
  <c r="J42" i="246" s="1"/>
  <c r="J48" i="246" s="1"/>
  <c r="N39" i="246"/>
  <c r="N40" i="246"/>
  <c r="N41" i="246"/>
  <c r="N44" i="246"/>
  <c r="N46" i="246" s="1"/>
  <c r="N45" i="246"/>
  <c r="B46" i="246"/>
  <c r="C46" i="246"/>
  <c r="D46" i="246"/>
  <c r="E46" i="246"/>
  <c r="F46" i="246"/>
  <c r="G46" i="246"/>
  <c r="H46" i="246"/>
  <c r="I46" i="246"/>
  <c r="J46" i="246"/>
  <c r="K46" i="246"/>
  <c r="L46" i="246"/>
  <c r="M46" i="246"/>
  <c r="N53" i="246"/>
  <c r="N54" i="246"/>
  <c r="N55" i="246"/>
  <c r="N56" i="246"/>
  <c r="N57" i="246"/>
  <c r="B58" i="246"/>
  <c r="C58" i="246"/>
  <c r="D58" i="246"/>
  <c r="E58" i="246"/>
  <c r="F58" i="246"/>
  <c r="G58" i="246"/>
  <c r="H58" i="246"/>
  <c r="I58" i="246"/>
  <c r="J58" i="246"/>
  <c r="K58" i="246"/>
  <c r="L58" i="246"/>
  <c r="M58" i="246"/>
  <c r="B68" i="246"/>
  <c r="C68" i="246" s="1"/>
  <c r="D68" i="246" s="1"/>
  <c r="E68" i="246" s="1"/>
  <c r="F68" i="246" s="1"/>
  <c r="G68" i="246" s="1"/>
  <c r="H68" i="246" s="1"/>
  <c r="I68" i="246" s="1"/>
  <c r="J68" i="246" s="1"/>
  <c r="K68" i="246" s="1"/>
  <c r="L68" i="246" s="1"/>
  <c r="M68" i="246" s="1"/>
  <c r="N73" i="246"/>
  <c r="O61" i="250" l="1"/>
  <c r="N27" i="250"/>
  <c r="N28" i="250" s="1"/>
  <c r="H50" i="250"/>
  <c r="D50" i="250"/>
  <c r="C64" i="250"/>
  <c r="C65" i="250" s="1"/>
  <c r="C75" i="250" s="1"/>
  <c r="C50" i="250"/>
  <c r="N48" i="250"/>
  <c r="N64" i="250" s="1"/>
  <c r="N65" i="250" s="1"/>
  <c r="I50" i="250"/>
  <c r="B75" i="250"/>
  <c r="B66" i="250"/>
  <c r="M50" i="250"/>
  <c r="L50" i="250"/>
  <c r="E50" i="250"/>
  <c r="O61" i="249"/>
  <c r="K50" i="249"/>
  <c r="C50" i="249"/>
  <c r="N27" i="249"/>
  <c r="N28" i="249" s="1"/>
  <c r="D64" i="249"/>
  <c r="D65" i="249" s="1"/>
  <c r="D75" i="249" s="1"/>
  <c r="N48" i="249"/>
  <c r="N64" i="249" s="1"/>
  <c r="N65" i="249" s="1"/>
  <c r="B64" i="249"/>
  <c r="B65" i="249" s="1"/>
  <c r="B50" i="249"/>
  <c r="H75" i="249"/>
  <c r="C75" i="249"/>
  <c r="H50" i="249"/>
  <c r="E75" i="249"/>
  <c r="G75" i="249"/>
  <c r="I75" i="249"/>
  <c r="J75" i="249"/>
  <c r="L75" i="249"/>
  <c r="K75" i="249"/>
  <c r="F75" i="249"/>
  <c r="M75" i="249"/>
  <c r="N13" i="248"/>
  <c r="O61" i="248"/>
  <c r="K70" i="248"/>
  <c r="K75" i="248" s="1"/>
  <c r="D70" i="248"/>
  <c r="D75" i="248" s="1"/>
  <c r="C70" i="248"/>
  <c r="C75" i="248" s="1"/>
  <c r="B64" i="248"/>
  <c r="B65" i="248" s="1"/>
  <c r="B70" i="248" s="1"/>
  <c r="B71" i="248" s="1"/>
  <c r="J70" i="248"/>
  <c r="J75" i="248" s="1"/>
  <c r="I70" i="248"/>
  <c r="I75" i="248" s="1"/>
  <c r="N38" i="248"/>
  <c r="N42" i="248" s="1"/>
  <c r="N48" i="248" s="1"/>
  <c r="N64" i="248" s="1"/>
  <c r="N65" i="248" s="1"/>
  <c r="N27" i="248"/>
  <c r="N28" i="248" s="1"/>
  <c r="L64" i="248"/>
  <c r="L65" i="248" s="1"/>
  <c r="K50" i="248"/>
  <c r="C50" i="248"/>
  <c r="I50" i="248"/>
  <c r="H64" i="248"/>
  <c r="H65" i="248" s="1"/>
  <c r="G64" i="248"/>
  <c r="G65" i="248" s="1"/>
  <c r="J50" i="248"/>
  <c r="B50" i="248"/>
  <c r="F64" i="248"/>
  <c r="F65" i="248" s="1"/>
  <c r="M64" i="248"/>
  <c r="M65" i="248" s="1"/>
  <c r="M50" i="248"/>
  <c r="E64" i="248"/>
  <c r="E65" i="248" s="1"/>
  <c r="E50" i="248"/>
  <c r="J50" i="247"/>
  <c r="K50" i="247"/>
  <c r="E50" i="247"/>
  <c r="C64" i="247"/>
  <c r="C65" i="247" s="1"/>
  <c r="C75" i="247" s="1"/>
  <c r="D50" i="247"/>
  <c r="G50" i="247"/>
  <c r="N48" i="247"/>
  <c r="N64" i="247" s="1"/>
  <c r="N65" i="247" s="1"/>
  <c r="I50" i="247"/>
  <c r="H50" i="247"/>
  <c r="B64" i="247"/>
  <c r="B65" i="247" s="1"/>
  <c r="B75" i="247" s="1"/>
  <c r="N27" i="247"/>
  <c r="N28" i="247" s="1"/>
  <c r="M64" i="247"/>
  <c r="M65" i="247" s="1"/>
  <c r="M75" i="247" s="1"/>
  <c r="M50" i="247"/>
  <c r="L50" i="247"/>
  <c r="J27" i="246"/>
  <c r="J28" i="246" s="1"/>
  <c r="B27" i="246"/>
  <c r="B28" i="246" s="1"/>
  <c r="F27" i="246"/>
  <c r="F28" i="246" s="1"/>
  <c r="B69" i="246"/>
  <c r="C69" i="246" s="1"/>
  <c r="D69" i="246" s="1"/>
  <c r="E69" i="246" s="1"/>
  <c r="F69" i="246" s="1"/>
  <c r="G69" i="246" s="1"/>
  <c r="H69" i="246" s="1"/>
  <c r="I69" i="246" s="1"/>
  <c r="J69" i="246" s="1"/>
  <c r="K69" i="246" s="1"/>
  <c r="L69" i="246" s="1"/>
  <c r="M69" i="246" s="1"/>
  <c r="E27" i="246"/>
  <c r="E28" i="246" s="1"/>
  <c r="D62" i="246"/>
  <c r="D72" i="246" s="1"/>
  <c r="N26" i="246"/>
  <c r="L27" i="246"/>
  <c r="L28" i="246" s="1"/>
  <c r="D27" i="246"/>
  <c r="D28" i="246" s="1"/>
  <c r="N20" i="246"/>
  <c r="N25" i="246"/>
  <c r="K27" i="246"/>
  <c r="K28" i="246" s="1"/>
  <c r="N23" i="246"/>
  <c r="N27" i="246" s="1"/>
  <c r="N28" i="246" s="1"/>
  <c r="F48" i="246"/>
  <c r="F61" i="246" s="1"/>
  <c r="F62" i="246" s="1"/>
  <c r="F72" i="246" s="1"/>
  <c r="N13" i="246"/>
  <c r="I27" i="246"/>
  <c r="I28" i="246" s="1"/>
  <c r="M48" i="246"/>
  <c r="M61" i="246" s="1"/>
  <c r="E48" i="246"/>
  <c r="E61" i="246" s="1"/>
  <c r="I61" i="246"/>
  <c r="I62" i="246" s="1"/>
  <c r="I72" i="246" s="1"/>
  <c r="N58" i="246"/>
  <c r="H48" i="246"/>
  <c r="G50" i="246"/>
  <c r="G62" i="246"/>
  <c r="G72" i="246" s="1"/>
  <c r="J61" i="246"/>
  <c r="J62" i="246" s="1"/>
  <c r="J72" i="246" s="1"/>
  <c r="H50" i="246"/>
  <c r="H61" i="246"/>
  <c r="H62" i="246" s="1"/>
  <c r="H72" i="246" s="1"/>
  <c r="M62" i="246"/>
  <c r="M72" i="246" s="1"/>
  <c r="M50" i="246"/>
  <c r="L48" i="246"/>
  <c r="L61" i="246" s="1"/>
  <c r="L62" i="246" s="1"/>
  <c r="L72" i="246" s="1"/>
  <c r="L50" i="246"/>
  <c r="N38" i="246"/>
  <c r="N42" i="246" s="1"/>
  <c r="N48" i="246" s="1"/>
  <c r="N61" i="246" s="1"/>
  <c r="N62" i="246" s="1"/>
  <c r="B42" i="246"/>
  <c r="B48" i="246" s="1"/>
  <c r="K50" i="246"/>
  <c r="C61" i="246"/>
  <c r="C62" i="246" s="1"/>
  <c r="C72" i="246" s="1"/>
  <c r="J50" i="246"/>
  <c r="D50" i="246"/>
  <c r="E62" i="246"/>
  <c r="E72" i="246" s="1"/>
  <c r="C27" i="246"/>
  <c r="C28" i="246" s="1"/>
  <c r="N24" i="246"/>
  <c r="N50" i="250" l="1"/>
  <c r="O50" i="250" s="1"/>
  <c r="B76" i="250"/>
  <c r="B67" i="250"/>
  <c r="B77" i="250" s="1"/>
  <c r="C66" i="250"/>
  <c r="N50" i="249"/>
  <c r="O50" i="249" s="1"/>
  <c r="B71" i="249"/>
  <c r="B66" i="249"/>
  <c r="B66" i="248"/>
  <c r="B76" i="248" s="1"/>
  <c r="B75" i="248"/>
  <c r="F70" i="248"/>
  <c r="F75" i="248" s="1"/>
  <c r="B72" i="248"/>
  <c r="C72" i="248" s="1"/>
  <c r="D72" i="248" s="1"/>
  <c r="C71" i="248"/>
  <c r="D71" i="248" s="1"/>
  <c r="M70" i="248"/>
  <c r="M75" i="248" s="1"/>
  <c r="L70" i="248"/>
  <c r="L75" i="248" s="1"/>
  <c r="E70" i="248"/>
  <c r="E75" i="248" s="1"/>
  <c r="G70" i="248"/>
  <c r="G75" i="248" s="1"/>
  <c r="H70" i="248"/>
  <c r="H75" i="248" s="1"/>
  <c r="N50" i="248"/>
  <c r="O50" i="248" s="1"/>
  <c r="N50" i="247"/>
  <c r="O50" i="247" s="1"/>
  <c r="B66" i="247"/>
  <c r="B67" i="247" s="1"/>
  <c r="B77" i="247" s="1"/>
  <c r="E50" i="246"/>
  <c r="F50" i="246"/>
  <c r="B50" i="246"/>
  <c r="N50" i="246" s="1"/>
  <c r="B61" i="246"/>
  <c r="B62" i="246" s="1"/>
  <c r="C76" i="250" l="1"/>
  <c r="D66" i="250"/>
  <c r="C67" i="250"/>
  <c r="C77" i="250" s="1"/>
  <c r="B75" i="249"/>
  <c r="B76" i="249"/>
  <c r="C66" i="249"/>
  <c r="B67" i="249"/>
  <c r="B72" i="249"/>
  <c r="C72" i="249" s="1"/>
  <c r="D72" i="249" s="1"/>
  <c r="E72" i="249" s="1"/>
  <c r="F72" i="249" s="1"/>
  <c r="G72" i="249" s="1"/>
  <c r="H72" i="249" s="1"/>
  <c r="I72" i="249" s="1"/>
  <c r="J72" i="249" s="1"/>
  <c r="K72" i="249" s="1"/>
  <c r="L72" i="249" s="1"/>
  <c r="M72" i="249" s="1"/>
  <c r="C71" i="249"/>
  <c r="D71" i="249" s="1"/>
  <c r="E71" i="249" s="1"/>
  <c r="F71" i="249" s="1"/>
  <c r="G71" i="249" s="1"/>
  <c r="H71" i="249" s="1"/>
  <c r="I71" i="249" s="1"/>
  <c r="J71" i="249" s="1"/>
  <c r="K71" i="249" s="1"/>
  <c r="L71" i="249" s="1"/>
  <c r="M71" i="249" s="1"/>
  <c r="C66" i="248"/>
  <c r="D66" i="248" s="1"/>
  <c r="B67" i="248"/>
  <c r="B77" i="248" s="1"/>
  <c r="E72" i="248"/>
  <c r="F72" i="248" s="1"/>
  <c r="G72" i="248" s="1"/>
  <c r="H72" i="248" s="1"/>
  <c r="I72" i="248" s="1"/>
  <c r="J72" i="248" s="1"/>
  <c r="K72" i="248" s="1"/>
  <c r="L72" i="248" s="1"/>
  <c r="M72" i="248" s="1"/>
  <c r="E71" i="248"/>
  <c r="F71" i="248" s="1"/>
  <c r="G71" i="248" s="1"/>
  <c r="H71" i="248" s="1"/>
  <c r="I71" i="248" s="1"/>
  <c r="J71" i="248" s="1"/>
  <c r="K71" i="248" s="1"/>
  <c r="L71" i="248" s="1"/>
  <c r="M71" i="248" s="1"/>
  <c r="B76" i="247"/>
  <c r="C66" i="247"/>
  <c r="C76" i="247" s="1"/>
  <c r="D66" i="247"/>
  <c r="C67" i="247"/>
  <c r="C77" i="247" s="1"/>
  <c r="B63" i="246"/>
  <c r="B72" i="246"/>
  <c r="E66" i="250" l="1"/>
  <c r="D67" i="250"/>
  <c r="D77" i="250" s="1"/>
  <c r="D76" i="250"/>
  <c r="C76" i="248"/>
  <c r="C67" i="248"/>
  <c r="C77" i="248" s="1"/>
  <c r="B77" i="249"/>
  <c r="C76" i="249"/>
  <c r="C67" i="249"/>
  <c r="C77" i="249" s="1"/>
  <c r="D66" i="249"/>
  <c r="E66" i="248"/>
  <c r="D67" i="248"/>
  <c r="D77" i="248" s="1"/>
  <c r="D76" i="248"/>
  <c r="E66" i="247"/>
  <c r="D76" i="247"/>
  <c r="D67" i="247"/>
  <c r="D77" i="247" s="1"/>
  <c r="B64" i="246"/>
  <c r="B74" i="246" s="1"/>
  <c r="B73" i="246"/>
  <c r="C63" i="246"/>
  <c r="F66" i="250" l="1"/>
  <c r="E76" i="250"/>
  <c r="E67" i="250"/>
  <c r="E77" i="250" s="1"/>
  <c r="D67" i="249"/>
  <c r="D77" i="249" s="1"/>
  <c r="E66" i="249"/>
  <c r="D76" i="249"/>
  <c r="F66" i="248"/>
  <c r="E76" i="248"/>
  <c r="E67" i="248"/>
  <c r="E77" i="248" s="1"/>
  <c r="F66" i="247"/>
  <c r="E76" i="247"/>
  <c r="E67" i="247"/>
  <c r="E77" i="247" s="1"/>
  <c r="C64" i="246"/>
  <c r="C74" i="246" s="1"/>
  <c r="C73" i="246"/>
  <c r="D63" i="246"/>
  <c r="G66" i="250" l="1"/>
  <c r="F76" i="250"/>
  <c r="F67" i="250"/>
  <c r="F77" i="250" s="1"/>
  <c r="E67" i="249"/>
  <c r="E77" i="249" s="1"/>
  <c r="F66" i="249"/>
  <c r="E76" i="249"/>
  <c r="F76" i="248"/>
  <c r="F67" i="248"/>
  <c r="F77" i="248" s="1"/>
  <c r="G66" i="248"/>
  <c r="G66" i="247"/>
  <c r="F76" i="247"/>
  <c r="F67" i="247"/>
  <c r="F77" i="247" s="1"/>
  <c r="E63" i="246"/>
  <c r="D64" i="246"/>
  <c r="D74" i="246" s="1"/>
  <c r="D73" i="246"/>
  <c r="G76" i="250" l="1"/>
  <c r="G67" i="250"/>
  <c r="G77" i="250" s="1"/>
  <c r="H66" i="250"/>
  <c r="F67" i="249"/>
  <c r="F77" i="249" s="1"/>
  <c r="G66" i="249"/>
  <c r="F76" i="249"/>
  <c r="H66" i="248"/>
  <c r="G76" i="248"/>
  <c r="G67" i="248"/>
  <c r="G77" i="248" s="1"/>
  <c r="G76" i="247"/>
  <c r="G67" i="247"/>
  <c r="G77" i="247" s="1"/>
  <c r="H66" i="247"/>
  <c r="E64" i="246"/>
  <c r="E74" i="246" s="1"/>
  <c r="E73" i="246"/>
  <c r="F63" i="246"/>
  <c r="H76" i="250" l="1"/>
  <c r="H67" i="250"/>
  <c r="H77" i="250" s="1"/>
  <c r="I66" i="250"/>
  <c r="H66" i="249"/>
  <c r="G76" i="249"/>
  <c r="G67" i="249"/>
  <c r="G77" i="249" s="1"/>
  <c r="I66" i="248"/>
  <c r="H76" i="248"/>
  <c r="H67" i="248"/>
  <c r="H77" i="248" s="1"/>
  <c r="H76" i="247"/>
  <c r="H67" i="247"/>
  <c r="H77" i="247" s="1"/>
  <c r="I66" i="247"/>
  <c r="F64" i="246"/>
  <c r="F74" i="246" s="1"/>
  <c r="F73" i="246"/>
  <c r="G63" i="246"/>
  <c r="I76" i="250" l="1"/>
  <c r="I67" i="250"/>
  <c r="I77" i="250" s="1"/>
  <c r="J66" i="250"/>
  <c r="I66" i="249"/>
  <c r="H76" i="249"/>
  <c r="H67" i="249"/>
  <c r="H77" i="249" s="1"/>
  <c r="I76" i="248"/>
  <c r="I67" i="248"/>
  <c r="I77" i="248" s="1"/>
  <c r="J66" i="248"/>
  <c r="I76" i="247"/>
  <c r="I67" i="247"/>
  <c r="I77" i="247" s="1"/>
  <c r="J66" i="247"/>
  <c r="H63" i="246"/>
  <c r="G64" i="246"/>
  <c r="G74" i="246" s="1"/>
  <c r="G73" i="246"/>
  <c r="J76" i="250" l="1"/>
  <c r="J67" i="250"/>
  <c r="J77" i="250" s="1"/>
  <c r="K66" i="250"/>
  <c r="J66" i="249"/>
  <c r="I76" i="249"/>
  <c r="I67" i="249"/>
  <c r="I77" i="249" s="1"/>
  <c r="J76" i="248"/>
  <c r="J67" i="248"/>
  <c r="J77" i="248" s="1"/>
  <c r="K66" i="248"/>
  <c r="J76" i="247"/>
  <c r="J67" i="247"/>
  <c r="J77" i="247" s="1"/>
  <c r="K66" i="247"/>
  <c r="H64" i="246"/>
  <c r="H74" i="246" s="1"/>
  <c r="H73" i="246"/>
  <c r="I63" i="246"/>
  <c r="K67" i="250" l="1"/>
  <c r="K77" i="250" s="1"/>
  <c r="L66" i="250"/>
  <c r="K76" i="250"/>
  <c r="J76" i="249"/>
  <c r="J67" i="249"/>
  <c r="J77" i="249" s="1"/>
  <c r="K66" i="249"/>
  <c r="L66" i="248"/>
  <c r="K76" i="248"/>
  <c r="K67" i="248"/>
  <c r="K77" i="248" s="1"/>
  <c r="L66" i="247"/>
  <c r="K67" i="247"/>
  <c r="K77" i="247" s="1"/>
  <c r="K76" i="247"/>
  <c r="I64" i="246"/>
  <c r="I74" i="246" s="1"/>
  <c r="I73" i="246"/>
  <c r="J63" i="246"/>
  <c r="M66" i="250" l="1"/>
  <c r="L76" i="250"/>
  <c r="L67" i="250"/>
  <c r="L77" i="250" s="1"/>
  <c r="K67" i="249"/>
  <c r="K77" i="249" s="1"/>
  <c r="L66" i="249"/>
  <c r="K76" i="249"/>
  <c r="M66" i="248"/>
  <c r="L76" i="248"/>
  <c r="L67" i="248"/>
  <c r="L77" i="248" s="1"/>
  <c r="M66" i="247"/>
  <c r="L76" i="247"/>
  <c r="L67" i="247"/>
  <c r="L77" i="247" s="1"/>
  <c r="J64" i="246"/>
  <c r="J74" i="246" s="1"/>
  <c r="J73" i="246"/>
  <c r="K63" i="246"/>
  <c r="M76" i="250" l="1"/>
  <c r="M67" i="250"/>
  <c r="M77" i="250" s="1"/>
  <c r="L67" i="249"/>
  <c r="L77" i="249" s="1"/>
  <c r="L76" i="249"/>
  <c r="M66" i="249"/>
  <c r="M67" i="248"/>
  <c r="M77" i="248" s="1"/>
  <c r="M76" i="248"/>
  <c r="M76" i="247"/>
  <c r="M67" i="247"/>
  <c r="M77" i="247" s="1"/>
  <c r="K73" i="246"/>
  <c r="K64" i="246"/>
  <c r="K74" i="246" s="1"/>
  <c r="L63" i="246"/>
  <c r="M67" i="249" l="1"/>
  <c r="M77" i="249" s="1"/>
  <c r="M76" i="249"/>
  <c r="L64" i="246"/>
  <c r="L74" i="246" s="1"/>
  <c r="L73" i="246"/>
  <c r="M63" i="246"/>
  <c r="M64" i="246" l="1"/>
  <c r="M74" i="246" s="1"/>
  <c r="M73" i="246"/>
  <c r="N56" i="245" l="1"/>
  <c r="N41" i="245" l="1"/>
  <c r="M37" i="245" l="1"/>
  <c r="N76" i="245" l="1"/>
  <c r="B71" i="245"/>
  <c r="B72" i="245" s="1"/>
  <c r="C72" i="245" s="1"/>
  <c r="D72" i="245" s="1"/>
  <c r="E72" i="245" s="1"/>
  <c r="F72" i="245" s="1"/>
  <c r="G72" i="245" s="1"/>
  <c r="H72" i="245" s="1"/>
  <c r="I72" i="245" s="1"/>
  <c r="J72" i="245" s="1"/>
  <c r="K72" i="245" s="1"/>
  <c r="L72" i="245" s="1"/>
  <c r="M72" i="245" s="1"/>
  <c r="M61" i="245"/>
  <c r="L61" i="245"/>
  <c r="K61" i="245"/>
  <c r="J61" i="245"/>
  <c r="I61" i="245"/>
  <c r="H61" i="245"/>
  <c r="G61" i="245"/>
  <c r="F61" i="245"/>
  <c r="E61" i="245"/>
  <c r="D61" i="245"/>
  <c r="C61" i="245"/>
  <c r="B61" i="245"/>
  <c r="N60" i="245"/>
  <c r="N59" i="245"/>
  <c r="N55" i="245"/>
  <c r="N54" i="245"/>
  <c r="N53" i="245"/>
  <c r="L46" i="245"/>
  <c r="K46" i="245"/>
  <c r="J46" i="245"/>
  <c r="I46" i="245"/>
  <c r="H46" i="245"/>
  <c r="G46" i="245"/>
  <c r="F46" i="245"/>
  <c r="E46" i="245"/>
  <c r="D46" i="245"/>
  <c r="C46" i="245"/>
  <c r="B46" i="245"/>
  <c r="N45" i="245"/>
  <c r="N44" i="245"/>
  <c r="N40" i="245"/>
  <c r="N39" i="245"/>
  <c r="N37" i="245"/>
  <c r="M34" i="245"/>
  <c r="M38" i="245" s="1"/>
  <c r="M42" i="245" s="1"/>
  <c r="L34" i="245"/>
  <c r="L38" i="245" s="1"/>
  <c r="L42" i="245" s="1"/>
  <c r="K34" i="245"/>
  <c r="K38" i="245" s="1"/>
  <c r="K42" i="245" s="1"/>
  <c r="J34" i="245"/>
  <c r="J38" i="245" s="1"/>
  <c r="J42" i="245" s="1"/>
  <c r="I34" i="245"/>
  <c r="I38" i="245" s="1"/>
  <c r="I42" i="245" s="1"/>
  <c r="H34" i="245"/>
  <c r="H38" i="245" s="1"/>
  <c r="H42" i="245" s="1"/>
  <c r="G34" i="245"/>
  <c r="G38" i="245" s="1"/>
  <c r="G42" i="245" s="1"/>
  <c r="F34" i="245"/>
  <c r="F38" i="245" s="1"/>
  <c r="F42" i="245" s="1"/>
  <c r="E34" i="245"/>
  <c r="E38" i="245" s="1"/>
  <c r="E42" i="245" s="1"/>
  <c r="D34" i="245"/>
  <c r="D38" i="245" s="1"/>
  <c r="D42" i="245" s="1"/>
  <c r="C34" i="245"/>
  <c r="C38" i="245" s="1"/>
  <c r="C42" i="245" s="1"/>
  <c r="B34" i="245"/>
  <c r="B38" i="245" s="1"/>
  <c r="N33" i="245"/>
  <c r="N32" i="245"/>
  <c r="N31" i="245"/>
  <c r="N30" i="245"/>
  <c r="M26" i="245"/>
  <c r="L26" i="245"/>
  <c r="K26" i="245"/>
  <c r="J26" i="245"/>
  <c r="I26" i="245"/>
  <c r="H26" i="245"/>
  <c r="G26" i="245"/>
  <c r="F26" i="245"/>
  <c r="E26" i="245"/>
  <c r="D26" i="245"/>
  <c r="C26" i="245"/>
  <c r="B26" i="245"/>
  <c r="M25" i="245"/>
  <c r="L25" i="245"/>
  <c r="K25" i="245"/>
  <c r="J25" i="245"/>
  <c r="I25" i="245"/>
  <c r="H25" i="245"/>
  <c r="G25" i="245"/>
  <c r="F25" i="245"/>
  <c r="E25" i="245"/>
  <c r="D25" i="245"/>
  <c r="C25" i="245"/>
  <c r="B25" i="245"/>
  <c r="M24" i="245"/>
  <c r="L24" i="245"/>
  <c r="K24" i="245"/>
  <c r="J24" i="245"/>
  <c r="I24" i="245"/>
  <c r="H24" i="245"/>
  <c r="G24" i="245"/>
  <c r="F24" i="245"/>
  <c r="E24" i="245"/>
  <c r="D24" i="245"/>
  <c r="C24" i="245"/>
  <c r="B24" i="245"/>
  <c r="M23" i="245"/>
  <c r="L23" i="245"/>
  <c r="K23" i="245"/>
  <c r="J23" i="245"/>
  <c r="I23" i="245"/>
  <c r="H23" i="245"/>
  <c r="G23" i="245"/>
  <c r="F23" i="245"/>
  <c r="E23" i="245"/>
  <c r="D23" i="245"/>
  <c r="C23" i="245"/>
  <c r="C27" i="245" s="1"/>
  <c r="B23" i="245"/>
  <c r="M20" i="245"/>
  <c r="L20" i="245"/>
  <c r="K20" i="245"/>
  <c r="J20" i="245"/>
  <c r="I20" i="245"/>
  <c r="H20" i="245"/>
  <c r="G20" i="245"/>
  <c r="F20" i="245"/>
  <c r="E20" i="245"/>
  <c r="D20" i="245"/>
  <c r="C20" i="245"/>
  <c r="B20" i="245"/>
  <c r="N19" i="245"/>
  <c r="N17" i="245"/>
  <c r="N16" i="245"/>
  <c r="N11" i="245"/>
  <c r="M9" i="245"/>
  <c r="M13" i="245" s="1"/>
  <c r="L9" i="245"/>
  <c r="L13" i="245" s="1"/>
  <c r="K9" i="245"/>
  <c r="K13" i="245" s="1"/>
  <c r="J9" i="245"/>
  <c r="J13" i="245" s="1"/>
  <c r="I9" i="245"/>
  <c r="I13" i="245" s="1"/>
  <c r="H9" i="245"/>
  <c r="H13" i="245" s="1"/>
  <c r="G9" i="245"/>
  <c r="G13" i="245" s="1"/>
  <c r="F9" i="245"/>
  <c r="F13" i="245" s="1"/>
  <c r="E9" i="245"/>
  <c r="E13" i="245" s="1"/>
  <c r="D9" i="245"/>
  <c r="C9" i="245"/>
  <c r="B9" i="245"/>
  <c r="B13" i="245" s="1"/>
  <c r="N8" i="245"/>
  <c r="N7" i="245"/>
  <c r="N6" i="245"/>
  <c r="N5" i="245"/>
  <c r="H27" i="245" l="1"/>
  <c r="B27" i="245"/>
  <c r="B28" i="245" s="1"/>
  <c r="J27" i="245"/>
  <c r="G27" i="245"/>
  <c r="G28" i="245" s="1"/>
  <c r="E27" i="245"/>
  <c r="E28" i="245" s="1"/>
  <c r="K27" i="245"/>
  <c r="K28" i="245" s="1"/>
  <c r="I27" i="245"/>
  <c r="I28" i="245" s="1"/>
  <c r="M48" i="245"/>
  <c r="M64" i="245" s="1"/>
  <c r="M65" i="245" s="1"/>
  <c r="M75" i="245" s="1"/>
  <c r="H28" i="245"/>
  <c r="F48" i="245"/>
  <c r="F64" i="245" s="1"/>
  <c r="F65" i="245" s="1"/>
  <c r="F75" i="245" s="1"/>
  <c r="M27" i="245"/>
  <c r="M28" i="245" s="1"/>
  <c r="N20" i="245"/>
  <c r="N25" i="245"/>
  <c r="N26" i="245"/>
  <c r="D27" i="245"/>
  <c r="D28" i="245" s="1"/>
  <c r="C71" i="245"/>
  <c r="D71" i="245" s="1"/>
  <c r="E71" i="245" s="1"/>
  <c r="F71" i="245" s="1"/>
  <c r="G71" i="245" s="1"/>
  <c r="H71" i="245" s="1"/>
  <c r="I71" i="245" s="1"/>
  <c r="L27" i="245"/>
  <c r="L28" i="245" s="1"/>
  <c r="N46" i="245"/>
  <c r="N24" i="245"/>
  <c r="N9" i="245"/>
  <c r="N13" i="245" s="1"/>
  <c r="C28" i="245"/>
  <c r="N34" i="245"/>
  <c r="F27" i="245"/>
  <c r="F28" i="245" s="1"/>
  <c r="C13" i="245"/>
  <c r="G48" i="245"/>
  <c r="G64" i="245" s="1"/>
  <c r="G65" i="245" s="1"/>
  <c r="G75" i="245" s="1"/>
  <c r="H48" i="245"/>
  <c r="H50" i="245" s="1"/>
  <c r="I48" i="245"/>
  <c r="I64" i="245" s="1"/>
  <c r="I65" i="245" s="1"/>
  <c r="I75" i="245" s="1"/>
  <c r="N61" i="245"/>
  <c r="J48" i="245"/>
  <c r="J64" i="245" s="1"/>
  <c r="J65" i="245" s="1"/>
  <c r="J75" i="245" s="1"/>
  <c r="J28" i="245"/>
  <c r="D48" i="245"/>
  <c r="D64" i="245" s="1"/>
  <c r="E48" i="245"/>
  <c r="E64" i="245" s="1"/>
  <c r="E65" i="245" s="1"/>
  <c r="E75" i="245" s="1"/>
  <c r="B42" i="245"/>
  <c r="B48" i="245" s="1"/>
  <c r="B50" i="245" s="1"/>
  <c r="N38" i="245"/>
  <c r="N42" i="245" s="1"/>
  <c r="K48" i="245"/>
  <c r="K50" i="245" s="1"/>
  <c r="L48" i="245"/>
  <c r="L50" i="245" s="1"/>
  <c r="D13" i="245"/>
  <c r="C48" i="245"/>
  <c r="C64" i="245" s="1"/>
  <c r="N23" i="245"/>
  <c r="N73" i="244"/>
  <c r="B68" i="244"/>
  <c r="B69" i="244" s="1"/>
  <c r="C69" i="244" s="1"/>
  <c r="D69" i="244" s="1"/>
  <c r="E69" i="244" s="1"/>
  <c r="F69" i="244" s="1"/>
  <c r="G69" i="244" s="1"/>
  <c r="H69" i="244" s="1"/>
  <c r="I69" i="244" s="1"/>
  <c r="J69" i="244" s="1"/>
  <c r="K69" i="244" s="1"/>
  <c r="L69" i="244" s="1"/>
  <c r="M69" i="244" s="1"/>
  <c r="M58" i="244"/>
  <c r="L58" i="244"/>
  <c r="K58" i="244"/>
  <c r="J58" i="244"/>
  <c r="I58" i="244"/>
  <c r="H58" i="244"/>
  <c r="G58" i="244"/>
  <c r="F58" i="244"/>
  <c r="E58" i="244"/>
  <c r="D58" i="244"/>
  <c r="C58" i="244"/>
  <c r="B58" i="244"/>
  <c r="N57" i="244"/>
  <c r="N56" i="244"/>
  <c r="N55" i="244"/>
  <c r="N54" i="244"/>
  <c r="N53" i="244"/>
  <c r="M46" i="244"/>
  <c r="L46" i="244"/>
  <c r="K46" i="244"/>
  <c r="J46" i="244"/>
  <c r="I46" i="244"/>
  <c r="H46" i="244"/>
  <c r="G46" i="244"/>
  <c r="F46" i="244"/>
  <c r="E46" i="244"/>
  <c r="D46" i="244"/>
  <c r="C46" i="244"/>
  <c r="B46" i="244"/>
  <c r="N45" i="244"/>
  <c r="N44" i="244"/>
  <c r="N41" i="244"/>
  <c r="N40" i="244"/>
  <c r="N39" i="244"/>
  <c r="N37" i="244"/>
  <c r="M34" i="244"/>
  <c r="M38" i="244" s="1"/>
  <c r="M42" i="244" s="1"/>
  <c r="L34" i="244"/>
  <c r="L38" i="244" s="1"/>
  <c r="L42" i="244" s="1"/>
  <c r="K34" i="244"/>
  <c r="K38" i="244" s="1"/>
  <c r="K42" i="244" s="1"/>
  <c r="J34" i="244"/>
  <c r="J38" i="244" s="1"/>
  <c r="J42" i="244" s="1"/>
  <c r="I34" i="244"/>
  <c r="I38" i="244" s="1"/>
  <c r="I42" i="244" s="1"/>
  <c r="H34" i="244"/>
  <c r="H38" i="244" s="1"/>
  <c r="H42" i="244" s="1"/>
  <c r="G34" i="244"/>
  <c r="G38" i="244" s="1"/>
  <c r="G42" i="244" s="1"/>
  <c r="F34" i="244"/>
  <c r="F38" i="244" s="1"/>
  <c r="F42" i="244" s="1"/>
  <c r="E34" i="244"/>
  <c r="E38" i="244" s="1"/>
  <c r="E42" i="244" s="1"/>
  <c r="D34" i="244"/>
  <c r="D38" i="244" s="1"/>
  <c r="D42" i="244" s="1"/>
  <c r="C34" i="244"/>
  <c r="C38" i="244" s="1"/>
  <c r="C42" i="244" s="1"/>
  <c r="B34" i="244"/>
  <c r="B38" i="244" s="1"/>
  <c r="B42" i="244" s="1"/>
  <c r="N33" i="244"/>
  <c r="N32" i="244"/>
  <c r="N31" i="244"/>
  <c r="N30" i="244"/>
  <c r="M26" i="244"/>
  <c r="L26" i="244"/>
  <c r="K26" i="244"/>
  <c r="J26" i="244"/>
  <c r="I26" i="244"/>
  <c r="H26" i="244"/>
  <c r="G26" i="244"/>
  <c r="F26" i="244"/>
  <c r="E26" i="244"/>
  <c r="D26" i="244"/>
  <c r="C26" i="244"/>
  <c r="B26" i="244"/>
  <c r="M25" i="244"/>
  <c r="L25" i="244"/>
  <c r="K25" i="244"/>
  <c r="J25" i="244"/>
  <c r="I25" i="244"/>
  <c r="H25" i="244"/>
  <c r="G25" i="244"/>
  <c r="F25" i="244"/>
  <c r="E25" i="244"/>
  <c r="D25" i="244"/>
  <c r="C25" i="244"/>
  <c r="B25" i="244"/>
  <c r="M24" i="244"/>
  <c r="L24" i="244"/>
  <c r="K24" i="244"/>
  <c r="J24" i="244"/>
  <c r="I24" i="244"/>
  <c r="H24" i="244"/>
  <c r="G24" i="244"/>
  <c r="F24" i="244"/>
  <c r="E24" i="244"/>
  <c r="D24" i="244"/>
  <c r="C24" i="244"/>
  <c r="B24" i="244"/>
  <c r="M23" i="244"/>
  <c r="M27" i="244" s="1"/>
  <c r="L23" i="244"/>
  <c r="K23" i="244"/>
  <c r="J23" i="244"/>
  <c r="J27" i="244" s="1"/>
  <c r="I23" i="244"/>
  <c r="H23" i="244"/>
  <c r="H27" i="244" s="1"/>
  <c r="G23" i="244"/>
  <c r="F23" i="244"/>
  <c r="E23" i="244"/>
  <c r="D23" i="244"/>
  <c r="C23" i="244"/>
  <c r="B23" i="244"/>
  <c r="B27" i="244" s="1"/>
  <c r="M20" i="244"/>
  <c r="L20" i="244"/>
  <c r="K20" i="244"/>
  <c r="J20" i="244"/>
  <c r="I20" i="244"/>
  <c r="H20" i="244"/>
  <c r="G20" i="244"/>
  <c r="F20" i="244"/>
  <c r="E20" i="244"/>
  <c r="D20" i="244"/>
  <c r="C20" i="244"/>
  <c r="B20" i="244"/>
  <c r="N19" i="244"/>
  <c r="N17" i="244"/>
  <c r="N16" i="244"/>
  <c r="N11" i="244"/>
  <c r="M9" i="244"/>
  <c r="M13" i="244" s="1"/>
  <c r="L9" i="244"/>
  <c r="L13" i="244" s="1"/>
  <c r="K9" i="244"/>
  <c r="K13" i="244" s="1"/>
  <c r="J9" i="244"/>
  <c r="J13" i="244" s="1"/>
  <c r="I9" i="244"/>
  <c r="I13" i="244" s="1"/>
  <c r="H9" i="244"/>
  <c r="H13" i="244" s="1"/>
  <c r="G9" i="244"/>
  <c r="G13" i="244" s="1"/>
  <c r="F9" i="244"/>
  <c r="F13" i="244" s="1"/>
  <c r="E9" i="244"/>
  <c r="E13" i="244" s="1"/>
  <c r="D9" i="244"/>
  <c r="D13" i="244" s="1"/>
  <c r="C9" i="244"/>
  <c r="C13" i="244" s="1"/>
  <c r="B9" i="244"/>
  <c r="B13" i="244" s="1"/>
  <c r="N8" i="244"/>
  <c r="N7" i="244"/>
  <c r="N6" i="244"/>
  <c r="N5" i="244"/>
  <c r="N4" i="244"/>
  <c r="C27" i="244" l="1"/>
  <c r="J71" i="245"/>
  <c r="K71" i="245" s="1"/>
  <c r="L71" i="245" s="1"/>
  <c r="M71" i="245" s="1"/>
  <c r="C65" i="245"/>
  <c r="C75" i="245" s="1"/>
  <c r="M50" i="245"/>
  <c r="G50" i="245"/>
  <c r="I50" i="245"/>
  <c r="F50" i="245"/>
  <c r="C50" i="245"/>
  <c r="H64" i="245"/>
  <c r="H65" i="245" s="1"/>
  <c r="H75" i="245" s="1"/>
  <c r="J50" i="245"/>
  <c r="N27" i="245"/>
  <c r="N28" i="245" s="1"/>
  <c r="N48" i="245"/>
  <c r="N64" i="245" s="1"/>
  <c r="N65" i="245" s="1"/>
  <c r="K64" i="245"/>
  <c r="K65" i="245" s="1"/>
  <c r="K75" i="245" s="1"/>
  <c r="B64" i="245"/>
  <c r="B65" i="245" s="1"/>
  <c r="B75" i="245" s="1"/>
  <c r="L64" i="245"/>
  <c r="L65" i="245" s="1"/>
  <c r="L75" i="245" s="1"/>
  <c r="E50" i="245"/>
  <c r="D50" i="245"/>
  <c r="D65" i="245"/>
  <c r="D75" i="245" s="1"/>
  <c r="D27" i="244"/>
  <c r="G48" i="244"/>
  <c r="G61" i="244" s="1"/>
  <c r="G62" i="244" s="1"/>
  <c r="G72" i="244" s="1"/>
  <c r="F27" i="244"/>
  <c r="F28" i="244" s="1"/>
  <c r="L27" i="244"/>
  <c r="L28" i="244" s="1"/>
  <c r="E48" i="244"/>
  <c r="E61" i="244" s="1"/>
  <c r="E62" i="244" s="1"/>
  <c r="E72" i="244" s="1"/>
  <c r="L48" i="244"/>
  <c r="L50" i="244" s="1"/>
  <c r="M28" i="244"/>
  <c r="H28" i="244"/>
  <c r="M48" i="244"/>
  <c r="M61" i="244" s="1"/>
  <c r="M62" i="244" s="1"/>
  <c r="M72" i="244" s="1"/>
  <c r="D48" i="244"/>
  <c r="D61" i="244" s="1"/>
  <c r="D62" i="244" s="1"/>
  <c r="D72" i="244" s="1"/>
  <c r="N9" i="244"/>
  <c r="N13" i="244" s="1"/>
  <c r="N20" i="244"/>
  <c r="N24" i="244"/>
  <c r="D28" i="244"/>
  <c r="E27" i="244"/>
  <c r="E28" i="244" s="1"/>
  <c r="N46" i="244"/>
  <c r="G27" i="244"/>
  <c r="G28" i="244" s="1"/>
  <c r="H48" i="244"/>
  <c r="H50" i="244" s="1"/>
  <c r="I48" i="244"/>
  <c r="I61" i="244" s="1"/>
  <c r="I62" i="244" s="1"/>
  <c r="I72" i="244" s="1"/>
  <c r="I27" i="244"/>
  <c r="I28" i="244" s="1"/>
  <c r="J48" i="244"/>
  <c r="J61" i="244" s="1"/>
  <c r="J62" i="244" s="1"/>
  <c r="J72" i="244" s="1"/>
  <c r="N58" i="244"/>
  <c r="K48" i="244"/>
  <c r="K50" i="244" s="1"/>
  <c r="K27" i="244"/>
  <c r="K28" i="244" s="1"/>
  <c r="F48" i="244"/>
  <c r="F61" i="244" s="1"/>
  <c r="F62" i="244" s="1"/>
  <c r="F72" i="244" s="1"/>
  <c r="B28" i="244"/>
  <c r="N26" i="244"/>
  <c r="B48" i="244"/>
  <c r="B50" i="244" s="1"/>
  <c r="N25" i="244"/>
  <c r="J28" i="244"/>
  <c r="C68" i="244"/>
  <c r="D68" i="244" s="1"/>
  <c r="E68" i="244" s="1"/>
  <c r="F68" i="244" s="1"/>
  <c r="G68" i="244" s="1"/>
  <c r="H68" i="244" s="1"/>
  <c r="I68" i="244" s="1"/>
  <c r="J68" i="244" s="1"/>
  <c r="K68" i="244" s="1"/>
  <c r="L68" i="244" s="1"/>
  <c r="M68" i="244" s="1"/>
  <c r="C48" i="244"/>
  <c r="C61" i="244" s="1"/>
  <c r="C62" i="244" s="1"/>
  <c r="C72" i="244" s="1"/>
  <c r="C28" i="244"/>
  <c r="N34" i="244"/>
  <c r="N23" i="244"/>
  <c r="N38" i="244"/>
  <c r="N42" i="244" s="1"/>
  <c r="N73" i="243"/>
  <c r="B68" i="243"/>
  <c r="B69" i="243" s="1"/>
  <c r="C69" i="243" s="1"/>
  <c r="D69" i="243" s="1"/>
  <c r="E69" i="243" s="1"/>
  <c r="F69" i="243" s="1"/>
  <c r="G69" i="243" s="1"/>
  <c r="H69" i="243" s="1"/>
  <c r="I69" i="243" s="1"/>
  <c r="J69" i="243" s="1"/>
  <c r="K69" i="243" s="1"/>
  <c r="L69" i="243" s="1"/>
  <c r="M69" i="243" s="1"/>
  <c r="M58" i="243"/>
  <c r="L58" i="243"/>
  <c r="K58" i="243"/>
  <c r="J58" i="243"/>
  <c r="I58" i="243"/>
  <c r="H58" i="243"/>
  <c r="G58" i="243"/>
  <c r="F58" i="243"/>
  <c r="E58" i="243"/>
  <c r="D58" i="243"/>
  <c r="C58" i="243"/>
  <c r="B58" i="243"/>
  <c r="N57" i="243"/>
  <c r="N56" i="243"/>
  <c r="N55" i="243"/>
  <c r="N54" i="243"/>
  <c r="N53" i="243"/>
  <c r="M46" i="243"/>
  <c r="L46" i="243"/>
  <c r="K46" i="243"/>
  <c r="J46" i="243"/>
  <c r="I46" i="243"/>
  <c r="H46" i="243"/>
  <c r="G46" i="243"/>
  <c r="F46" i="243"/>
  <c r="E46" i="243"/>
  <c r="D46" i="243"/>
  <c r="C46" i="243"/>
  <c r="B46" i="243"/>
  <c r="N45" i="243"/>
  <c r="N44" i="243"/>
  <c r="N46" i="243" s="1"/>
  <c r="N41" i="243"/>
  <c r="N40" i="243"/>
  <c r="N39" i="243"/>
  <c r="N37" i="243"/>
  <c r="M34" i="243"/>
  <c r="M38" i="243" s="1"/>
  <c r="M42" i="243" s="1"/>
  <c r="L34" i="243"/>
  <c r="L38" i="243" s="1"/>
  <c r="L42" i="243" s="1"/>
  <c r="K34" i="243"/>
  <c r="K38" i="243" s="1"/>
  <c r="K42" i="243" s="1"/>
  <c r="J34" i="243"/>
  <c r="J38" i="243" s="1"/>
  <c r="J42" i="243" s="1"/>
  <c r="I34" i="243"/>
  <c r="I38" i="243" s="1"/>
  <c r="I42" i="243" s="1"/>
  <c r="H34" i="243"/>
  <c r="H38" i="243" s="1"/>
  <c r="H42" i="243" s="1"/>
  <c r="G34" i="243"/>
  <c r="G38" i="243" s="1"/>
  <c r="G42" i="243" s="1"/>
  <c r="F34" i="243"/>
  <c r="F38" i="243" s="1"/>
  <c r="F42" i="243" s="1"/>
  <c r="E34" i="243"/>
  <c r="E38" i="243" s="1"/>
  <c r="E42" i="243" s="1"/>
  <c r="D34" i="243"/>
  <c r="D38" i="243" s="1"/>
  <c r="D42" i="243" s="1"/>
  <c r="C34" i="243"/>
  <c r="C38" i="243" s="1"/>
  <c r="C42" i="243" s="1"/>
  <c r="B34" i="243"/>
  <c r="B38" i="243" s="1"/>
  <c r="N33" i="243"/>
  <c r="N32" i="243"/>
  <c r="N31" i="243"/>
  <c r="N30" i="243"/>
  <c r="M26" i="243"/>
  <c r="L26" i="243"/>
  <c r="K26" i="243"/>
  <c r="J26" i="243"/>
  <c r="I26" i="243"/>
  <c r="H26" i="243"/>
  <c r="G26" i="243"/>
  <c r="F26" i="243"/>
  <c r="E26" i="243"/>
  <c r="D26" i="243"/>
  <c r="C26" i="243"/>
  <c r="B26" i="243"/>
  <c r="M25" i="243"/>
  <c r="L25" i="243"/>
  <c r="K25" i="243"/>
  <c r="J25" i="243"/>
  <c r="I25" i="243"/>
  <c r="H25" i="243"/>
  <c r="G25" i="243"/>
  <c r="F25" i="243"/>
  <c r="E25" i="243"/>
  <c r="D25" i="243"/>
  <c r="C25" i="243"/>
  <c r="B25" i="243"/>
  <c r="M24" i="243"/>
  <c r="L24" i="243"/>
  <c r="K24" i="243"/>
  <c r="J24" i="243"/>
  <c r="I24" i="243"/>
  <c r="H24" i="243"/>
  <c r="G24" i="243"/>
  <c r="F24" i="243"/>
  <c r="E24" i="243"/>
  <c r="D24" i="243"/>
  <c r="C24" i="243"/>
  <c r="B24" i="243"/>
  <c r="M23" i="243"/>
  <c r="M27" i="243" s="1"/>
  <c r="L23" i="243"/>
  <c r="L27" i="243" s="1"/>
  <c r="K23" i="243"/>
  <c r="K27" i="243" s="1"/>
  <c r="J23" i="243"/>
  <c r="J27" i="243" s="1"/>
  <c r="I23" i="243"/>
  <c r="H23" i="243"/>
  <c r="G23" i="243"/>
  <c r="G27" i="243" s="1"/>
  <c r="F23" i="243"/>
  <c r="E23" i="243"/>
  <c r="D23" i="243"/>
  <c r="D27" i="243" s="1"/>
  <c r="C23" i="243"/>
  <c r="C27" i="243" s="1"/>
  <c r="B23" i="243"/>
  <c r="B27" i="243" s="1"/>
  <c r="M20" i="243"/>
  <c r="L20" i="243"/>
  <c r="K20" i="243"/>
  <c r="J20" i="243"/>
  <c r="I20" i="243"/>
  <c r="H20" i="243"/>
  <c r="H48" i="243" s="1"/>
  <c r="G20" i="243"/>
  <c r="F20" i="243"/>
  <c r="E20" i="243"/>
  <c r="D20" i="243"/>
  <c r="C20" i="243"/>
  <c r="B20" i="243"/>
  <c r="N19" i="243"/>
  <c r="N17" i="243"/>
  <c r="N16" i="243"/>
  <c r="N11" i="243"/>
  <c r="M9" i="243"/>
  <c r="M13" i="243" s="1"/>
  <c r="L9" i="243"/>
  <c r="L13" i="243" s="1"/>
  <c r="K9" i="243"/>
  <c r="K13" i="243" s="1"/>
  <c r="J9" i="243"/>
  <c r="J13" i="243" s="1"/>
  <c r="I9" i="243"/>
  <c r="I13" i="243" s="1"/>
  <c r="H9" i="243"/>
  <c r="H13" i="243" s="1"/>
  <c r="G9" i="243"/>
  <c r="G13" i="243" s="1"/>
  <c r="F9" i="243"/>
  <c r="F13" i="243" s="1"/>
  <c r="E9" i="243"/>
  <c r="E13" i="243" s="1"/>
  <c r="D9" i="243"/>
  <c r="D13" i="243" s="1"/>
  <c r="C9" i="243"/>
  <c r="C13" i="243" s="1"/>
  <c r="B9" i="243"/>
  <c r="B13" i="243" s="1"/>
  <c r="N8" i="243"/>
  <c r="N7" i="243"/>
  <c r="N6" i="243"/>
  <c r="N5" i="243"/>
  <c r="N4" i="243"/>
  <c r="I27" i="243" l="1"/>
  <c r="N34" i="243"/>
  <c r="N50" i="245"/>
  <c r="O50" i="245" s="1"/>
  <c r="B66" i="245"/>
  <c r="C66" i="245" s="1"/>
  <c r="L61" i="244"/>
  <c r="L62" i="244" s="1"/>
  <c r="L72" i="244" s="1"/>
  <c r="G50" i="244"/>
  <c r="M50" i="244"/>
  <c r="D50" i="244"/>
  <c r="B61" i="244"/>
  <c r="B62" i="244" s="1"/>
  <c r="B72" i="244" s="1"/>
  <c r="E50" i="244"/>
  <c r="K61" i="244"/>
  <c r="K62" i="244" s="1"/>
  <c r="K72" i="244" s="1"/>
  <c r="F50" i="244"/>
  <c r="J50" i="244"/>
  <c r="C50" i="244"/>
  <c r="H61" i="244"/>
  <c r="H62" i="244" s="1"/>
  <c r="H72" i="244" s="1"/>
  <c r="N48" i="244"/>
  <c r="N61" i="244" s="1"/>
  <c r="N62" i="244" s="1"/>
  <c r="I50" i="244"/>
  <c r="N27" i="244"/>
  <c r="N28" i="244" s="1"/>
  <c r="L48" i="243"/>
  <c r="L28" i="243"/>
  <c r="H27" i="243"/>
  <c r="D48" i="243"/>
  <c r="D50" i="243" s="1"/>
  <c r="D28" i="243"/>
  <c r="C48" i="243"/>
  <c r="C50" i="243" s="1"/>
  <c r="E48" i="243"/>
  <c r="E61" i="243" s="1"/>
  <c r="B28" i="243"/>
  <c r="C28" i="243"/>
  <c r="J48" i="243"/>
  <c r="J50" i="243" s="1"/>
  <c r="N9" i="243"/>
  <c r="N13" i="243" s="1"/>
  <c r="N24" i="243"/>
  <c r="N25" i="243"/>
  <c r="N26" i="243"/>
  <c r="N23" i="243"/>
  <c r="E27" i="243"/>
  <c r="E28" i="243" s="1"/>
  <c r="N58" i="243"/>
  <c r="F48" i="243"/>
  <c r="F61" i="243" s="1"/>
  <c r="F62" i="243" s="1"/>
  <c r="F72" i="243" s="1"/>
  <c r="F27" i="243"/>
  <c r="F28" i="243" s="1"/>
  <c r="G48" i="243"/>
  <c r="G61" i="243" s="1"/>
  <c r="G62" i="243" s="1"/>
  <c r="G72" i="243" s="1"/>
  <c r="G28" i="243"/>
  <c r="H28" i="243"/>
  <c r="I48" i="243"/>
  <c r="I50" i="243" s="1"/>
  <c r="I28" i="243"/>
  <c r="J28" i="243"/>
  <c r="N20" i="243"/>
  <c r="K48" i="243"/>
  <c r="K61" i="243" s="1"/>
  <c r="K62" i="243" s="1"/>
  <c r="K72" i="243" s="1"/>
  <c r="K28" i="243"/>
  <c r="C68" i="243"/>
  <c r="D68" i="243" s="1"/>
  <c r="E68" i="243" s="1"/>
  <c r="F68" i="243" s="1"/>
  <c r="G68" i="243" s="1"/>
  <c r="H68" i="243" s="1"/>
  <c r="I68" i="243" s="1"/>
  <c r="J68" i="243" s="1"/>
  <c r="K68" i="243" s="1"/>
  <c r="L68" i="243" s="1"/>
  <c r="M68" i="243" s="1"/>
  <c r="M48" i="243"/>
  <c r="M50" i="243" s="1"/>
  <c r="M28" i="243"/>
  <c r="H61" i="243"/>
  <c r="H62" i="243" s="1"/>
  <c r="H72" i="243" s="1"/>
  <c r="B42" i="243"/>
  <c r="B48" i="243" s="1"/>
  <c r="B61" i="243" s="1"/>
  <c r="B62" i="243" s="1"/>
  <c r="N38" i="243"/>
  <c r="N42" i="243" s="1"/>
  <c r="L50" i="243"/>
  <c r="L61" i="243"/>
  <c r="L62" i="243" s="1"/>
  <c r="L72" i="243" s="1"/>
  <c r="E50" i="243"/>
  <c r="E62" i="243"/>
  <c r="E72" i="243" s="1"/>
  <c r="C61" i="243"/>
  <c r="C62" i="243" s="1"/>
  <c r="C72" i="243" s="1"/>
  <c r="G50" i="243"/>
  <c r="D61" i="243"/>
  <c r="D62" i="243" s="1"/>
  <c r="D72" i="243" s="1"/>
  <c r="H50" i="243"/>
  <c r="N73" i="242"/>
  <c r="B68" i="242"/>
  <c r="C68" i="242" s="1"/>
  <c r="D68" i="242" s="1"/>
  <c r="E68" i="242" s="1"/>
  <c r="F68" i="242" s="1"/>
  <c r="G68" i="242" s="1"/>
  <c r="H68" i="242" s="1"/>
  <c r="I68" i="242" s="1"/>
  <c r="J68" i="242" s="1"/>
  <c r="K68" i="242" s="1"/>
  <c r="L68" i="242" s="1"/>
  <c r="M68" i="242" s="1"/>
  <c r="M58" i="242"/>
  <c r="L58" i="242"/>
  <c r="K58" i="242"/>
  <c r="J58" i="242"/>
  <c r="I58" i="242"/>
  <c r="H58" i="242"/>
  <c r="G58" i="242"/>
  <c r="F58" i="242"/>
  <c r="E58" i="242"/>
  <c r="D58" i="242"/>
  <c r="C58" i="242"/>
  <c r="B58" i="242"/>
  <c r="N57" i="242"/>
  <c r="N56" i="242"/>
  <c r="N55" i="242"/>
  <c r="N54" i="242"/>
  <c r="N53" i="242"/>
  <c r="M46" i="242"/>
  <c r="L46" i="242"/>
  <c r="K46" i="242"/>
  <c r="J46" i="242"/>
  <c r="I46" i="242"/>
  <c r="H46" i="242"/>
  <c r="G46" i="242"/>
  <c r="F46" i="242"/>
  <c r="E46" i="242"/>
  <c r="D46" i="242"/>
  <c r="C46" i="242"/>
  <c r="B46" i="242"/>
  <c r="N45" i="242"/>
  <c r="N44" i="242"/>
  <c r="N41" i="242"/>
  <c r="N40" i="242"/>
  <c r="N39" i="242"/>
  <c r="N37" i="242"/>
  <c r="M34" i="242"/>
  <c r="M38" i="242" s="1"/>
  <c r="M42" i="242" s="1"/>
  <c r="L34" i="242"/>
  <c r="L38" i="242" s="1"/>
  <c r="L42" i="242" s="1"/>
  <c r="K34" i="242"/>
  <c r="K38" i="242" s="1"/>
  <c r="K42" i="242" s="1"/>
  <c r="J34" i="242"/>
  <c r="J38" i="242" s="1"/>
  <c r="J42" i="242" s="1"/>
  <c r="I34" i="242"/>
  <c r="I38" i="242" s="1"/>
  <c r="I42" i="242" s="1"/>
  <c r="H34" i="242"/>
  <c r="H38" i="242" s="1"/>
  <c r="H42" i="242" s="1"/>
  <c r="G34" i="242"/>
  <c r="G38" i="242" s="1"/>
  <c r="G42" i="242" s="1"/>
  <c r="F34" i="242"/>
  <c r="F38" i="242" s="1"/>
  <c r="F42" i="242" s="1"/>
  <c r="E34" i="242"/>
  <c r="E38" i="242" s="1"/>
  <c r="E42" i="242" s="1"/>
  <c r="D34" i="242"/>
  <c r="D38" i="242" s="1"/>
  <c r="D42" i="242" s="1"/>
  <c r="C34" i="242"/>
  <c r="C38" i="242" s="1"/>
  <c r="C42" i="242" s="1"/>
  <c r="B34" i="242"/>
  <c r="B38" i="242" s="1"/>
  <c r="N33" i="242"/>
  <c r="N32" i="242"/>
  <c r="N31" i="242"/>
  <c r="N30" i="242"/>
  <c r="M26" i="242"/>
  <c r="L26" i="242"/>
  <c r="K26" i="242"/>
  <c r="J26" i="242"/>
  <c r="I26" i="242"/>
  <c r="H26" i="242"/>
  <c r="G26" i="242"/>
  <c r="F26" i="242"/>
  <c r="E26" i="242"/>
  <c r="D26" i="242"/>
  <c r="C26" i="242"/>
  <c r="B26" i="242"/>
  <c r="M25" i="242"/>
  <c r="L25" i="242"/>
  <c r="K25" i="242"/>
  <c r="J25" i="242"/>
  <c r="I25" i="242"/>
  <c r="H25" i="242"/>
  <c r="G25" i="242"/>
  <c r="F25" i="242"/>
  <c r="E25" i="242"/>
  <c r="D25" i="242"/>
  <c r="C25" i="242"/>
  <c r="B25" i="242"/>
  <c r="M24" i="242"/>
  <c r="L24" i="242"/>
  <c r="K24" i="242"/>
  <c r="J24" i="242"/>
  <c r="I24" i="242"/>
  <c r="H24" i="242"/>
  <c r="G24" i="242"/>
  <c r="F24" i="242"/>
  <c r="E24" i="242"/>
  <c r="D24" i="242"/>
  <c r="C24" i="242"/>
  <c r="B24" i="242"/>
  <c r="M23" i="242"/>
  <c r="L23" i="242"/>
  <c r="L27" i="242" s="1"/>
  <c r="K23" i="242"/>
  <c r="K27" i="242" s="1"/>
  <c r="J23" i="242"/>
  <c r="I23" i="242"/>
  <c r="H23" i="242"/>
  <c r="H27" i="242" s="1"/>
  <c r="G23" i="242"/>
  <c r="F23" i="242"/>
  <c r="F27" i="242" s="1"/>
  <c r="E23" i="242"/>
  <c r="D23" i="242"/>
  <c r="C23" i="242"/>
  <c r="C27" i="242" s="1"/>
  <c r="B23" i="242"/>
  <c r="M20" i="242"/>
  <c r="L20" i="242"/>
  <c r="K20" i="242"/>
  <c r="J20" i="242"/>
  <c r="I20" i="242"/>
  <c r="H20" i="242"/>
  <c r="G20" i="242"/>
  <c r="F20" i="242"/>
  <c r="E20" i="242"/>
  <c r="D20" i="242"/>
  <c r="C20" i="242"/>
  <c r="B20" i="242"/>
  <c r="N19" i="242"/>
  <c r="N17" i="242"/>
  <c r="N16" i="242"/>
  <c r="N11" i="242"/>
  <c r="M9" i="242"/>
  <c r="M13" i="242" s="1"/>
  <c r="L9" i="242"/>
  <c r="L13" i="242" s="1"/>
  <c r="K9" i="242"/>
  <c r="K13" i="242" s="1"/>
  <c r="J9" i="242"/>
  <c r="J13" i="242" s="1"/>
  <c r="I9" i="242"/>
  <c r="I13" i="242" s="1"/>
  <c r="H9" i="242"/>
  <c r="H13" i="242" s="1"/>
  <c r="G9" i="242"/>
  <c r="G13" i="242" s="1"/>
  <c r="F9" i="242"/>
  <c r="F13" i="242" s="1"/>
  <c r="E9" i="242"/>
  <c r="E13" i="242" s="1"/>
  <c r="D9" i="242"/>
  <c r="D13" i="242" s="1"/>
  <c r="C9" i="242"/>
  <c r="C13" i="242" s="1"/>
  <c r="B9" i="242"/>
  <c r="B13" i="242" s="1"/>
  <c r="N8" i="242"/>
  <c r="N7" i="242"/>
  <c r="N6" i="242"/>
  <c r="N5" i="242"/>
  <c r="N4" i="242"/>
  <c r="E27" i="242" l="1"/>
  <c r="K50" i="243"/>
  <c r="B76" i="245"/>
  <c r="B67" i="245"/>
  <c r="B77" i="245" s="1"/>
  <c r="C76" i="245"/>
  <c r="D66" i="245"/>
  <c r="C67" i="245"/>
  <c r="C77" i="245" s="1"/>
  <c r="B63" i="244"/>
  <c r="C63" i="244" s="1"/>
  <c r="N50" i="244"/>
  <c r="M61" i="243"/>
  <c r="M62" i="243" s="1"/>
  <c r="M72" i="243" s="1"/>
  <c r="I61" i="243"/>
  <c r="I62" i="243" s="1"/>
  <c r="I72" i="243" s="1"/>
  <c r="F50" i="243"/>
  <c r="N27" i="243"/>
  <c r="N28" i="243" s="1"/>
  <c r="N48" i="243"/>
  <c r="N61" i="243" s="1"/>
  <c r="N62" i="243" s="1"/>
  <c r="J61" i="243"/>
  <c r="J62" i="243" s="1"/>
  <c r="J72" i="243" s="1"/>
  <c r="B72" i="243"/>
  <c r="B63" i="243"/>
  <c r="B50" i="243"/>
  <c r="J27" i="242"/>
  <c r="J28" i="242" s="1"/>
  <c r="C48" i="242"/>
  <c r="C61" i="242" s="1"/>
  <c r="C62" i="242" s="1"/>
  <c r="C72" i="242" s="1"/>
  <c r="C28" i="242"/>
  <c r="N34" i="242"/>
  <c r="L28" i="242"/>
  <c r="I27" i="242"/>
  <c r="I28" i="242" s="1"/>
  <c r="N46" i="242"/>
  <c r="D27" i="242"/>
  <c r="D28" i="242" s="1"/>
  <c r="B69" i="242"/>
  <c r="C69" i="242" s="1"/>
  <c r="D69" i="242" s="1"/>
  <c r="E69" i="242" s="1"/>
  <c r="F69" i="242" s="1"/>
  <c r="G69" i="242" s="1"/>
  <c r="H69" i="242" s="1"/>
  <c r="I69" i="242" s="1"/>
  <c r="J69" i="242" s="1"/>
  <c r="K69" i="242" s="1"/>
  <c r="L69" i="242" s="1"/>
  <c r="M69" i="242" s="1"/>
  <c r="F48" i="242"/>
  <c r="F61" i="242" s="1"/>
  <c r="F62" i="242" s="1"/>
  <c r="F72" i="242" s="1"/>
  <c r="N23" i="242"/>
  <c r="G27" i="242"/>
  <c r="G28" i="242" s="1"/>
  <c r="H48" i="242"/>
  <c r="H50" i="242" s="1"/>
  <c r="H28" i="242"/>
  <c r="I48" i="242"/>
  <c r="I50" i="242" s="1"/>
  <c r="N9" i="242"/>
  <c r="N13" i="242" s="1"/>
  <c r="N20" i="242"/>
  <c r="K28" i="242"/>
  <c r="M27" i="242"/>
  <c r="M28" i="242" s="1"/>
  <c r="N58" i="242"/>
  <c r="B27" i="242"/>
  <c r="B28" i="242" s="1"/>
  <c r="N25" i="242"/>
  <c r="N26" i="242"/>
  <c r="F28" i="242"/>
  <c r="J48" i="242"/>
  <c r="J61" i="242" s="1"/>
  <c r="D48" i="242"/>
  <c r="D61" i="242" s="1"/>
  <c r="D62" i="242" s="1"/>
  <c r="D72" i="242" s="1"/>
  <c r="E48" i="242"/>
  <c r="E61" i="242" s="1"/>
  <c r="E62" i="242" s="1"/>
  <c r="E72" i="242" s="1"/>
  <c r="E28" i="242"/>
  <c r="B42" i="242"/>
  <c r="B48" i="242" s="1"/>
  <c r="B50" i="242" s="1"/>
  <c r="N38" i="242"/>
  <c r="N42" i="242" s="1"/>
  <c r="J62" i="242"/>
  <c r="J72" i="242" s="1"/>
  <c r="K48" i="242"/>
  <c r="K61" i="242" s="1"/>
  <c r="K62" i="242" s="1"/>
  <c r="K72" i="242" s="1"/>
  <c r="L48" i="242"/>
  <c r="L50" i="242" s="1"/>
  <c r="M48" i="242"/>
  <c r="C50" i="242"/>
  <c r="N24" i="242"/>
  <c r="G48" i="242"/>
  <c r="G61" i="242" s="1"/>
  <c r="G62" i="242" s="1"/>
  <c r="G72" i="242" s="1"/>
  <c r="H24" i="241"/>
  <c r="H23" i="241"/>
  <c r="H61" i="242" l="1"/>
  <c r="H62" i="242" s="1"/>
  <c r="H72" i="242" s="1"/>
  <c r="J50" i="242"/>
  <c r="N50" i="243"/>
  <c r="D76" i="245"/>
  <c r="E66" i="245"/>
  <c r="D67" i="245"/>
  <c r="D77" i="245" s="1"/>
  <c r="B73" i="244"/>
  <c r="B64" i="244"/>
  <c r="B74" i="244" s="1"/>
  <c r="D63" i="244"/>
  <c r="C73" i="244"/>
  <c r="C64" i="244"/>
  <c r="C74" i="244" s="1"/>
  <c r="B73" i="243"/>
  <c r="B64" i="243"/>
  <c r="B74" i="243" s="1"/>
  <c r="C63" i="243"/>
  <c r="N27" i="242"/>
  <c r="N28" i="242" s="1"/>
  <c r="F50" i="242"/>
  <c r="D50" i="242"/>
  <c r="E50" i="242"/>
  <c r="I61" i="242"/>
  <c r="I62" i="242" s="1"/>
  <c r="I72" i="242" s="1"/>
  <c r="N48" i="242"/>
  <c r="N61" i="242" s="1"/>
  <c r="N62" i="242" s="1"/>
  <c r="G50" i="242"/>
  <c r="K50" i="242"/>
  <c r="L61" i="242"/>
  <c r="L62" i="242" s="1"/>
  <c r="L72" i="242" s="1"/>
  <c r="M50" i="242"/>
  <c r="M61" i="242"/>
  <c r="M62" i="242" s="1"/>
  <c r="M72" i="242" s="1"/>
  <c r="B61" i="242"/>
  <c r="B62" i="242" s="1"/>
  <c r="N73" i="241"/>
  <c r="B68" i="241"/>
  <c r="B69" i="241" s="1"/>
  <c r="C69" i="241" s="1"/>
  <c r="D69" i="241" s="1"/>
  <c r="E69" i="241" s="1"/>
  <c r="F69" i="241" s="1"/>
  <c r="G69" i="241" s="1"/>
  <c r="H69" i="241" s="1"/>
  <c r="I69" i="241" s="1"/>
  <c r="J69" i="241" s="1"/>
  <c r="K69" i="241" s="1"/>
  <c r="L69" i="241" s="1"/>
  <c r="M69" i="241" s="1"/>
  <c r="M58" i="241"/>
  <c r="L58" i="241"/>
  <c r="K58" i="241"/>
  <c r="J58" i="241"/>
  <c r="I58" i="241"/>
  <c r="H58" i="241"/>
  <c r="G58" i="241"/>
  <c r="F58" i="241"/>
  <c r="E58" i="241"/>
  <c r="D58" i="241"/>
  <c r="C58" i="241"/>
  <c r="B58" i="241"/>
  <c r="N57" i="241"/>
  <c r="N56" i="241"/>
  <c r="N55" i="241"/>
  <c r="N54" i="241"/>
  <c r="N53" i="241"/>
  <c r="M46" i="241"/>
  <c r="L46" i="241"/>
  <c r="K46" i="241"/>
  <c r="J46" i="241"/>
  <c r="I46" i="241"/>
  <c r="H46" i="241"/>
  <c r="G46" i="241"/>
  <c r="F46" i="241"/>
  <c r="E46" i="241"/>
  <c r="D46" i="241"/>
  <c r="C46" i="241"/>
  <c r="B46" i="241"/>
  <c r="N45" i="241"/>
  <c r="N44" i="241"/>
  <c r="N41" i="241"/>
  <c r="N40" i="241"/>
  <c r="N39" i="241"/>
  <c r="N37" i="241"/>
  <c r="M34" i="241"/>
  <c r="M38" i="241" s="1"/>
  <c r="M42" i="241" s="1"/>
  <c r="L34" i="241"/>
  <c r="L38" i="241" s="1"/>
  <c r="L42" i="241" s="1"/>
  <c r="K34" i="241"/>
  <c r="K38" i="241" s="1"/>
  <c r="K42" i="241" s="1"/>
  <c r="J34" i="241"/>
  <c r="J38" i="241" s="1"/>
  <c r="J42" i="241" s="1"/>
  <c r="I34" i="241"/>
  <c r="I38" i="241" s="1"/>
  <c r="I42" i="241" s="1"/>
  <c r="H34" i="241"/>
  <c r="H38" i="241" s="1"/>
  <c r="H42" i="241" s="1"/>
  <c r="G34" i="241"/>
  <c r="G38" i="241" s="1"/>
  <c r="G42" i="241" s="1"/>
  <c r="F34" i="241"/>
  <c r="F38" i="241" s="1"/>
  <c r="F42" i="241" s="1"/>
  <c r="E34" i="241"/>
  <c r="E38" i="241" s="1"/>
  <c r="E42" i="241" s="1"/>
  <c r="D34" i="241"/>
  <c r="D38" i="241" s="1"/>
  <c r="D42" i="241" s="1"/>
  <c r="C34" i="241"/>
  <c r="C38" i="241" s="1"/>
  <c r="C42" i="241" s="1"/>
  <c r="B34" i="241"/>
  <c r="B38" i="241" s="1"/>
  <c r="N33" i="241"/>
  <c r="N32" i="241"/>
  <c r="N31" i="241"/>
  <c r="N30" i="241"/>
  <c r="M26" i="241"/>
  <c r="L26" i="241"/>
  <c r="K26" i="241"/>
  <c r="J26" i="241"/>
  <c r="I26" i="241"/>
  <c r="H26" i="241"/>
  <c r="G26" i="241"/>
  <c r="F26" i="241"/>
  <c r="E26" i="241"/>
  <c r="D26" i="241"/>
  <c r="C26" i="241"/>
  <c r="B26" i="241"/>
  <c r="M25" i="241"/>
  <c r="L25" i="241"/>
  <c r="K25" i="241"/>
  <c r="J25" i="241"/>
  <c r="I25" i="241"/>
  <c r="H25" i="241"/>
  <c r="H27" i="241" s="1"/>
  <c r="G25" i="241"/>
  <c r="F25" i="241"/>
  <c r="E25" i="241"/>
  <c r="D25" i="241"/>
  <c r="C25" i="241"/>
  <c r="B25" i="241"/>
  <c r="M24" i="241"/>
  <c r="L24" i="241"/>
  <c r="K24" i="241"/>
  <c r="J24" i="241"/>
  <c r="I24" i="241"/>
  <c r="G24" i="241"/>
  <c r="F24" i="241"/>
  <c r="E24" i="241"/>
  <c r="D24" i="241"/>
  <c r="C24" i="241"/>
  <c r="B24" i="241"/>
  <c r="M23" i="241"/>
  <c r="L23" i="241"/>
  <c r="L27" i="241" s="1"/>
  <c r="K23" i="241"/>
  <c r="J23" i="241"/>
  <c r="I23" i="241"/>
  <c r="G23" i="241"/>
  <c r="F23" i="241"/>
  <c r="E23" i="241"/>
  <c r="D23" i="241"/>
  <c r="C23" i="241"/>
  <c r="B23" i="241"/>
  <c r="M20" i="241"/>
  <c r="L20" i="241"/>
  <c r="K20" i="241"/>
  <c r="J20" i="241"/>
  <c r="I20" i="241"/>
  <c r="H20" i="241"/>
  <c r="G20" i="241"/>
  <c r="F20" i="241"/>
  <c r="E20" i="241"/>
  <c r="D20" i="241"/>
  <c r="C20" i="241"/>
  <c r="B20" i="241"/>
  <c r="N19" i="241"/>
  <c r="N17" i="241"/>
  <c r="N16" i="241"/>
  <c r="N20" i="241" s="1"/>
  <c r="N11" i="241"/>
  <c r="M9" i="241"/>
  <c r="M13" i="241" s="1"/>
  <c r="L9" i="241"/>
  <c r="L13" i="241" s="1"/>
  <c r="K9" i="241"/>
  <c r="K13" i="241" s="1"/>
  <c r="J9" i="241"/>
  <c r="J13" i="241" s="1"/>
  <c r="I9" i="241"/>
  <c r="I13" i="241" s="1"/>
  <c r="H9" i="241"/>
  <c r="H13" i="241" s="1"/>
  <c r="G9" i="241"/>
  <c r="G13" i="241" s="1"/>
  <c r="F9" i="241"/>
  <c r="F13" i="241" s="1"/>
  <c r="E9" i="241"/>
  <c r="E13" i="241" s="1"/>
  <c r="D9" i="241"/>
  <c r="D13" i="241" s="1"/>
  <c r="C9" i="241"/>
  <c r="C13" i="241" s="1"/>
  <c r="B9" i="241"/>
  <c r="B13" i="241" s="1"/>
  <c r="N8" i="241"/>
  <c r="N7" i="241"/>
  <c r="N6" i="241"/>
  <c r="N5" i="241"/>
  <c r="N4" i="241"/>
  <c r="D27" i="241" l="1"/>
  <c r="N46" i="241"/>
  <c r="F66" i="245"/>
  <c r="E76" i="245"/>
  <c r="E67" i="245"/>
  <c r="E77" i="245" s="1"/>
  <c r="E63" i="244"/>
  <c r="D73" i="244"/>
  <c r="D64" i="244"/>
  <c r="D74" i="244" s="1"/>
  <c r="D63" i="243"/>
  <c r="C73" i="243"/>
  <c r="C64" i="243"/>
  <c r="C74" i="243" s="1"/>
  <c r="N50" i="242"/>
  <c r="B72" i="242"/>
  <c r="B63" i="242"/>
  <c r="L48" i="241"/>
  <c r="L61" i="241" s="1"/>
  <c r="L62" i="241" s="1"/>
  <c r="L72" i="241" s="1"/>
  <c r="M27" i="241"/>
  <c r="M28" i="241" s="1"/>
  <c r="L28" i="241"/>
  <c r="K27" i="241"/>
  <c r="K28" i="241" s="1"/>
  <c r="J27" i="241"/>
  <c r="J28" i="241" s="1"/>
  <c r="I27" i="241"/>
  <c r="I28" i="241" s="1"/>
  <c r="N25" i="241"/>
  <c r="N26" i="241"/>
  <c r="B27" i="241"/>
  <c r="B28" i="241" s="1"/>
  <c r="N24" i="241"/>
  <c r="C48" i="241"/>
  <c r="C61" i="241" s="1"/>
  <c r="C62" i="241" s="1"/>
  <c r="C72" i="241" s="1"/>
  <c r="K48" i="241"/>
  <c r="K61" i="241" s="1"/>
  <c r="K62" i="241" s="1"/>
  <c r="K72" i="241" s="1"/>
  <c r="E48" i="241"/>
  <c r="E50" i="241" s="1"/>
  <c r="N9" i="241"/>
  <c r="N13" i="241" s="1"/>
  <c r="G27" i="241"/>
  <c r="G28" i="241" s="1"/>
  <c r="C27" i="241"/>
  <c r="C28" i="241" s="1"/>
  <c r="D48" i="241"/>
  <c r="D50" i="241" s="1"/>
  <c r="D28" i="241"/>
  <c r="N34" i="241"/>
  <c r="E27" i="241"/>
  <c r="E28" i="241" s="1"/>
  <c r="F27" i="241"/>
  <c r="F28" i="241" s="1"/>
  <c r="M48" i="241"/>
  <c r="M61" i="241" s="1"/>
  <c r="M62" i="241" s="1"/>
  <c r="M72" i="241" s="1"/>
  <c r="N58" i="241"/>
  <c r="G48" i="241"/>
  <c r="G61" i="241" s="1"/>
  <c r="G62" i="241" s="1"/>
  <c r="G72" i="241" s="1"/>
  <c r="H28" i="241"/>
  <c r="I48" i="241"/>
  <c r="I61" i="241" s="1"/>
  <c r="I62" i="241" s="1"/>
  <c r="I72" i="241" s="1"/>
  <c r="C68" i="241"/>
  <c r="D68" i="241" s="1"/>
  <c r="E68" i="241" s="1"/>
  <c r="F68" i="241" s="1"/>
  <c r="G68" i="241" s="1"/>
  <c r="H68" i="241" s="1"/>
  <c r="I68" i="241" s="1"/>
  <c r="J68" i="241" s="1"/>
  <c r="K68" i="241" s="1"/>
  <c r="L68" i="241" s="1"/>
  <c r="M68" i="241" s="1"/>
  <c r="F48" i="241"/>
  <c r="F61" i="241" s="1"/>
  <c r="F62" i="241" s="1"/>
  <c r="F72" i="241" s="1"/>
  <c r="B42" i="241"/>
  <c r="B48" i="241" s="1"/>
  <c r="B61" i="241" s="1"/>
  <c r="B62" i="241" s="1"/>
  <c r="N38" i="241"/>
  <c r="N42" i="241" s="1"/>
  <c r="H48" i="241"/>
  <c r="H61" i="241" s="1"/>
  <c r="H62" i="241" s="1"/>
  <c r="H72" i="241" s="1"/>
  <c r="J48" i="241"/>
  <c r="J50" i="241" s="1"/>
  <c r="N23" i="241"/>
  <c r="G66" i="245" l="1"/>
  <c r="F76" i="245"/>
  <c r="F67" i="245"/>
  <c r="F77" i="245" s="1"/>
  <c r="F63" i="244"/>
  <c r="E73" i="244"/>
  <c r="E64" i="244"/>
  <c r="E74" i="244" s="1"/>
  <c r="D64" i="243"/>
  <c r="D74" i="243" s="1"/>
  <c r="D73" i="243"/>
  <c r="E63" i="243"/>
  <c r="B73" i="242"/>
  <c r="B64" i="242"/>
  <c r="B74" i="242" s="1"/>
  <c r="C63" i="242"/>
  <c r="L50" i="241"/>
  <c r="J61" i="241"/>
  <c r="J62" i="241" s="1"/>
  <c r="J72" i="241" s="1"/>
  <c r="N27" i="241"/>
  <c r="N28" i="241" s="1"/>
  <c r="C50" i="241"/>
  <c r="M50" i="241"/>
  <c r="K50" i="241"/>
  <c r="E61" i="241"/>
  <c r="E62" i="241" s="1"/>
  <c r="E72" i="241" s="1"/>
  <c r="H50" i="241"/>
  <c r="I50" i="241"/>
  <c r="G50" i="241"/>
  <c r="D61" i="241"/>
  <c r="D62" i="241" s="1"/>
  <c r="D72" i="241" s="1"/>
  <c r="N48" i="241"/>
  <c r="N61" i="241" s="1"/>
  <c r="N62" i="241" s="1"/>
  <c r="B72" i="241"/>
  <c r="B63" i="241"/>
  <c r="B50" i="241"/>
  <c r="F50" i="241"/>
  <c r="N73" i="240"/>
  <c r="B68" i="240"/>
  <c r="B69" i="240" s="1"/>
  <c r="C69" i="240" s="1"/>
  <c r="D69" i="240" s="1"/>
  <c r="E69" i="240" s="1"/>
  <c r="F69" i="240" s="1"/>
  <c r="G69" i="240" s="1"/>
  <c r="H69" i="240" s="1"/>
  <c r="I69" i="240" s="1"/>
  <c r="J69" i="240" s="1"/>
  <c r="K69" i="240" s="1"/>
  <c r="L69" i="240" s="1"/>
  <c r="M69" i="240" s="1"/>
  <c r="M58" i="240"/>
  <c r="L58" i="240"/>
  <c r="K58" i="240"/>
  <c r="J58" i="240"/>
  <c r="I58" i="240"/>
  <c r="H58" i="240"/>
  <c r="G58" i="240"/>
  <c r="F58" i="240"/>
  <c r="E58" i="240"/>
  <c r="D58" i="240"/>
  <c r="C58" i="240"/>
  <c r="B58" i="240"/>
  <c r="N57" i="240"/>
  <c r="N56" i="240"/>
  <c r="N55" i="240"/>
  <c r="N54" i="240"/>
  <c r="N53" i="240"/>
  <c r="M46" i="240"/>
  <c r="L46" i="240"/>
  <c r="K46" i="240"/>
  <c r="J46" i="240"/>
  <c r="I46" i="240"/>
  <c r="H46" i="240"/>
  <c r="G46" i="240"/>
  <c r="F46" i="240"/>
  <c r="E46" i="240"/>
  <c r="D46" i="240"/>
  <c r="C46" i="240"/>
  <c r="B46" i="240"/>
  <c r="N45" i="240"/>
  <c r="N44" i="240"/>
  <c r="N41" i="240"/>
  <c r="N40" i="240"/>
  <c r="N39" i="240"/>
  <c r="N37" i="240"/>
  <c r="M34" i="240"/>
  <c r="M38" i="240" s="1"/>
  <c r="M42" i="240" s="1"/>
  <c r="L34" i="240"/>
  <c r="L38" i="240" s="1"/>
  <c r="L42" i="240" s="1"/>
  <c r="K34" i="240"/>
  <c r="K38" i="240" s="1"/>
  <c r="K42" i="240" s="1"/>
  <c r="J34" i="240"/>
  <c r="J38" i="240" s="1"/>
  <c r="J42" i="240" s="1"/>
  <c r="I34" i="240"/>
  <c r="I38" i="240" s="1"/>
  <c r="I42" i="240" s="1"/>
  <c r="H34" i="240"/>
  <c r="H38" i="240" s="1"/>
  <c r="H42" i="240" s="1"/>
  <c r="G34" i="240"/>
  <c r="G38" i="240" s="1"/>
  <c r="G42" i="240" s="1"/>
  <c r="F34" i="240"/>
  <c r="F38" i="240" s="1"/>
  <c r="F42" i="240" s="1"/>
  <c r="E34" i="240"/>
  <c r="E38" i="240" s="1"/>
  <c r="E42" i="240" s="1"/>
  <c r="D34" i="240"/>
  <c r="D38" i="240" s="1"/>
  <c r="D42" i="240" s="1"/>
  <c r="C34" i="240"/>
  <c r="C38" i="240" s="1"/>
  <c r="C42" i="240" s="1"/>
  <c r="B34" i="240"/>
  <c r="B38" i="240" s="1"/>
  <c r="B42" i="240" s="1"/>
  <c r="N33" i="240"/>
  <c r="N32" i="240"/>
  <c r="N31" i="240"/>
  <c r="N30" i="240"/>
  <c r="M26" i="240"/>
  <c r="L26" i="240"/>
  <c r="K26" i="240"/>
  <c r="J26" i="240"/>
  <c r="I26" i="240"/>
  <c r="H26" i="240"/>
  <c r="G26" i="240"/>
  <c r="F26" i="240"/>
  <c r="E26" i="240"/>
  <c r="D26" i="240"/>
  <c r="C26" i="240"/>
  <c r="B26" i="240"/>
  <c r="M25" i="240"/>
  <c r="L25" i="240"/>
  <c r="K25" i="240"/>
  <c r="J25" i="240"/>
  <c r="I25" i="240"/>
  <c r="H25" i="240"/>
  <c r="G25" i="240"/>
  <c r="F25" i="240"/>
  <c r="E25" i="240"/>
  <c r="D25" i="240"/>
  <c r="C25" i="240"/>
  <c r="B25" i="240"/>
  <c r="M24" i="240"/>
  <c r="L24" i="240"/>
  <c r="K24" i="240"/>
  <c r="J24" i="240"/>
  <c r="I24" i="240"/>
  <c r="H24" i="240"/>
  <c r="G24" i="240"/>
  <c r="F24" i="240"/>
  <c r="E24" i="240"/>
  <c r="D24" i="240"/>
  <c r="C24" i="240"/>
  <c r="B24" i="240"/>
  <c r="M23" i="240"/>
  <c r="L23" i="240"/>
  <c r="K23" i="240"/>
  <c r="J23" i="240"/>
  <c r="J27" i="240" s="1"/>
  <c r="I23" i="240"/>
  <c r="I27" i="240" s="1"/>
  <c r="I28" i="240" s="1"/>
  <c r="H23" i="240"/>
  <c r="H27" i="240" s="1"/>
  <c r="G23" i="240"/>
  <c r="F23" i="240"/>
  <c r="E23" i="240"/>
  <c r="D23" i="240"/>
  <c r="D27" i="240" s="1"/>
  <c r="C23" i="240"/>
  <c r="B23" i="240"/>
  <c r="B27" i="240" s="1"/>
  <c r="M20" i="240"/>
  <c r="L20" i="240"/>
  <c r="K20" i="240"/>
  <c r="J20" i="240"/>
  <c r="I20" i="240"/>
  <c r="H20" i="240"/>
  <c r="G20" i="240"/>
  <c r="F20" i="240"/>
  <c r="E20" i="240"/>
  <c r="D20" i="240"/>
  <c r="C20" i="240"/>
  <c r="B20" i="240"/>
  <c r="N19" i="240"/>
  <c r="N17" i="240"/>
  <c r="N16" i="240"/>
  <c r="N11" i="240"/>
  <c r="M9" i="240"/>
  <c r="M13" i="240" s="1"/>
  <c r="L9" i="240"/>
  <c r="L13" i="240" s="1"/>
  <c r="K9" i="240"/>
  <c r="K13" i="240" s="1"/>
  <c r="J9" i="240"/>
  <c r="J13" i="240" s="1"/>
  <c r="I9" i="240"/>
  <c r="I13" i="240" s="1"/>
  <c r="H9" i="240"/>
  <c r="H13" i="240" s="1"/>
  <c r="G9" i="240"/>
  <c r="G13" i="240" s="1"/>
  <c r="F9" i="240"/>
  <c r="F13" i="240" s="1"/>
  <c r="E9" i="240"/>
  <c r="E13" i="240" s="1"/>
  <c r="D9" i="240"/>
  <c r="D13" i="240" s="1"/>
  <c r="C9" i="240"/>
  <c r="C13" i="240" s="1"/>
  <c r="B9" i="240"/>
  <c r="B13" i="240" s="1"/>
  <c r="N8" i="240"/>
  <c r="N7" i="240"/>
  <c r="N6" i="240"/>
  <c r="N5" i="240"/>
  <c r="N4" i="240"/>
  <c r="C27" i="240" l="1"/>
  <c r="G76" i="245"/>
  <c r="H66" i="245"/>
  <c r="G67" i="245"/>
  <c r="G77" i="245" s="1"/>
  <c r="G63" i="244"/>
  <c r="F73" i="244"/>
  <c r="F64" i="244"/>
  <c r="F74" i="244" s="1"/>
  <c r="F63" i="243"/>
  <c r="E73" i="243"/>
  <c r="E64" i="243"/>
  <c r="E74" i="243" s="1"/>
  <c r="C73" i="242"/>
  <c r="C64" i="242"/>
  <c r="C74" i="242" s="1"/>
  <c r="D63" i="242"/>
  <c r="N50" i="241"/>
  <c r="B73" i="241"/>
  <c r="B64" i="241"/>
  <c r="B74" i="241" s="1"/>
  <c r="C63" i="241"/>
  <c r="B28" i="240"/>
  <c r="I48" i="240"/>
  <c r="I50" i="240" s="1"/>
  <c r="E48" i="240"/>
  <c r="E50" i="240" s="1"/>
  <c r="L48" i="240"/>
  <c r="L61" i="240" s="1"/>
  <c r="L62" i="240" s="1"/>
  <c r="L72" i="240" s="1"/>
  <c r="F27" i="240"/>
  <c r="F28" i="240" s="1"/>
  <c r="H28" i="240"/>
  <c r="N20" i="240"/>
  <c r="N46" i="240"/>
  <c r="N25" i="240"/>
  <c r="N26" i="240"/>
  <c r="E27" i="240"/>
  <c r="E28" i="240" s="1"/>
  <c r="G27" i="240"/>
  <c r="G28" i="240" s="1"/>
  <c r="N24" i="240"/>
  <c r="N9" i="240"/>
  <c r="N13" i="240" s="1"/>
  <c r="F48" i="240"/>
  <c r="F61" i="240" s="1"/>
  <c r="F62" i="240" s="1"/>
  <c r="F72" i="240" s="1"/>
  <c r="L27" i="240"/>
  <c r="L28" i="240" s="1"/>
  <c r="G48" i="240"/>
  <c r="G61" i="240" s="1"/>
  <c r="G62" i="240" s="1"/>
  <c r="G72" i="240" s="1"/>
  <c r="K27" i="240"/>
  <c r="K28" i="240" s="1"/>
  <c r="M27" i="240"/>
  <c r="M28" i="240" s="1"/>
  <c r="C48" i="240"/>
  <c r="C61" i="240" s="1"/>
  <c r="C62" i="240" s="1"/>
  <c r="C72" i="240" s="1"/>
  <c r="N34" i="240"/>
  <c r="B48" i="240"/>
  <c r="B61" i="240" s="1"/>
  <c r="B62" i="240" s="1"/>
  <c r="J28" i="240"/>
  <c r="C28" i="240"/>
  <c r="D48" i="240"/>
  <c r="D61" i="240" s="1"/>
  <c r="D62" i="240" s="1"/>
  <c r="D72" i="240" s="1"/>
  <c r="D28" i="240"/>
  <c r="K48" i="240"/>
  <c r="K50" i="240" s="1"/>
  <c r="N58" i="240"/>
  <c r="H48" i="240"/>
  <c r="H61" i="240" s="1"/>
  <c r="H62" i="240" s="1"/>
  <c r="H72" i="240" s="1"/>
  <c r="J48" i="240"/>
  <c r="J61" i="240" s="1"/>
  <c r="J62" i="240" s="1"/>
  <c r="J72" i="240" s="1"/>
  <c r="N38" i="240"/>
  <c r="N42" i="240" s="1"/>
  <c r="M48" i="240"/>
  <c r="M61" i="240" s="1"/>
  <c r="M62" i="240" s="1"/>
  <c r="M72" i="240" s="1"/>
  <c r="C68" i="240"/>
  <c r="D68" i="240" s="1"/>
  <c r="E68" i="240" s="1"/>
  <c r="F68" i="240" s="1"/>
  <c r="G68" i="240" s="1"/>
  <c r="H68" i="240" s="1"/>
  <c r="I68" i="240" s="1"/>
  <c r="J68" i="240" s="1"/>
  <c r="K68" i="240" s="1"/>
  <c r="L68" i="240" s="1"/>
  <c r="M68" i="240" s="1"/>
  <c r="N23" i="240"/>
  <c r="I66" i="245" l="1"/>
  <c r="H76" i="245"/>
  <c r="H67" i="245"/>
  <c r="H77" i="245" s="1"/>
  <c r="H63" i="244"/>
  <c r="G73" i="244"/>
  <c r="G64" i="244"/>
  <c r="G74" i="244" s="1"/>
  <c r="G63" i="243"/>
  <c r="F73" i="243"/>
  <c r="F64" i="243"/>
  <c r="F74" i="243" s="1"/>
  <c r="D73" i="242"/>
  <c r="D64" i="242"/>
  <c r="D74" i="242" s="1"/>
  <c r="E63" i="242"/>
  <c r="D63" i="241"/>
  <c r="C73" i="241"/>
  <c r="C64" i="241"/>
  <c r="C74" i="241" s="1"/>
  <c r="D50" i="240"/>
  <c r="I61" i="240"/>
  <c r="I62" i="240" s="1"/>
  <c r="I72" i="240" s="1"/>
  <c r="J50" i="240"/>
  <c r="E61" i="240"/>
  <c r="E62" i="240" s="1"/>
  <c r="E72" i="240" s="1"/>
  <c r="L50" i="240"/>
  <c r="N27" i="240"/>
  <c r="N28" i="240" s="1"/>
  <c r="M50" i="240"/>
  <c r="N48" i="240"/>
  <c r="N61" i="240" s="1"/>
  <c r="N62" i="240" s="1"/>
  <c r="C50" i="240"/>
  <c r="B50" i="240"/>
  <c r="H50" i="240"/>
  <c r="G50" i="240"/>
  <c r="K61" i="240"/>
  <c r="K62" i="240" s="1"/>
  <c r="K72" i="240" s="1"/>
  <c r="F50" i="240"/>
  <c r="B72" i="240"/>
  <c r="B63" i="240"/>
  <c r="J66" i="245" l="1"/>
  <c r="I76" i="245"/>
  <c r="I67" i="245"/>
  <c r="I77" i="245" s="1"/>
  <c r="I63" i="244"/>
  <c r="H73" i="244"/>
  <c r="H64" i="244"/>
  <c r="H74" i="244" s="1"/>
  <c r="H63" i="243"/>
  <c r="G73" i="243"/>
  <c r="G64" i="243"/>
  <c r="G74" i="243" s="1"/>
  <c r="F63" i="242"/>
  <c r="E73" i="242"/>
  <c r="E64" i="242"/>
  <c r="E74" i="242" s="1"/>
  <c r="D73" i="241"/>
  <c r="D64" i="241"/>
  <c r="D74" i="241" s="1"/>
  <c r="E63" i="241"/>
  <c r="N50" i="240"/>
  <c r="B73" i="240"/>
  <c r="B64" i="240"/>
  <c r="B74" i="240" s="1"/>
  <c r="C63" i="240"/>
  <c r="N73" i="239"/>
  <c r="B68" i="239"/>
  <c r="B69" i="239" s="1"/>
  <c r="M58" i="239"/>
  <c r="L58" i="239"/>
  <c r="K58" i="239"/>
  <c r="J58" i="239"/>
  <c r="I58" i="239"/>
  <c r="H58" i="239"/>
  <c r="G58" i="239"/>
  <c r="F58" i="239"/>
  <c r="E58" i="239"/>
  <c r="D58" i="239"/>
  <c r="C58" i="239"/>
  <c r="B58" i="239"/>
  <c r="N57" i="239"/>
  <c r="N56" i="239"/>
  <c r="N55" i="239"/>
  <c r="N54" i="239"/>
  <c r="N53" i="239"/>
  <c r="N46" i="239"/>
  <c r="M46" i="239"/>
  <c r="L46" i="239"/>
  <c r="K46" i="239"/>
  <c r="J46" i="239"/>
  <c r="I46" i="239"/>
  <c r="H46" i="239"/>
  <c r="G46" i="239"/>
  <c r="F46" i="239"/>
  <c r="E46" i="239"/>
  <c r="D46" i="239"/>
  <c r="C46" i="239"/>
  <c r="B46" i="239"/>
  <c r="N45" i="239"/>
  <c r="N44" i="239"/>
  <c r="N41" i="239"/>
  <c r="N40" i="239"/>
  <c r="N39" i="239"/>
  <c r="I38" i="239"/>
  <c r="I42" i="239" s="1"/>
  <c r="N37" i="239"/>
  <c r="M34" i="239"/>
  <c r="M38" i="239" s="1"/>
  <c r="M42" i="239" s="1"/>
  <c r="L34" i="239"/>
  <c r="L38" i="239" s="1"/>
  <c r="L42" i="239" s="1"/>
  <c r="K34" i="239"/>
  <c r="K38" i="239" s="1"/>
  <c r="K42" i="239" s="1"/>
  <c r="J34" i="239"/>
  <c r="J38" i="239" s="1"/>
  <c r="J42" i="239" s="1"/>
  <c r="I34" i="239"/>
  <c r="H34" i="239"/>
  <c r="H38" i="239" s="1"/>
  <c r="H42" i="239" s="1"/>
  <c r="G34" i="239"/>
  <c r="G38" i="239" s="1"/>
  <c r="G42" i="239" s="1"/>
  <c r="F34" i="239"/>
  <c r="F38" i="239" s="1"/>
  <c r="F42" i="239" s="1"/>
  <c r="E34" i="239"/>
  <c r="E38" i="239" s="1"/>
  <c r="E42" i="239" s="1"/>
  <c r="D34" i="239"/>
  <c r="D38" i="239" s="1"/>
  <c r="D42" i="239" s="1"/>
  <c r="D48" i="239" s="1"/>
  <c r="D61" i="239" s="1"/>
  <c r="C34" i="239"/>
  <c r="C38" i="239" s="1"/>
  <c r="C42" i="239" s="1"/>
  <c r="B34" i="239"/>
  <c r="B38" i="239" s="1"/>
  <c r="N33" i="239"/>
  <c r="N32" i="239"/>
  <c r="N31" i="239"/>
  <c r="N30" i="239"/>
  <c r="M26" i="239"/>
  <c r="L26" i="239"/>
  <c r="K26" i="239"/>
  <c r="J26" i="239"/>
  <c r="I26" i="239"/>
  <c r="H26" i="239"/>
  <c r="G26" i="239"/>
  <c r="F26" i="239"/>
  <c r="E26" i="239"/>
  <c r="D26" i="239"/>
  <c r="C26" i="239"/>
  <c r="B26" i="239"/>
  <c r="M25" i="239"/>
  <c r="L25" i="239"/>
  <c r="K25" i="239"/>
  <c r="J25" i="239"/>
  <c r="I25" i="239"/>
  <c r="H25" i="239"/>
  <c r="G25" i="239"/>
  <c r="F25" i="239"/>
  <c r="E25" i="239"/>
  <c r="D25" i="239"/>
  <c r="C25" i="239"/>
  <c r="B25" i="239"/>
  <c r="M24" i="239"/>
  <c r="L24" i="239"/>
  <c r="K24" i="239"/>
  <c r="J24" i="239"/>
  <c r="I24" i="239"/>
  <c r="H24" i="239"/>
  <c r="G24" i="239"/>
  <c r="F24" i="239"/>
  <c r="E24" i="239"/>
  <c r="D24" i="239"/>
  <c r="C24" i="239"/>
  <c r="B24" i="239"/>
  <c r="M23" i="239"/>
  <c r="L23" i="239"/>
  <c r="L27" i="239" s="1"/>
  <c r="K23" i="239"/>
  <c r="K27" i="239" s="1"/>
  <c r="J23" i="239"/>
  <c r="J27" i="239" s="1"/>
  <c r="I23" i="239"/>
  <c r="N23" i="239" s="1"/>
  <c r="H23" i="239"/>
  <c r="G23" i="239"/>
  <c r="F23" i="239"/>
  <c r="E23" i="239"/>
  <c r="E27" i="239" s="1"/>
  <c r="E28" i="239" s="1"/>
  <c r="D23" i="239"/>
  <c r="D27" i="239" s="1"/>
  <c r="C23" i="239"/>
  <c r="C27" i="239" s="1"/>
  <c r="B23" i="239"/>
  <c r="B27" i="239" s="1"/>
  <c r="M20" i="239"/>
  <c r="L20" i="239"/>
  <c r="K20" i="239"/>
  <c r="J20" i="239"/>
  <c r="I20" i="239"/>
  <c r="I48" i="239" s="1"/>
  <c r="H20" i="239"/>
  <c r="H48" i="239" s="1"/>
  <c r="G20" i="239"/>
  <c r="F20" i="239"/>
  <c r="E20" i="239"/>
  <c r="D20" i="239"/>
  <c r="C20" i="239"/>
  <c r="B20" i="239"/>
  <c r="N19" i="239"/>
  <c r="N17" i="239"/>
  <c r="N16" i="239"/>
  <c r="N20" i="239" s="1"/>
  <c r="C13" i="239"/>
  <c r="N11" i="239"/>
  <c r="M9" i="239"/>
  <c r="M13" i="239" s="1"/>
  <c r="L9" i="239"/>
  <c r="L13" i="239" s="1"/>
  <c r="K9" i="239"/>
  <c r="K13" i="239" s="1"/>
  <c r="J9" i="239"/>
  <c r="J13" i="239" s="1"/>
  <c r="I9" i="239"/>
  <c r="I13" i="239" s="1"/>
  <c r="H9" i="239"/>
  <c r="H13" i="239" s="1"/>
  <c r="G9" i="239"/>
  <c r="G13" i="239" s="1"/>
  <c r="F9" i="239"/>
  <c r="F13" i="239" s="1"/>
  <c r="E9" i="239"/>
  <c r="E13" i="239" s="1"/>
  <c r="D9" i="239"/>
  <c r="D13" i="239" s="1"/>
  <c r="C9" i="239"/>
  <c r="B9" i="239"/>
  <c r="B13" i="239" s="1"/>
  <c r="N8" i="239"/>
  <c r="N7" i="239"/>
  <c r="N6" i="239"/>
  <c r="N5" i="239"/>
  <c r="N4" i="239"/>
  <c r="F48" i="239" l="1"/>
  <c r="B28" i="239"/>
  <c r="J28" i="239"/>
  <c r="N25" i="239"/>
  <c r="F27" i="239"/>
  <c r="F28" i="239" s="1"/>
  <c r="E48" i="239"/>
  <c r="E61" i="239" s="1"/>
  <c r="M48" i="239"/>
  <c r="M61" i="239" s="1"/>
  <c r="M62" i="239" s="1"/>
  <c r="M72" i="239" s="1"/>
  <c r="N58" i="239"/>
  <c r="G48" i="239"/>
  <c r="C28" i="239"/>
  <c r="K28" i="239"/>
  <c r="F61" i="239"/>
  <c r="C69" i="239"/>
  <c r="D69" i="239" s="1"/>
  <c r="E69" i="239" s="1"/>
  <c r="F69" i="239" s="1"/>
  <c r="G69" i="239" s="1"/>
  <c r="H69" i="239" s="1"/>
  <c r="I69" i="239" s="1"/>
  <c r="J69" i="239" s="1"/>
  <c r="K69" i="239" s="1"/>
  <c r="L69" i="239" s="1"/>
  <c r="M69" i="239" s="1"/>
  <c r="D28" i="239"/>
  <c r="L28" i="239"/>
  <c r="H27" i="239"/>
  <c r="H28" i="239" s="1"/>
  <c r="N34" i="239"/>
  <c r="G61" i="239"/>
  <c r="C68" i="239"/>
  <c r="D68" i="239" s="1"/>
  <c r="E68" i="239" s="1"/>
  <c r="F68" i="239" s="1"/>
  <c r="G68" i="239" s="1"/>
  <c r="H68" i="239" s="1"/>
  <c r="I68" i="239" s="1"/>
  <c r="J68" i="239" s="1"/>
  <c r="K68" i="239" s="1"/>
  <c r="L68" i="239" s="1"/>
  <c r="M68" i="239" s="1"/>
  <c r="M27" i="239"/>
  <c r="M28" i="239" s="1"/>
  <c r="H61" i="239"/>
  <c r="H62" i="239" s="1"/>
  <c r="H72" i="239" s="1"/>
  <c r="J48" i="239"/>
  <c r="J50" i="239" s="1"/>
  <c r="N24" i="239"/>
  <c r="N27" i="239" s="1"/>
  <c r="N28" i="239" s="1"/>
  <c r="N26" i="239"/>
  <c r="I61" i="239"/>
  <c r="N9" i="239"/>
  <c r="N13" i="239" s="1"/>
  <c r="G27" i="239"/>
  <c r="G28" i="239" s="1"/>
  <c r="C48" i="239"/>
  <c r="C61" i="239" s="1"/>
  <c r="C62" i="239" s="1"/>
  <c r="C72" i="239" s="1"/>
  <c r="K66" i="245"/>
  <c r="J76" i="245"/>
  <c r="J67" i="245"/>
  <c r="J77" i="245" s="1"/>
  <c r="J63" i="244"/>
  <c r="I73" i="244"/>
  <c r="I64" i="244"/>
  <c r="I74" i="244" s="1"/>
  <c r="I63" i="243"/>
  <c r="H73" i="243"/>
  <c r="H64" i="243"/>
  <c r="H74" i="243" s="1"/>
  <c r="F64" i="242"/>
  <c r="F74" i="242" s="1"/>
  <c r="G63" i="242"/>
  <c r="F73" i="242"/>
  <c r="F63" i="241"/>
  <c r="E73" i="241"/>
  <c r="E64" i="241"/>
  <c r="E74" i="241" s="1"/>
  <c r="D63" i="240"/>
  <c r="C73" i="240"/>
  <c r="C64" i="240"/>
  <c r="C74" i="240" s="1"/>
  <c r="D50" i="239"/>
  <c r="D62" i="239"/>
  <c r="D72" i="239" s="1"/>
  <c r="E50" i="239"/>
  <c r="E62" i="239"/>
  <c r="E72" i="239" s="1"/>
  <c r="I50" i="239"/>
  <c r="I62" i="239"/>
  <c r="I72" i="239" s="1"/>
  <c r="F50" i="239"/>
  <c r="F62" i="239"/>
  <c r="F72" i="239" s="1"/>
  <c r="K48" i="239"/>
  <c r="K50" i="239" s="1"/>
  <c r="L48" i="239"/>
  <c r="L50" i="239" s="1"/>
  <c r="B42" i="239"/>
  <c r="B48" i="239" s="1"/>
  <c r="B61" i="239" s="1"/>
  <c r="B62" i="239" s="1"/>
  <c r="N38" i="239"/>
  <c r="N42" i="239" s="1"/>
  <c r="N48" i="239" s="1"/>
  <c r="N61" i="239" s="1"/>
  <c r="N62" i="239" s="1"/>
  <c r="G50" i="239"/>
  <c r="G62" i="239"/>
  <c r="G72" i="239" s="1"/>
  <c r="H50" i="239"/>
  <c r="B50" i="239"/>
  <c r="I27" i="239"/>
  <c r="I28" i="239" s="1"/>
  <c r="J61" i="239" l="1"/>
  <c r="J62" i="239" s="1"/>
  <c r="J72" i="239" s="1"/>
  <c r="C50" i="239"/>
  <c r="M50" i="239"/>
  <c r="L66" i="245"/>
  <c r="K76" i="245"/>
  <c r="K67" i="245"/>
  <c r="K77" i="245" s="1"/>
  <c r="K63" i="244"/>
  <c r="J73" i="244"/>
  <c r="J64" i="244"/>
  <c r="J74" i="244" s="1"/>
  <c r="J63" i="243"/>
  <c r="I73" i="243"/>
  <c r="I64" i="243"/>
  <c r="I74" i="243" s="1"/>
  <c r="H63" i="242"/>
  <c r="G73" i="242"/>
  <c r="G64" i="242"/>
  <c r="G74" i="242" s="1"/>
  <c r="G63" i="241"/>
  <c r="F73" i="241"/>
  <c r="F64" i="241"/>
  <c r="F74" i="241" s="1"/>
  <c r="E63" i="240"/>
  <c r="D73" i="240"/>
  <c r="D64" i="240"/>
  <c r="D74" i="240" s="1"/>
  <c r="N50" i="239"/>
  <c r="B72" i="239"/>
  <c r="B63" i="239"/>
  <c r="L61" i="239"/>
  <c r="L62" i="239" s="1"/>
  <c r="L72" i="239" s="1"/>
  <c r="K61" i="239"/>
  <c r="K62" i="239" s="1"/>
  <c r="K72" i="239" s="1"/>
  <c r="M66" i="245" l="1"/>
  <c r="L76" i="245"/>
  <c r="L67" i="245"/>
  <c r="L77" i="245" s="1"/>
  <c r="L63" i="244"/>
  <c r="K73" i="244"/>
  <c r="K64" i="244"/>
  <c r="K74" i="244" s="1"/>
  <c r="K63" i="243"/>
  <c r="J73" i="243"/>
  <c r="J64" i="243"/>
  <c r="J74" i="243" s="1"/>
  <c r="I63" i="242"/>
  <c r="H73" i="242"/>
  <c r="H64" i="242"/>
  <c r="H74" i="242" s="1"/>
  <c r="H63" i="241"/>
  <c r="G73" i="241"/>
  <c r="G64" i="241"/>
  <c r="G74" i="241" s="1"/>
  <c r="E73" i="240"/>
  <c r="E64" i="240"/>
  <c r="E74" i="240" s="1"/>
  <c r="F63" i="240"/>
  <c r="B73" i="239"/>
  <c r="B64" i="239"/>
  <c r="B74" i="239" s="1"/>
  <c r="C63" i="239"/>
  <c r="M76" i="245" l="1"/>
  <c r="M67" i="245"/>
  <c r="M77" i="245" s="1"/>
  <c r="M63" i="244"/>
  <c r="L73" i="244"/>
  <c r="L64" i="244"/>
  <c r="L74" i="244" s="1"/>
  <c r="L63" i="243"/>
  <c r="K73" i="243"/>
  <c r="K64" i="243"/>
  <c r="K74" i="243" s="1"/>
  <c r="J63" i="242"/>
  <c r="I73" i="242"/>
  <c r="I64" i="242"/>
  <c r="I74" i="242" s="1"/>
  <c r="I63" i="241"/>
  <c r="H73" i="241"/>
  <c r="H64" i="241"/>
  <c r="H74" i="241" s="1"/>
  <c r="G63" i="240"/>
  <c r="F73" i="240"/>
  <c r="F64" i="240"/>
  <c r="F74" i="240" s="1"/>
  <c r="C64" i="239"/>
  <c r="C74" i="239" s="1"/>
  <c r="C73" i="239"/>
  <c r="D63" i="239"/>
  <c r="M73" i="244" l="1"/>
  <c r="M64" i="244"/>
  <c r="M74" i="244" s="1"/>
  <c r="L64" i="243"/>
  <c r="L74" i="243" s="1"/>
  <c r="M63" i="243"/>
  <c r="L73" i="243"/>
  <c r="K63" i="242"/>
  <c r="J73" i="242"/>
  <c r="J64" i="242"/>
  <c r="J74" i="242" s="1"/>
  <c r="J63" i="241"/>
  <c r="I73" i="241"/>
  <c r="I64" i="241"/>
  <c r="I74" i="241" s="1"/>
  <c r="H63" i="240"/>
  <c r="G73" i="240"/>
  <c r="G64" i="240"/>
  <c r="G74" i="240" s="1"/>
  <c r="E63" i="239"/>
  <c r="D73" i="239"/>
  <c r="D64" i="239"/>
  <c r="D74" i="239" s="1"/>
  <c r="M73" i="243" l="1"/>
  <c r="M64" i="243"/>
  <c r="M74" i="243" s="1"/>
  <c r="L63" i="242"/>
  <c r="K73" i="242"/>
  <c r="K64" i="242"/>
  <c r="K74" i="242" s="1"/>
  <c r="K63" i="241"/>
  <c r="J73" i="241"/>
  <c r="J64" i="241"/>
  <c r="J74" i="241" s="1"/>
  <c r="H73" i="240"/>
  <c r="I63" i="240"/>
  <c r="H64" i="240"/>
  <c r="H74" i="240" s="1"/>
  <c r="F63" i="239"/>
  <c r="E73" i="239"/>
  <c r="E64" i="239"/>
  <c r="E74" i="239" s="1"/>
  <c r="M63" i="242" l="1"/>
  <c r="L73" i="242"/>
  <c r="L64" i="242"/>
  <c r="L74" i="242" s="1"/>
  <c r="L63" i="241"/>
  <c r="K73" i="241"/>
  <c r="K64" i="241"/>
  <c r="K74" i="241" s="1"/>
  <c r="I73" i="240"/>
  <c r="I64" i="240"/>
  <c r="I74" i="240" s="1"/>
  <c r="J63" i="240"/>
  <c r="G63" i="239"/>
  <c r="F73" i="239"/>
  <c r="F64" i="239"/>
  <c r="F74" i="239" s="1"/>
  <c r="M73" i="242" l="1"/>
  <c r="M64" i="242"/>
  <c r="M74" i="242" s="1"/>
  <c r="M63" i="241"/>
  <c r="L73" i="241"/>
  <c r="L64" i="241"/>
  <c r="L74" i="241" s="1"/>
  <c r="J64" i="240"/>
  <c r="J74" i="240" s="1"/>
  <c r="K63" i="240"/>
  <c r="J73" i="240"/>
  <c r="H63" i="239"/>
  <c r="G73" i="239"/>
  <c r="G64" i="239"/>
  <c r="G74" i="239" s="1"/>
  <c r="N73" i="238"/>
  <c r="B68" i="238"/>
  <c r="C68" i="238" s="1"/>
  <c r="D68" i="238" s="1"/>
  <c r="E68" i="238" s="1"/>
  <c r="F68" i="238" s="1"/>
  <c r="G68" i="238" s="1"/>
  <c r="H68" i="238" s="1"/>
  <c r="I68" i="238" s="1"/>
  <c r="J68" i="238" s="1"/>
  <c r="K68" i="238" s="1"/>
  <c r="L68" i="238" s="1"/>
  <c r="M68" i="238" s="1"/>
  <c r="M58" i="238"/>
  <c r="L58" i="238"/>
  <c r="K58" i="238"/>
  <c r="J58" i="238"/>
  <c r="I58" i="238"/>
  <c r="H58" i="238"/>
  <c r="G58" i="238"/>
  <c r="F58" i="238"/>
  <c r="E58" i="238"/>
  <c r="D58" i="238"/>
  <c r="C58" i="238"/>
  <c r="B58" i="238"/>
  <c r="N57" i="238"/>
  <c r="N56" i="238"/>
  <c r="N55" i="238"/>
  <c r="N54" i="238"/>
  <c r="N53" i="238"/>
  <c r="M46" i="238"/>
  <c r="L46" i="238"/>
  <c r="K46" i="238"/>
  <c r="J46" i="238"/>
  <c r="I46" i="238"/>
  <c r="H46" i="238"/>
  <c r="G46" i="238"/>
  <c r="F46" i="238"/>
  <c r="E46" i="238"/>
  <c r="D46" i="238"/>
  <c r="C46" i="238"/>
  <c r="B46" i="238"/>
  <c r="N45" i="238"/>
  <c r="N44" i="238"/>
  <c r="N41" i="238"/>
  <c r="N40" i="238"/>
  <c r="N39" i="238"/>
  <c r="N37" i="238"/>
  <c r="M34" i="238"/>
  <c r="M38" i="238" s="1"/>
  <c r="M42" i="238" s="1"/>
  <c r="L34" i="238"/>
  <c r="L38" i="238" s="1"/>
  <c r="L42" i="238" s="1"/>
  <c r="K34" i="238"/>
  <c r="K38" i="238" s="1"/>
  <c r="K42" i="238" s="1"/>
  <c r="J34" i="238"/>
  <c r="J38" i="238" s="1"/>
  <c r="J42" i="238" s="1"/>
  <c r="I34" i="238"/>
  <c r="I38" i="238" s="1"/>
  <c r="I42" i="238" s="1"/>
  <c r="H34" i="238"/>
  <c r="H38" i="238" s="1"/>
  <c r="H42" i="238" s="1"/>
  <c r="G34" i="238"/>
  <c r="G38" i="238" s="1"/>
  <c r="G42" i="238" s="1"/>
  <c r="F34" i="238"/>
  <c r="F38" i="238" s="1"/>
  <c r="F42" i="238" s="1"/>
  <c r="E34" i="238"/>
  <c r="E38" i="238" s="1"/>
  <c r="E42" i="238" s="1"/>
  <c r="D34" i="238"/>
  <c r="D38" i="238" s="1"/>
  <c r="D42" i="238" s="1"/>
  <c r="C34" i="238"/>
  <c r="C38" i="238" s="1"/>
  <c r="C42" i="238" s="1"/>
  <c r="B34" i="238"/>
  <c r="B38" i="238" s="1"/>
  <c r="N33" i="238"/>
  <c r="N32" i="238"/>
  <c r="N31" i="238"/>
  <c r="N30" i="238"/>
  <c r="M26" i="238"/>
  <c r="L26" i="238"/>
  <c r="K26" i="238"/>
  <c r="J26" i="238"/>
  <c r="I26" i="238"/>
  <c r="H26" i="238"/>
  <c r="G26" i="238"/>
  <c r="F26" i="238"/>
  <c r="E26" i="238"/>
  <c r="D26" i="238"/>
  <c r="C26" i="238"/>
  <c r="B26" i="238"/>
  <c r="M25" i="238"/>
  <c r="L25" i="238"/>
  <c r="K25" i="238"/>
  <c r="J25" i="238"/>
  <c r="I25" i="238"/>
  <c r="H25" i="238"/>
  <c r="G25" i="238"/>
  <c r="F25" i="238"/>
  <c r="E25" i="238"/>
  <c r="D25" i="238"/>
  <c r="C25" i="238"/>
  <c r="B25" i="238"/>
  <c r="M24" i="238"/>
  <c r="L24" i="238"/>
  <c r="K24" i="238"/>
  <c r="J24" i="238"/>
  <c r="I24" i="238"/>
  <c r="H24" i="238"/>
  <c r="G24" i="238"/>
  <c r="F24" i="238"/>
  <c r="E24" i="238"/>
  <c r="D24" i="238"/>
  <c r="C24" i="238"/>
  <c r="B24" i="238"/>
  <c r="M23" i="238"/>
  <c r="L23" i="238"/>
  <c r="L27" i="238" s="1"/>
  <c r="K23" i="238"/>
  <c r="K27" i="238" s="1"/>
  <c r="J23" i="238"/>
  <c r="I23" i="238"/>
  <c r="H23" i="238"/>
  <c r="G23" i="238"/>
  <c r="G27" i="238" s="1"/>
  <c r="F23" i="238"/>
  <c r="E23" i="238"/>
  <c r="D23" i="238"/>
  <c r="D27" i="238" s="1"/>
  <c r="C23" i="238"/>
  <c r="C27" i="238" s="1"/>
  <c r="B23" i="238"/>
  <c r="M20" i="238"/>
  <c r="L20" i="238"/>
  <c r="K20" i="238"/>
  <c r="J20" i="238"/>
  <c r="I20" i="238"/>
  <c r="H20" i="238"/>
  <c r="G20" i="238"/>
  <c r="F20" i="238"/>
  <c r="E20" i="238"/>
  <c r="D20" i="238"/>
  <c r="C20" i="238"/>
  <c r="B20" i="238"/>
  <c r="N19" i="238"/>
  <c r="N17" i="238"/>
  <c r="N16" i="238"/>
  <c r="N11" i="238"/>
  <c r="M9" i="238"/>
  <c r="M13" i="238" s="1"/>
  <c r="L9" i="238"/>
  <c r="L13" i="238" s="1"/>
  <c r="K9" i="238"/>
  <c r="K13" i="238" s="1"/>
  <c r="J9" i="238"/>
  <c r="J13" i="238" s="1"/>
  <c r="I9" i="238"/>
  <c r="I13" i="238" s="1"/>
  <c r="H9" i="238"/>
  <c r="H13" i="238" s="1"/>
  <c r="G9" i="238"/>
  <c r="G13" i="238" s="1"/>
  <c r="F9" i="238"/>
  <c r="F13" i="238" s="1"/>
  <c r="E9" i="238"/>
  <c r="E13" i="238" s="1"/>
  <c r="D9" i="238"/>
  <c r="D13" i="238" s="1"/>
  <c r="C9" i="238"/>
  <c r="C13" i="238" s="1"/>
  <c r="B9" i="238"/>
  <c r="B13" i="238" s="1"/>
  <c r="N8" i="238"/>
  <c r="N7" i="238"/>
  <c r="N6" i="238"/>
  <c r="N5" i="238"/>
  <c r="N4" i="238"/>
  <c r="F27" i="238" l="1"/>
  <c r="M73" i="241"/>
  <c r="M64" i="241"/>
  <c r="M74" i="241" s="1"/>
  <c r="L63" i="240"/>
  <c r="K73" i="240"/>
  <c r="K64" i="240"/>
  <c r="K74" i="240" s="1"/>
  <c r="I63" i="239"/>
  <c r="H73" i="239"/>
  <c r="H64" i="239"/>
  <c r="H74" i="239" s="1"/>
  <c r="B27" i="238"/>
  <c r="G28" i="238"/>
  <c r="E27" i="238"/>
  <c r="E28" i="238" s="1"/>
  <c r="M48" i="238"/>
  <c r="M61" i="238" s="1"/>
  <c r="M62" i="238" s="1"/>
  <c r="M72" i="238" s="1"/>
  <c r="B28" i="238"/>
  <c r="M27" i="238"/>
  <c r="M28" i="238" s="1"/>
  <c r="F28" i="238"/>
  <c r="G48" i="238"/>
  <c r="G61" i="238" s="1"/>
  <c r="G62" i="238" s="1"/>
  <c r="G72" i="238" s="1"/>
  <c r="N46" i="238"/>
  <c r="N58" i="238"/>
  <c r="N34" i="238"/>
  <c r="H27" i="238"/>
  <c r="H28" i="238" s="1"/>
  <c r="I48" i="238"/>
  <c r="I61" i="238" s="1"/>
  <c r="I62" i="238" s="1"/>
  <c r="I72" i="238" s="1"/>
  <c r="I27" i="238"/>
  <c r="I28" i="238" s="1"/>
  <c r="C48" i="238"/>
  <c r="C61" i="238" s="1"/>
  <c r="C62" i="238" s="1"/>
  <c r="C72" i="238" s="1"/>
  <c r="J48" i="238"/>
  <c r="J50" i="238" s="1"/>
  <c r="J27" i="238"/>
  <c r="J28" i="238" s="1"/>
  <c r="D48" i="238"/>
  <c r="D61" i="238" s="1"/>
  <c r="K48" i="238"/>
  <c r="K50" i="238" s="1"/>
  <c r="K28" i="238"/>
  <c r="E48" i="238"/>
  <c r="E61" i="238" s="1"/>
  <c r="E62" i="238" s="1"/>
  <c r="E72" i="238" s="1"/>
  <c r="N20" i="238"/>
  <c r="L48" i="238"/>
  <c r="L61" i="238" s="1"/>
  <c r="L62" i="238" s="1"/>
  <c r="L72" i="238" s="1"/>
  <c r="L28" i="238"/>
  <c r="N24" i="238"/>
  <c r="N25" i="238"/>
  <c r="N26" i="238"/>
  <c r="H48" i="238"/>
  <c r="H50" i="238" s="1"/>
  <c r="N9" i="238"/>
  <c r="N13" i="238" s="1"/>
  <c r="C28" i="238"/>
  <c r="D28" i="238"/>
  <c r="B42" i="238"/>
  <c r="B48" i="238" s="1"/>
  <c r="N38" i="238"/>
  <c r="N42" i="238" s="1"/>
  <c r="K61" i="238"/>
  <c r="K62" i="238" s="1"/>
  <c r="K72" i="238" s="1"/>
  <c r="G50" i="238"/>
  <c r="D62" i="238"/>
  <c r="D72" i="238" s="1"/>
  <c r="N23" i="238"/>
  <c r="F48" i="238"/>
  <c r="F61" i="238" s="1"/>
  <c r="F62" i="238" s="1"/>
  <c r="F72" i="238" s="1"/>
  <c r="N73" i="237"/>
  <c r="B68" i="237"/>
  <c r="C68" i="237" s="1"/>
  <c r="D68" i="237" s="1"/>
  <c r="E68" i="237" s="1"/>
  <c r="F68" i="237" s="1"/>
  <c r="G68" i="237" s="1"/>
  <c r="H68" i="237" s="1"/>
  <c r="I68" i="237" s="1"/>
  <c r="J68" i="237" s="1"/>
  <c r="K68" i="237" s="1"/>
  <c r="L68" i="237" s="1"/>
  <c r="M68" i="237" s="1"/>
  <c r="M58" i="237"/>
  <c r="L58" i="237"/>
  <c r="K58" i="237"/>
  <c r="J58" i="237"/>
  <c r="I58" i="237"/>
  <c r="H58" i="237"/>
  <c r="G58" i="237"/>
  <c r="F58" i="237"/>
  <c r="E58" i="237"/>
  <c r="D58" i="237"/>
  <c r="C58" i="237"/>
  <c r="B58" i="237"/>
  <c r="N57" i="237"/>
  <c r="N56" i="237"/>
  <c r="N55" i="237"/>
  <c r="N54" i="237"/>
  <c r="N53" i="237"/>
  <c r="M46" i="237"/>
  <c r="L46" i="237"/>
  <c r="K46" i="237"/>
  <c r="J46" i="237"/>
  <c r="I46" i="237"/>
  <c r="H46" i="237"/>
  <c r="G46" i="237"/>
  <c r="F46" i="237"/>
  <c r="E46" i="237"/>
  <c r="D46" i="237"/>
  <c r="C46" i="237"/>
  <c r="B46" i="237"/>
  <c r="N45" i="237"/>
  <c r="N44" i="237"/>
  <c r="N46" i="237" s="1"/>
  <c r="N41" i="237"/>
  <c r="N40" i="237"/>
  <c r="N39" i="237"/>
  <c r="N37" i="237"/>
  <c r="M34" i="237"/>
  <c r="M38" i="237" s="1"/>
  <c r="M42" i="237" s="1"/>
  <c r="L34" i="237"/>
  <c r="L38" i="237" s="1"/>
  <c r="L42" i="237" s="1"/>
  <c r="K34" i="237"/>
  <c r="J34" i="237"/>
  <c r="J38" i="237" s="1"/>
  <c r="J42" i="237" s="1"/>
  <c r="I34" i="237"/>
  <c r="I38" i="237" s="1"/>
  <c r="I42" i="237" s="1"/>
  <c r="H34" i="237"/>
  <c r="H38" i="237" s="1"/>
  <c r="H42" i="237" s="1"/>
  <c r="G34" i="237"/>
  <c r="G38" i="237" s="1"/>
  <c r="G42" i="237" s="1"/>
  <c r="F34" i="237"/>
  <c r="F38" i="237" s="1"/>
  <c r="F42" i="237" s="1"/>
  <c r="E34" i="237"/>
  <c r="E38" i="237" s="1"/>
  <c r="E42" i="237" s="1"/>
  <c r="D34" i="237"/>
  <c r="D38" i="237" s="1"/>
  <c r="D42" i="237" s="1"/>
  <c r="C34" i="237"/>
  <c r="C38" i="237" s="1"/>
  <c r="C42" i="237" s="1"/>
  <c r="B34" i="237"/>
  <c r="B38" i="237" s="1"/>
  <c r="N33" i="237"/>
  <c r="N32" i="237"/>
  <c r="N31" i="237"/>
  <c r="N30" i="237"/>
  <c r="M26" i="237"/>
  <c r="L26" i="237"/>
  <c r="K26" i="237"/>
  <c r="J26" i="237"/>
  <c r="I26" i="237"/>
  <c r="H26" i="237"/>
  <c r="G26" i="237"/>
  <c r="F26" i="237"/>
  <c r="E26" i="237"/>
  <c r="D26" i="237"/>
  <c r="C26" i="237"/>
  <c r="B26" i="237"/>
  <c r="M25" i="237"/>
  <c r="L25" i="237"/>
  <c r="K25" i="237"/>
  <c r="J25" i="237"/>
  <c r="I25" i="237"/>
  <c r="H25" i="237"/>
  <c r="G25" i="237"/>
  <c r="F25" i="237"/>
  <c r="E25" i="237"/>
  <c r="D25" i="237"/>
  <c r="C25" i="237"/>
  <c r="B25" i="237"/>
  <c r="M24" i="237"/>
  <c r="L24" i="237"/>
  <c r="K24" i="237"/>
  <c r="J24" i="237"/>
  <c r="I24" i="237"/>
  <c r="H24" i="237"/>
  <c r="G24" i="237"/>
  <c r="F24" i="237"/>
  <c r="E24" i="237"/>
  <c r="D24" i="237"/>
  <c r="C24" i="237"/>
  <c r="B24" i="237"/>
  <c r="M23" i="237"/>
  <c r="L23" i="237"/>
  <c r="K23" i="237"/>
  <c r="J23" i="237"/>
  <c r="I23" i="237"/>
  <c r="I27" i="237" s="1"/>
  <c r="H23" i="237"/>
  <c r="H27" i="237" s="1"/>
  <c r="G23" i="237"/>
  <c r="G27" i="237" s="1"/>
  <c r="F23" i="237"/>
  <c r="F27" i="237" s="1"/>
  <c r="E23" i="237"/>
  <c r="E27" i="237" s="1"/>
  <c r="D23" i="237"/>
  <c r="C23" i="237"/>
  <c r="C27" i="237" s="1"/>
  <c r="B23" i="237"/>
  <c r="M20" i="237"/>
  <c r="M48" i="237" s="1"/>
  <c r="L20" i="237"/>
  <c r="K20" i="237"/>
  <c r="J20" i="237"/>
  <c r="I20" i="237"/>
  <c r="H20" i="237"/>
  <c r="G20" i="237"/>
  <c r="F20" i="237"/>
  <c r="E20" i="237"/>
  <c r="D20" i="237"/>
  <c r="C20" i="237"/>
  <c r="B20" i="237"/>
  <c r="N19" i="237"/>
  <c r="N17" i="237"/>
  <c r="N16" i="237"/>
  <c r="N11" i="237"/>
  <c r="M9" i="237"/>
  <c r="M13" i="237" s="1"/>
  <c r="L9" i="237"/>
  <c r="L13" i="237" s="1"/>
  <c r="K9" i="237"/>
  <c r="K13" i="237" s="1"/>
  <c r="J9" i="237"/>
  <c r="J13" i="237" s="1"/>
  <c r="I9" i="237"/>
  <c r="I13" i="237" s="1"/>
  <c r="H9" i="237"/>
  <c r="H13" i="237" s="1"/>
  <c r="G9" i="237"/>
  <c r="G13" i="237" s="1"/>
  <c r="F9" i="237"/>
  <c r="F13" i="237" s="1"/>
  <c r="E9" i="237"/>
  <c r="E13" i="237" s="1"/>
  <c r="D9" i="237"/>
  <c r="D13" i="237" s="1"/>
  <c r="C9" i="237"/>
  <c r="C13" i="237" s="1"/>
  <c r="B9" i="237"/>
  <c r="B13" i="237" s="1"/>
  <c r="N8" i="237"/>
  <c r="N7" i="237"/>
  <c r="N6" i="237"/>
  <c r="N5" i="237"/>
  <c r="N4" i="237"/>
  <c r="B27" i="237" l="1"/>
  <c r="L73" i="240"/>
  <c r="L64" i="240"/>
  <c r="L74" i="240" s="1"/>
  <c r="M63" i="240"/>
  <c r="J63" i="239"/>
  <c r="I73" i="239"/>
  <c r="I64" i="239"/>
  <c r="I74" i="239" s="1"/>
  <c r="H61" i="238"/>
  <c r="H62" i="238" s="1"/>
  <c r="H72" i="238" s="1"/>
  <c r="C50" i="238"/>
  <c r="J61" i="238"/>
  <c r="J62" i="238" s="1"/>
  <c r="J72" i="238" s="1"/>
  <c r="L50" i="238"/>
  <c r="I50" i="238"/>
  <c r="D50" i="238"/>
  <c r="M50" i="238"/>
  <c r="N27" i="238"/>
  <c r="N28" i="238" s="1"/>
  <c r="N48" i="238"/>
  <c r="N61" i="238" s="1"/>
  <c r="N62" i="238" s="1"/>
  <c r="E50" i="238"/>
  <c r="F50" i="238"/>
  <c r="B50" i="238"/>
  <c r="B61" i="238"/>
  <c r="B62" i="238" s="1"/>
  <c r="N20" i="237"/>
  <c r="B28" i="237"/>
  <c r="F48" i="237"/>
  <c r="F50" i="237" s="1"/>
  <c r="G28" i="237"/>
  <c r="H28" i="237"/>
  <c r="N9" i="237"/>
  <c r="N13" i="237" s="1"/>
  <c r="N34" i="237"/>
  <c r="L27" i="237"/>
  <c r="L28" i="237" s="1"/>
  <c r="N24" i="237"/>
  <c r="C48" i="237"/>
  <c r="C61" i="237" s="1"/>
  <c r="C62" i="237" s="1"/>
  <c r="C72" i="237" s="1"/>
  <c r="C28" i="237"/>
  <c r="D48" i="237"/>
  <c r="D61" i="237" s="1"/>
  <c r="D62" i="237" s="1"/>
  <c r="D72" i="237" s="1"/>
  <c r="D27" i="237"/>
  <c r="D28" i="237" s="1"/>
  <c r="M27" i="237"/>
  <c r="M28" i="237" s="1"/>
  <c r="N26" i="237"/>
  <c r="E48" i="237"/>
  <c r="E61" i="237" s="1"/>
  <c r="E62" i="237" s="1"/>
  <c r="E72" i="237" s="1"/>
  <c r="E28" i="237"/>
  <c r="F28" i="237"/>
  <c r="K27" i="237"/>
  <c r="K28" i="237" s="1"/>
  <c r="I48" i="237"/>
  <c r="I50" i="237" s="1"/>
  <c r="I28" i="237"/>
  <c r="J27" i="237"/>
  <c r="J28" i="237" s="1"/>
  <c r="N58" i="237"/>
  <c r="M61" i="237"/>
  <c r="M62" i="237" s="1"/>
  <c r="M72" i="237" s="1"/>
  <c r="N25" i="237"/>
  <c r="M50" i="237"/>
  <c r="F61" i="237"/>
  <c r="F62" i="237" s="1"/>
  <c r="F72" i="237" s="1"/>
  <c r="L48" i="237"/>
  <c r="L61" i="237" s="1"/>
  <c r="L62" i="237" s="1"/>
  <c r="L72" i="237" s="1"/>
  <c r="B42" i="237"/>
  <c r="B48" i="237" s="1"/>
  <c r="G48" i="237"/>
  <c r="G61" i="237" s="1"/>
  <c r="G62" i="237" s="1"/>
  <c r="G72" i="237" s="1"/>
  <c r="H50" i="237"/>
  <c r="H48" i="237"/>
  <c r="H61" i="237" s="1"/>
  <c r="H62" i="237" s="1"/>
  <c r="H72" i="237" s="1"/>
  <c r="J48" i="237"/>
  <c r="J61" i="237" s="1"/>
  <c r="J62" i="237" s="1"/>
  <c r="J72" i="237" s="1"/>
  <c r="K38" i="237"/>
  <c r="K42" i="237" s="1"/>
  <c r="K48" i="237" s="1"/>
  <c r="N23" i="237"/>
  <c r="N73" i="236"/>
  <c r="B68" i="236"/>
  <c r="C68" i="236" s="1"/>
  <c r="D68" i="236" s="1"/>
  <c r="E68" i="236" s="1"/>
  <c r="F68" i="236" s="1"/>
  <c r="G68" i="236" s="1"/>
  <c r="H68" i="236" s="1"/>
  <c r="I68" i="236" s="1"/>
  <c r="J68" i="236" s="1"/>
  <c r="K68" i="236" s="1"/>
  <c r="L68" i="236" s="1"/>
  <c r="M68" i="236" s="1"/>
  <c r="M58" i="236"/>
  <c r="L58" i="236"/>
  <c r="K58" i="236"/>
  <c r="J58" i="236"/>
  <c r="I58" i="236"/>
  <c r="H58" i="236"/>
  <c r="G58" i="236"/>
  <c r="F58" i="236"/>
  <c r="E58" i="236"/>
  <c r="D58" i="236"/>
  <c r="C58" i="236"/>
  <c r="B58" i="236"/>
  <c r="N57" i="236"/>
  <c r="N56" i="236"/>
  <c r="N55" i="236"/>
  <c r="N54" i="236"/>
  <c r="N53" i="236"/>
  <c r="M46" i="236"/>
  <c r="L46" i="236"/>
  <c r="K46" i="236"/>
  <c r="J46" i="236"/>
  <c r="I46" i="236"/>
  <c r="H46" i="236"/>
  <c r="G46" i="236"/>
  <c r="F46" i="236"/>
  <c r="E46" i="236"/>
  <c r="D46" i="236"/>
  <c r="C46" i="236"/>
  <c r="B46" i="236"/>
  <c r="N45" i="236"/>
  <c r="N44" i="236"/>
  <c r="N41" i="236"/>
  <c r="N40" i="236"/>
  <c r="N39" i="236"/>
  <c r="N37" i="236"/>
  <c r="M34" i="236"/>
  <c r="L34" i="236"/>
  <c r="L38" i="236" s="1"/>
  <c r="L42" i="236" s="1"/>
  <c r="K34" i="236"/>
  <c r="K38" i="236" s="1"/>
  <c r="K42" i="236" s="1"/>
  <c r="J34" i="236"/>
  <c r="J38" i="236" s="1"/>
  <c r="J42" i="236" s="1"/>
  <c r="I34" i="236"/>
  <c r="I38" i="236" s="1"/>
  <c r="I42" i="236" s="1"/>
  <c r="H34" i="236"/>
  <c r="H38" i="236" s="1"/>
  <c r="H42" i="236" s="1"/>
  <c r="G34" i="236"/>
  <c r="G38" i="236" s="1"/>
  <c r="G42" i="236" s="1"/>
  <c r="F34" i="236"/>
  <c r="F38" i="236" s="1"/>
  <c r="F42" i="236" s="1"/>
  <c r="E34" i="236"/>
  <c r="E38" i="236" s="1"/>
  <c r="E42" i="236" s="1"/>
  <c r="D34" i="236"/>
  <c r="D38" i="236" s="1"/>
  <c r="D42" i="236" s="1"/>
  <c r="C34" i="236"/>
  <c r="C38" i="236" s="1"/>
  <c r="C42" i="236" s="1"/>
  <c r="B34" i="236"/>
  <c r="B38" i="236" s="1"/>
  <c r="B42" i="236" s="1"/>
  <c r="N33" i="236"/>
  <c r="N32" i="236"/>
  <c r="N31" i="236"/>
  <c r="N30" i="236"/>
  <c r="M26" i="236"/>
  <c r="L26" i="236"/>
  <c r="K26" i="236"/>
  <c r="J26" i="236"/>
  <c r="I26" i="236"/>
  <c r="H26" i="236"/>
  <c r="G26" i="236"/>
  <c r="F26" i="236"/>
  <c r="E26" i="236"/>
  <c r="D26" i="236"/>
  <c r="C26" i="236"/>
  <c r="B26" i="236"/>
  <c r="M25" i="236"/>
  <c r="L25" i="236"/>
  <c r="K25" i="236"/>
  <c r="J25" i="236"/>
  <c r="I25" i="236"/>
  <c r="H25" i="236"/>
  <c r="G25" i="236"/>
  <c r="F25" i="236"/>
  <c r="E25" i="236"/>
  <c r="D25" i="236"/>
  <c r="C25" i="236"/>
  <c r="B25" i="236"/>
  <c r="M24" i="236"/>
  <c r="L24" i="236"/>
  <c r="K24" i="236"/>
  <c r="J24" i="236"/>
  <c r="I24" i="236"/>
  <c r="H24" i="236"/>
  <c r="G24" i="236"/>
  <c r="F24" i="236"/>
  <c r="E24" i="236"/>
  <c r="D24" i="236"/>
  <c r="C24" i="236"/>
  <c r="B24" i="236"/>
  <c r="M23" i="236"/>
  <c r="L23" i="236"/>
  <c r="K23" i="236"/>
  <c r="J23" i="236"/>
  <c r="I23" i="236"/>
  <c r="I27" i="236" s="1"/>
  <c r="H23" i="236"/>
  <c r="H27" i="236" s="1"/>
  <c r="G23" i="236"/>
  <c r="G27" i="236" s="1"/>
  <c r="F23" i="236"/>
  <c r="E23" i="236"/>
  <c r="D23" i="236"/>
  <c r="C23" i="236"/>
  <c r="C27" i="236" s="1"/>
  <c r="B23" i="236"/>
  <c r="M20" i="236"/>
  <c r="L20" i="236"/>
  <c r="K20" i="236"/>
  <c r="J20" i="236"/>
  <c r="I20" i="236"/>
  <c r="H20" i="236"/>
  <c r="G20" i="236"/>
  <c r="F20" i="236"/>
  <c r="E20" i="236"/>
  <c r="D20" i="236"/>
  <c r="C20" i="236"/>
  <c r="B20" i="236"/>
  <c r="N19" i="236"/>
  <c r="N17" i="236"/>
  <c r="N16" i="236"/>
  <c r="N11" i="236"/>
  <c r="M9" i="236"/>
  <c r="M13" i="236" s="1"/>
  <c r="L9" i="236"/>
  <c r="L13" i="236" s="1"/>
  <c r="K9" i="236"/>
  <c r="K13" i="236" s="1"/>
  <c r="J9" i="236"/>
  <c r="I9" i="236"/>
  <c r="H9" i="236"/>
  <c r="H13" i="236" s="1"/>
  <c r="G9" i="236"/>
  <c r="G13" i="236" s="1"/>
  <c r="F9" i="236"/>
  <c r="F13" i="236" s="1"/>
  <c r="E9" i="236"/>
  <c r="E13" i="236" s="1"/>
  <c r="D9" i="236"/>
  <c r="D13" i="236" s="1"/>
  <c r="C9" i="236"/>
  <c r="C13" i="236" s="1"/>
  <c r="B9" i="236"/>
  <c r="B13" i="236" s="1"/>
  <c r="N8" i="236"/>
  <c r="N7" i="236"/>
  <c r="N6" i="236"/>
  <c r="N5" i="236"/>
  <c r="N4" i="236"/>
  <c r="B27" i="236" l="1"/>
  <c r="J27" i="236"/>
  <c r="G28" i="236"/>
  <c r="M73" i="240"/>
  <c r="M64" i="240"/>
  <c r="M74" i="240" s="1"/>
  <c r="K63" i="239"/>
  <c r="J73" i="239"/>
  <c r="J64" i="239"/>
  <c r="J74" i="239" s="1"/>
  <c r="N50" i="238"/>
  <c r="B72" i="238"/>
  <c r="B63" i="238"/>
  <c r="D50" i="237"/>
  <c r="C50" i="237"/>
  <c r="I61" i="237"/>
  <c r="I62" i="237" s="1"/>
  <c r="I72" i="237" s="1"/>
  <c r="N27" i="237"/>
  <c r="N28" i="237" s="1"/>
  <c r="L50" i="237"/>
  <c r="N38" i="237"/>
  <c r="N42" i="237" s="1"/>
  <c r="N48" i="237" s="1"/>
  <c r="N61" i="237" s="1"/>
  <c r="N62" i="237" s="1"/>
  <c r="E50" i="237"/>
  <c r="K61" i="237"/>
  <c r="K62" i="237" s="1"/>
  <c r="K72" i="237" s="1"/>
  <c r="K50" i="237"/>
  <c r="B61" i="237"/>
  <c r="B62" i="237" s="1"/>
  <c r="B50" i="237"/>
  <c r="J50" i="237"/>
  <c r="G50" i="237"/>
  <c r="K27" i="236"/>
  <c r="N20" i="236"/>
  <c r="K28" i="236"/>
  <c r="D27" i="236"/>
  <c r="D28" i="236" s="1"/>
  <c r="E27" i="236"/>
  <c r="E28" i="236" s="1"/>
  <c r="J48" i="236"/>
  <c r="J61" i="236" s="1"/>
  <c r="N46" i="236"/>
  <c r="N9" i="236"/>
  <c r="N13" i="236" s="1"/>
  <c r="J28" i="236"/>
  <c r="L27" i="236"/>
  <c r="L28" i="236" s="1"/>
  <c r="N58" i="236"/>
  <c r="B48" i="236"/>
  <c r="B61" i="236" s="1"/>
  <c r="B62" i="236" s="1"/>
  <c r="B28" i="236"/>
  <c r="N24" i="236"/>
  <c r="N25" i="236"/>
  <c r="N26" i="236"/>
  <c r="M27" i="236"/>
  <c r="M28" i="236" s="1"/>
  <c r="C48" i="236"/>
  <c r="C61" i="236" s="1"/>
  <c r="C62" i="236" s="1"/>
  <c r="C72" i="236" s="1"/>
  <c r="D48" i="236"/>
  <c r="D61" i="236" s="1"/>
  <c r="D62" i="236" s="1"/>
  <c r="D72" i="236" s="1"/>
  <c r="C28" i="236"/>
  <c r="G48" i="236"/>
  <c r="G61" i="236" s="1"/>
  <c r="G62" i="236" s="1"/>
  <c r="G72" i="236" s="1"/>
  <c r="M38" i="236"/>
  <c r="M42" i="236" s="1"/>
  <c r="M48" i="236" s="1"/>
  <c r="M50" i="236" s="1"/>
  <c r="K48" i="236"/>
  <c r="K61" i="236" s="1"/>
  <c r="K62" i="236" s="1"/>
  <c r="K72" i="236" s="1"/>
  <c r="I28" i="236"/>
  <c r="E48" i="236"/>
  <c r="E61" i="236" s="1"/>
  <c r="E62" i="236" s="1"/>
  <c r="E72" i="236" s="1"/>
  <c r="H48" i="236"/>
  <c r="H50" i="236" s="1"/>
  <c r="I48" i="236"/>
  <c r="I61" i="236" s="1"/>
  <c r="F27" i="236"/>
  <c r="F28" i="236" s="1"/>
  <c r="N34" i="236"/>
  <c r="H28" i="236"/>
  <c r="L48" i="236"/>
  <c r="L50" i="236" s="1"/>
  <c r="L61" i="236"/>
  <c r="L62" i="236" s="1"/>
  <c r="L72" i="236" s="1"/>
  <c r="J13" i="236"/>
  <c r="I13" i="236"/>
  <c r="N23" i="236"/>
  <c r="F48" i="236"/>
  <c r="N73" i="235"/>
  <c r="M58" i="235"/>
  <c r="L58" i="235"/>
  <c r="K58" i="235"/>
  <c r="J58" i="235"/>
  <c r="I58" i="235"/>
  <c r="H58" i="235"/>
  <c r="G58" i="235"/>
  <c r="F58" i="235"/>
  <c r="E58" i="235"/>
  <c r="D58" i="235"/>
  <c r="C58" i="235"/>
  <c r="B58" i="235"/>
  <c r="N57" i="235"/>
  <c r="N56" i="235"/>
  <c r="N55" i="235"/>
  <c r="N54" i="235"/>
  <c r="N53" i="235"/>
  <c r="M46" i="235"/>
  <c r="L46" i="235"/>
  <c r="K46" i="235"/>
  <c r="J46" i="235"/>
  <c r="I46" i="235"/>
  <c r="H46" i="235"/>
  <c r="G46" i="235"/>
  <c r="F46" i="235"/>
  <c r="E46" i="235"/>
  <c r="D46" i="235"/>
  <c r="C46" i="235"/>
  <c r="B46" i="235"/>
  <c r="N45" i="235"/>
  <c r="N44" i="235"/>
  <c r="N41" i="235"/>
  <c r="N40" i="235"/>
  <c r="N39" i="235"/>
  <c r="N37" i="235"/>
  <c r="M34" i="235"/>
  <c r="M38" i="235" s="1"/>
  <c r="M42" i="235" s="1"/>
  <c r="L34" i="235"/>
  <c r="L38" i="235" s="1"/>
  <c r="L42" i="235" s="1"/>
  <c r="K34" i="235"/>
  <c r="J34" i="235"/>
  <c r="J38" i="235" s="1"/>
  <c r="J42" i="235" s="1"/>
  <c r="I34" i="235"/>
  <c r="I38" i="235" s="1"/>
  <c r="I42" i="235" s="1"/>
  <c r="H34" i="235"/>
  <c r="H38" i="235" s="1"/>
  <c r="H42" i="235" s="1"/>
  <c r="G34" i="235"/>
  <c r="G38" i="235" s="1"/>
  <c r="G42" i="235" s="1"/>
  <c r="F34" i="235"/>
  <c r="F38" i="235" s="1"/>
  <c r="F42" i="235" s="1"/>
  <c r="E34" i="235"/>
  <c r="E38" i="235" s="1"/>
  <c r="E42" i="235" s="1"/>
  <c r="D34" i="235"/>
  <c r="D38" i="235" s="1"/>
  <c r="D42" i="235" s="1"/>
  <c r="C34" i="235"/>
  <c r="C38" i="235" s="1"/>
  <c r="B34" i="235"/>
  <c r="B38" i="235" s="1"/>
  <c r="N33" i="235"/>
  <c r="N32" i="235"/>
  <c r="N31" i="235"/>
  <c r="N30" i="235"/>
  <c r="M26" i="235"/>
  <c r="L26" i="235"/>
  <c r="K26" i="235"/>
  <c r="J26" i="235"/>
  <c r="I26" i="235"/>
  <c r="H26" i="235"/>
  <c r="G26" i="235"/>
  <c r="F26" i="235"/>
  <c r="E26" i="235"/>
  <c r="D26" i="235"/>
  <c r="C26" i="235"/>
  <c r="B26" i="235"/>
  <c r="M25" i="235"/>
  <c r="L25" i="235"/>
  <c r="K25" i="235"/>
  <c r="J25" i="235"/>
  <c r="I25" i="235"/>
  <c r="H25" i="235"/>
  <c r="G25" i="235"/>
  <c r="F25" i="235"/>
  <c r="E25" i="235"/>
  <c r="D25" i="235"/>
  <c r="C25" i="235"/>
  <c r="B25" i="235"/>
  <c r="M24" i="235"/>
  <c r="L24" i="235"/>
  <c r="K24" i="235"/>
  <c r="J24" i="235"/>
  <c r="I24" i="235"/>
  <c r="H24" i="235"/>
  <c r="G24" i="235"/>
  <c r="F24" i="235"/>
  <c r="E24" i="235"/>
  <c r="D24" i="235"/>
  <c r="C24" i="235"/>
  <c r="B24" i="235"/>
  <c r="M23" i="235"/>
  <c r="M27" i="235" s="1"/>
  <c r="L23" i="235"/>
  <c r="L27" i="235" s="1"/>
  <c r="K23" i="235"/>
  <c r="K27" i="235" s="1"/>
  <c r="J23" i="235"/>
  <c r="I23" i="235"/>
  <c r="H23" i="235"/>
  <c r="G23" i="235"/>
  <c r="F23" i="235"/>
  <c r="F27" i="235" s="1"/>
  <c r="E23" i="235"/>
  <c r="E27" i="235" s="1"/>
  <c r="D23" i="235"/>
  <c r="C23" i="235"/>
  <c r="B23" i="235"/>
  <c r="M20" i="235"/>
  <c r="L20" i="235"/>
  <c r="K20" i="235"/>
  <c r="J20" i="235"/>
  <c r="I20" i="235"/>
  <c r="H20" i="235"/>
  <c r="G20" i="235"/>
  <c r="F20" i="235"/>
  <c r="E20" i="235"/>
  <c r="D20" i="235"/>
  <c r="C20" i="235"/>
  <c r="B20" i="235"/>
  <c r="N19" i="235"/>
  <c r="N17" i="235"/>
  <c r="N16" i="235"/>
  <c r="N11" i="235"/>
  <c r="M9" i="235"/>
  <c r="M13" i="235" s="1"/>
  <c r="L9" i="235"/>
  <c r="L13" i="235" s="1"/>
  <c r="K9" i="235"/>
  <c r="K13" i="235" s="1"/>
  <c r="J9" i="235"/>
  <c r="J13" i="235" s="1"/>
  <c r="I9" i="235"/>
  <c r="I13" i="235" s="1"/>
  <c r="H9" i="235"/>
  <c r="H13" i="235" s="1"/>
  <c r="G9" i="235"/>
  <c r="G13" i="235" s="1"/>
  <c r="F9" i="235"/>
  <c r="F13" i="235" s="1"/>
  <c r="E9" i="235"/>
  <c r="E13" i="235" s="1"/>
  <c r="D9" i="235"/>
  <c r="D13" i="235" s="1"/>
  <c r="C9" i="235"/>
  <c r="C13" i="235" s="1"/>
  <c r="B9" i="235"/>
  <c r="B13" i="235" s="1"/>
  <c r="N8" i="235"/>
  <c r="N7" i="235"/>
  <c r="N6" i="235"/>
  <c r="N5" i="235"/>
  <c r="N4" i="235"/>
  <c r="I27" i="235" l="1"/>
  <c r="H27" i="235"/>
  <c r="E28" i="235"/>
  <c r="G27" i="235"/>
  <c r="L63" i="239"/>
  <c r="K73" i="239"/>
  <c r="K64" i="239"/>
  <c r="K74" i="239" s="1"/>
  <c r="B73" i="238"/>
  <c r="B64" i="238"/>
  <c r="B74" i="238" s="1"/>
  <c r="C63" i="238"/>
  <c r="N50" i="237"/>
  <c r="B72" i="237"/>
  <c r="B63" i="237"/>
  <c r="H61" i="236"/>
  <c r="H62" i="236" s="1"/>
  <c r="H72" i="236" s="1"/>
  <c r="G50" i="236"/>
  <c r="D50" i="236"/>
  <c r="M61" i="236"/>
  <c r="M62" i="236" s="1"/>
  <c r="M72" i="236" s="1"/>
  <c r="C50" i="236"/>
  <c r="B50" i="236"/>
  <c r="E50" i="236"/>
  <c r="N38" i="236"/>
  <c r="N42" i="236" s="1"/>
  <c r="N48" i="236" s="1"/>
  <c r="N61" i="236" s="1"/>
  <c r="N62" i="236" s="1"/>
  <c r="K50" i="236"/>
  <c r="N27" i="236"/>
  <c r="N28" i="236" s="1"/>
  <c r="B72" i="236"/>
  <c r="B63" i="236"/>
  <c r="I50" i="236"/>
  <c r="I62" i="236"/>
  <c r="I72" i="236" s="1"/>
  <c r="J50" i="236"/>
  <c r="J62" i="236"/>
  <c r="J72" i="236" s="1"/>
  <c r="F50" i="236"/>
  <c r="F61" i="236"/>
  <c r="F62" i="236" s="1"/>
  <c r="F72" i="236" s="1"/>
  <c r="H28" i="235"/>
  <c r="I28" i="235"/>
  <c r="K28" i="235"/>
  <c r="M48" i="235"/>
  <c r="M61" i="235" s="1"/>
  <c r="M62" i="235" s="1"/>
  <c r="B42" i="235"/>
  <c r="B48" i="235" s="1"/>
  <c r="B61" i="235" s="1"/>
  <c r="B62" i="235" s="1"/>
  <c r="L48" i="235"/>
  <c r="L61" i="235" s="1"/>
  <c r="L62" i="235" s="1"/>
  <c r="L28" i="235"/>
  <c r="F48" i="235"/>
  <c r="F50" i="235" s="1"/>
  <c r="M28" i="235"/>
  <c r="N46" i="235"/>
  <c r="E48" i="235"/>
  <c r="E61" i="235" s="1"/>
  <c r="E62" i="235" s="1"/>
  <c r="G48" i="235"/>
  <c r="G61" i="235" s="1"/>
  <c r="G62" i="235" s="1"/>
  <c r="G28" i="235"/>
  <c r="N23" i="235"/>
  <c r="N25" i="235"/>
  <c r="C27" i="235"/>
  <c r="C28" i="235" s="1"/>
  <c r="D48" i="235"/>
  <c r="D61" i="235" s="1"/>
  <c r="D62" i="235" s="1"/>
  <c r="D27" i="235"/>
  <c r="D28" i="235" s="1"/>
  <c r="N34" i="235"/>
  <c r="N20" i="235"/>
  <c r="N24" i="235"/>
  <c r="N26" i="235"/>
  <c r="B27" i="235"/>
  <c r="B28" i="235" s="1"/>
  <c r="N9" i="235"/>
  <c r="N13" i="235" s="1"/>
  <c r="F28" i="235"/>
  <c r="N58" i="235"/>
  <c r="J27" i="235"/>
  <c r="J28" i="235" s="1"/>
  <c r="M50" i="235"/>
  <c r="H48" i="235"/>
  <c r="H61" i="235" s="1"/>
  <c r="H62" i="235" s="1"/>
  <c r="I48" i="235"/>
  <c r="I61" i="235" s="1"/>
  <c r="I62" i="235" s="1"/>
  <c r="J48" i="235"/>
  <c r="J61" i="235" s="1"/>
  <c r="J62" i="235" s="1"/>
  <c r="C42" i="235"/>
  <c r="C48" i="235" s="1"/>
  <c r="K38" i="235"/>
  <c r="K42" i="235" s="1"/>
  <c r="K48" i="235" s="1"/>
  <c r="K61" i="235" s="1"/>
  <c r="K62" i="235" s="1"/>
  <c r="N73" i="234"/>
  <c r="M58" i="234"/>
  <c r="L58" i="234"/>
  <c r="K58" i="234"/>
  <c r="J58" i="234"/>
  <c r="I58" i="234"/>
  <c r="H58" i="234"/>
  <c r="G58" i="234"/>
  <c r="F58" i="234"/>
  <c r="E58" i="234"/>
  <c r="D58" i="234"/>
  <c r="C58" i="234"/>
  <c r="B58" i="234"/>
  <c r="N57" i="234"/>
  <c r="N56" i="234"/>
  <c r="N55" i="234"/>
  <c r="N54" i="234"/>
  <c r="N53" i="234"/>
  <c r="M46" i="234"/>
  <c r="L46" i="234"/>
  <c r="K46" i="234"/>
  <c r="J46" i="234"/>
  <c r="I46" i="234"/>
  <c r="H46" i="234"/>
  <c r="G46" i="234"/>
  <c r="F46" i="234"/>
  <c r="E46" i="234"/>
  <c r="D46" i="234"/>
  <c r="C46" i="234"/>
  <c r="B46" i="234"/>
  <c r="N45" i="234"/>
  <c r="N44" i="234"/>
  <c r="N41" i="234"/>
  <c r="N40" i="234"/>
  <c r="N39" i="234"/>
  <c r="N37" i="234"/>
  <c r="M34" i="234"/>
  <c r="M38" i="234" s="1"/>
  <c r="M42" i="234" s="1"/>
  <c r="L34" i="234"/>
  <c r="L38" i="234" s="1"/>
  <c r="L42" i="234" s="1"/>
  <c r="K34" i="234"/>
  <c r="K38" i="234" s="1"/>
  <c r="K42" i="234" s="1"/>
  <c r="J34" i="234"/>
  <c r="J38" i="234" s="1"/>
  <c r="J42" i="234" s="1"/>
  <c r="I34" i="234"/>
  <c r="I38" i="234" s="1"/>
  <c r="I42" i="234" s="1"/>
  <c r="H34" i="234"/>
  <c r="H38" i="234" s="1"/>
  <c r="H42" i="234" s="1"/>
  <c r="G34" i="234"/>
  <c r="G38" i="234" s="1"/>
  <c r="G42" i="234" s="1"/>
  <c r="F34" i="234"/>
  <c r="F38" i="234" s="1"/>
  <c r="F42" i="234" s="1"/>
  <c r="E34" i="234"/>
  <c r="E38" i="234" s="1"/>
  <c r="E42" i="234" s="1"/>
  <c r="D34" i="234"/>
  <c r="D38" i="234" s="1"/>
  <c r="D42" i="234" s="1"/>
  <c r="C34" i="234"/>
  <c r="C38" i="234" s="1"/>
  <c r="C42" i="234" s="1"/>
  <c r="B34" i="234"/>
  <c r="B38" i="234" s="1"/>
  <c r="N33" i="234"/>
  <c r="N32" i="234"/>
  <c r="N31" i="234"/>
  <c r="N30" i="234"/>
  <c r="M26" i="234"/>
  <c r="L26" i="234"/>
  <c r="K26" i="234"/>
  <c r="J26" i="234"/>
  <c r="I26" i="234"/>
  <c r="H26" i="234"/>
  <c r="G26" i="234"/>
  <c r="F26" i="234"/>
  <c r="E26" i="234"/>
  <c r="D26" i="234"/>
  <c r="C26" i="234"/>
  <c r="B26" i="234"/>
  <c r="M25" i="234"/>
  <c r="L25" i="234"/>
  <c r="K25" i="234"/>
  <c r="J25" i="234"/>
  <c r="I25" i="234"/>
  <c r="H25" i="234"/>
  <c r="G25" i="234"/>
  <c r="F25" i="234"/>
  <c r="E25" i="234"/>
  <c r="D25" i="234"/>
  <c r="C25" i="234"/>
  <c r="B25" i="234"/>
  <c r="M24" i="234"/>
  <c r="L24" i="234"/>
  <c r="K24" i="234"/>
  <c r="J24" i="234"/>
  <c r="I24" i="234"/>
  <c r="H24" i="234"/>
  <c r="G24" i="234"/>
  <c r="F24" i="234"/>
  <c r="E24" i="234"/>
  <c r="D24" i="234"/>
  <c r="C24" i="234"/>
  <c r="B24" i="234"/>
  <c r="M23" i="234"/>
  <c r="M27" i="234" s="1"/>
  <c r="L23" i="234"/>
  <c r="K23" i="234"/>
  <c r="J23" i="234"/>
  <c r="J27" i="234" s="1"/>
  <c r="I23" i="234"/>
  <c r="I27" i="234" s="1"/>
  <c r="H23" i="234"/>
  <c r="G23" i="234"/>
  <c r="F23" i="234"/>
  <c r="E23" i="234"/>
  <c r="D23" i="234"/>
  <c r="D27" i="234" s="1"/>
  <c r="C23" i="234"/>
  <c r="C27" i="234" s="1"/>
  <c r="B23" i="234"/>
  <c r="M20" i="234"/>
  <c r="L20" i="234"/>
  <c r="K20" i="234"/>
  <c r="J20" i="234"/>
  <c r="I20" i="234"/>
  <c r="H20" i="234"/>
  <c r="G20" i="234"/>
  <c r="F20" i="234"/>
  <c r="E20" i="234"/>
  <c r="D20" i="234"/>
  <c r="C20" i="234"/>
  <c r="B20" i="234"/>
  <c r="N19" i="234"/>
  <c r="N17" i="234"/>
  <c r="N16" i="234"/>
  <c r="N11" i="234"/>
  <c r="M9" i="234"/>
  <c r="M13" i="234" s="1"/>
  <c r="L9" i="234"/>
  <c r="L13" i="234" s="1"/>
  <c r="K9" i="234"/>
  <c r="K13" i="234" s="1"/>
  <c r="J9" i="234"/>
  <c r="J13" i="234" s="1"/>
  <c r="I9" i="234"/>
  <c r="I13" i="234" s="1"/>
  <c r="H9" i="234"/>
  <c r="H13" i="234" s="1"/>
  <c r="G9" i="234"/>
  <c r="G13" i="234" s="1"/>
  <c r="F9" i="234"/>
  <c r="F13" i="234" s="1"/>
  <c r="E9" i="234"/>
  <c r="E13" i="234" s="1"/>
  <c r="D9" i="234"/>
  <c r="D13" i="234" s="1"/>
  <c r="C9" i="234"/>
  <c r="C13" i="234" s="1"/>
  <c r="B9" i="234"/>
  <c r="B13" i="234" s="1"/>
  <c r="N8" i="234"/>
  <c r="N7" i="234"/>
  <c r="N6" i="234"/>
  <c r="N5" i="234"/>
  <c r="N4" i="234"/>
  <c r="M63" i="239" l="1"/>
  <c r="L73" i="239"/>
  <c r="L64" i="239"/>
  <c r="L74" i="239" s="1"/>
  <c r="D63" i="238"/>
  <c r="C73" i="238"/>
  <c r="C64" i="238"/>
  <c r="C74" i="238" s="1"/>
  <c r="B73" i="237"/>
  <c r="B64" i="237"/>
  <c r="B74" i="237" s="1"/>
  <c r="C63" i="237"/>
  <c r="N50" i="236"/>
  <c r="B73" i="236"/>
  <c r="B64" i="236"/>
  <c r="B74" i="236" s="1"/>
  <c r="C63" i="236"/>
  <c r="F61" i="235"/>
  <c r="F62" i="235" s="1"/>
  <c r="F72" i="235" s="1"/>
  <c r="H50" i="235"/>
  <c r="E50" i="235"/>
  <c r="B50" i="235"/>
  <c r="N27" i="235"/>
  <c r="N28" i="235" s="1"/>
  <c r="G50" i="235"/>
  <c r="L50" i="235"/>
  <c r="D50" i="235"/>
  <c r="I50" i="235"/>
  <c r="K50" i="235"/>
  <c r="N38" i="235"/>
  <c r="N42" i="235" s="1"/>
  <c r="N48" i="235" s="1"/>
  <c r="N61" i="235" s="1"/>
  <c r="N62" i="235" s="1"/>
  <c r="J72" i="235"/>
  <c r="C61" i="235"/>
  <c r="C62" i="235" s="1"/>
  <c r="C50" i="235"/>
  <c r="K72" i="235"/>
  <c r="H72" i="235"/>
  <c r="I72" i="235"/>
  <c r="B68" i="235"/>
  <c r="B63" i="235"/>
  <c r="J50" i="235"/>
  <c r="M72" i="235"/>
  <c r="G72" i="235"/>
  <c r="E72" i="235"/>
  <c r="L72" i="235"/>
  <c r="D72" i="235"/>
  <c r="N46" i="234"/>
  <c r="K48" i="234"/>
  <c r="K61" i="234" s="1"/>
  <c r="K62" i="234" s="1"/>
  <c r="E27" i="234"/>
  <c r="L27" i="234"/>
  <c r="L28" i="234" s="1"/>
  <c r="K27" i="234"/>
  <c r="K28" i="234" s="1"/>
  <c r="E28" i="234"/>
  <c r="F48" i="234"/>
  <c r="F50" i="234" s="1"/>
  <c r="E48" i="234"/>
  <c r="E61" i="234" s="1"/>
  <c r="E62" i="234" s="1"/>
  <c r="D48" i="234"/>
  <c r="D50" i="234" s="1"/>
  <c r="F27" i="234"/>
  <c r="F28" i="234" s="1"/>
  <c r="M48" i="234"/>
  <c r="M61" i="234" s="1"/>
  <c r="M62" i="234" s="1"/>
  <c r="G27" i="234"/>
  <c r="G28" i="234" s="1"/>
  <c r="H27" i="234"/>
  <c r="H28" i="234" s="1"/>
  <c r="I48" i="234"/>
  <c r="I50" i="234" s="1"/>
  <c r="I28" i="234"/>
  <c r="J48" i="234"/>
  <c r="J61" i="234" s="1"/>
  <c r="J62" i="234" s="1"/>
  <c r="J28" i="234"/>
  <c r="N20" i="234"/>
  <c r="G48" i="234"/>
  <c r="G61" i="234" s="1"/>
  <c r="G62" i="234" s="1"/>
  <c r="M28" i="234"/>
  <c r="N23" i="234"/>
  <c r="N24" i="234"/>
  <c r="N25" i="234"/>
  <c r="N26" i="234"/>
  <c r="C48" i="234"/>
  <c r="C61" i="234" s="1"/>
  <c r="C62" i="234" s="1"/>
  <c r="C28" i="234"/>
  <c r="N9" i="234"/>
  <c r="N13" i="234" s="1"/>
  <c r="D28" i="234"/>
  <c r="N34" i="234"/>
  <c r="N58" i="234"/>
  <c r="B42" i="234"/>
  <c r="B48" i="234" s="1"/>
  <c r="B50" i="234" s="1"/>
  <c r="N38" i="234"/>
  <c r="N42" i="234" s="1"/>
  <c r="H48" i="234"/>
  <c r="H50" i="234" s="1"/>
  <c r="L48" i="234"/>
  <c r="L50" i="234" s="1"/>
  <c r="B27" i="234"/>
  <c r="B28" i="234" s="1"/>
  <c r="M73" i="239" l="1"/>
  <c r="M64" i="239"/>
  <c r="M74" i="239" s="1"/>
  <c r="E63" i="238"/>
  <c r="D73" i="238"/>
  <c r="D64" i="238"/>
  <c r="D74" i="238" s="1"/>
  <c r="D63" i="237"/>
  <c r="C73" i="237"/>
  <c r="C64" i="237"/>
  <c r="C74" i="237" s="1"/>
  <c r="D63" i="236"/>
  <c r="C73" i="236"/>
  <c r="C64" i="236"/>
  <c r="C74" i="236" s="1"/>
  <c r="N48" i="234"/>
  <c r="N61" i="234" s="1"/>
  <c r="N62" i="234" s="1"/>
  <c r="N50" i="235"/>
  <c r="B72" i="235"/>
  <c r="C68" i="235"/>
  <c r="D68" i="235" s="1"/>
  <c r="E68" i="235" s="1"/>
  <c r="F68" i="235" s="1"/>
  <c r="G68" i="235" s="1"/>
  <c r="H68" i="235" s="1"/>
  <c r="I68" i="235" s="1"/>
  <c r="J68" i="235" s="1"/>
  <c r="K68" i="235" s="1"/>
  <c r="L68" i="235" s="1"/>
  <c r="M68" i="235" s="1"/>
  <c r="B73" i="235"/>
  <c r="B64" i="235"/>
  <c r="B74" i="235" s="1"/>
  <c r="C63" i="235"/>
  <c r="J67" i="234"/>
  <c r="J72" i="234" s="1"/>
  <c r="K67" i="234"/>
  <c r="K72" i="234" s="1"/>
  <c r="M67" i="234"/>
  <c r="M72" i="234" s="1"/>
  <c r="E67" i="234"/>
  <c r="E72" i="234" s="1"/>
  <c r="G67" i="234"/>
  <c r="G72" i="234" s="1"/>
  <c r="C67" i="234"/>
  <c r="C72" i="234" s="1"/>
  <c r="K50" i="234"/>
  <c r="D61" i="234"/>
  <c r="D62" i="234" s="1"/>
  <c r="M50" i="234"/>
  <c r="I61" i="234"/>
  <c r="I62" i="234" s="1"/>
  <c r="C50" i="234"/>
  <c r="F61" i="234"/>
  <c r="F62" i="234" s="1"/>
  <c r="L61" i="234"/>
  <c r="L62" i="234" s="1"/>
  <c r="J50" i="234"/>
  <c r="E50" i="234"/>
  <c r="G50" i="234"/>
  <c r="N27" i="234"/>
  <c r="N28" i="234" s="1"/>
  <c r="H61" i="234"/>
  <c r="H62" i="234" s="1"/>
  <c r="B61" i="234"/>
  <c r="B62" i="234" s="1"/>
  <c r="B67" i="234" s="1"/>
  <c r="B68" i="234" s="1"/>
  <c r="E73" i="238" l="1"/>
  <c r="F63" i="238"/>
  <c r="E64" i="238"/>
  <c r="E74" i="238" s="1"/>
  <c r="E63" i="237"/>
  <c r="D73" i="237"/>
  <c r="D64" i="237"/>
  <c r="D74" i="237" s="1"/>
  <c r="E63" i="236"/>
  <c r="D73" i="236"/>
  <c r="D64" i="236"/>
  <c r="D74" i="236" s="1"/>
  <c r="D63" i="235"/>
  <c r="C73" i="235"/>
  <c r="C64" i="235"/>
  <c r="C74" i="235" s="1"/>
  <c r="C72" i="235"/>
  <c r="L67" i="234"/>
  <c r="L72" i="234" s="1"/>
  <c r="F67" i="234"/>
  <c r="F72" i="234" s="1"/>
  <c r="H67" i="234"/>
  <c r="H72" i="234" s="1"/>
  <c r="D67" i="234"/>
  <c r="D72" i="234" s="1"/>
  <c r="C68" i="234"/>
  <c r="D68" i="234" s="1"/>
  <c r="E68" i="234" s="1"/>
  <c r="I67" i="234"/>
  <c r="I72" i="234" s="1"/>
  <c r="N50" i="234"/>
  <c r="B72" i="234"/>
  <c r="B63" i="234"/>
  <c r="M9" i="232"/>
  <c r="G63" i="238" l="1"/>
  <c r="F73" i="238"/>
  <c r="F64" i="238"/>
  <c r="F74" i="238" s="1"/>
  <c r="F63" i="237"/>
  <c r="E73" i="237"/>
  <c r="E64" i="237"/>
  <c r="E74" i="237" s="1"/>
  <c r="F63" i="236"/>
  <c r="E73" i="236"/>
  <c r="E64" i="236"/>
  <c r="E74" i="236" s="1"/>
  <c r="E63" i="235"/>
  <c r="D73" i="235"/>
  <c r="D64" i="235"/>
  <c r="D74" i="235" s="1"/>
  <c r="F68" i="234"/>
  <c r="G68" i="234" s="1"/>
  <c r="H68" i="234" s="1"/>
  <c r="I68" i="234" s="1"/>
  <c r="J68" i="234" s="1"/>
  <c r="K68" i="234" s="1"/>
  <c r="L68" i="234" s="1"/>
  <c r="M68" i="234" s="1"/>
  <c r="B73" i="234"/>
  <c r="B64" i="234"/>
  <c r="B74" i="234" s="1"/>
  <c r="C63" i="234"/>
  <c r="N73" i="232"/>
  <c r="B68" i="232"/>
  <c r="C68" i="232" s="1"/>
  <c r="D68" i="232" s="1"/>
  <c r="E68" i="232" s="1"/>
  <c r="F68" i="232" s="1"/>
  <c r="G68" i="232" s="1"/>
  <c r="H68" i="232" s="1"/>
  <c r="I68" i="232" s="1"/>
  <c r="J68" i="232" s="1"/>
  <c r="K68" i="232" s="1"/>
  <c r="L68" i="232" s="1"/>
  <c r="M68" i="232" s="1"/>
  <c r="M58" i="232"/>
  <c r="L58" i="232"/>
  <c r="K58" i="232"/>
  <c r="J58" i="232"/>
  <c r="I58" i="232"/>
  <c r="G58" i="232"/>
  <c r="F58" i="232"/>
  <c r="E58" i="232"/>
  <c r="D58" i="232"/>
  <c r="C58" i="232"/>
  <c r="B58" i="232"/>
  <c r="N57" i="232"/>
  <c r="H56" i="232"/>
  <c r="N56" i="232" s="1"/>
  <c r="N55" i="232"/>
  <c r="N54" i="232"/>
  <c r="N53" i="232"/>
  <c r="M46" i="232"/>
  <c r="L46" i="232"/>
  <c r="K46" i="232"/>
  <c r="J46" i="232"/>
  <c r="I46" i="232"/>
  <c r="H46" i="232"/>
  <c r="G46" i="232"/>
  <c r="F46" i="232"/>
  <c r="E46" i="232"/>
  <c r="D46" i="232"/>
  <c r="C46" i="232"/>
  <c r="B46" i="232"/>
  <c r="N45" i="232"/>
  <c r="N44" i="232"/>
  <c r="N41" i="232"/>
  <c r="N40" i="232"/>
  <c r="N39" i="232"/>
  <c r="N37" i="232"/>
  <c r="M34" i="232"/>
  <c r="M38" i="232" s="1"/>
  <c r="M42" i="232" s="1"/>
  <c r="L34" i="232"/>
  <c r="L38" i="232" s="1"/>
  <c r="L42" i="232" s="1"/>
  <c r="K34" i="232"/>
  <c r="K38" i="232" s="1"/>
  <c r="K42" i="232" s="1"/>
  <c r="J34" i="232"/>
  <c r="I34" i="232"/>
  <c r="I38" i="232" s="1"/>
  <c r="I42" i="232" s="1"/>
  <c r="H34" i="232"/>
  <c r="H38" i="232" s="1"/>
  <c r="H42" i="232" s="1"/>
  <c r="G34" i="232"/>
  <c r="G38" i="232" s="1"/>
  <c r="G42" i="232" s="1"/>
  <c r="F34" i="232"/>
  <c r="F38" i="232" s="1"/>
  <c r="F42" i="232" s="1"/>
  <c r="E34" i="232"/>
  <c r="E38" i="232" s="1"/>
  <c r="E42" i="232" s="1"/>
  <c r="D34" i="232"/>
  <c r="D38" i="232" s="1"/>
  <c r="D42" i="232" s="1"/>
  <c r="C34" i="232"/>
  <c r="C38" i="232" s="1"/>
  <c r="C42" i="232" s="1"/>
  <c r="B34" i="232"/>
  <c r="B38" i="232" s="1"/>
  <c r="B42" i="232" s="1"/>
  <c r="N33" i="232"/>
  <c r="N32" i="232"/>
  <c r="N31" i="232"/>
  <c r="N30" i="232"/>
  <c r="M26" i="232"/>
  <c r="L26" i="232"/>
  <c r="K26" i="232"/>
  <c r="J26" i="232"/>
  <c r="I26" i="232"/>
  <c r="H26" i="232"/>
  <c r="G26" i="232"/>
  <c r="F26" i="232"/>
  <c r="E26" i="232"/>
  <c r="D26" i="232"/>
  <c r="C26" i="232"/>
  <c r="B26" i="232"/>
  <c r="M25" i="232"/>
  <c r="L25" i="232"/>
  <c r="K25" i="232"/>
  <c r="J25" i="232"/>
  <c r="I25" i="232"/>
  <c r="H25" i="232"/>
  <c r="G25" i="232"/>
  <c r="F25" i="232"/>
  <c r="E25" i="232"/>
  <c r="D25" i="232"/>
  <c r="C25" i="232"/>
  <c r="B25" i="232"/>
  <c r="M24" i="232"/>
  <c r="L24" i="232"/>
  <c r="K24" i="232"/>
  <c r="J24" i="232"/>
  <c r="I24" i="232"/>
  <c r="H24" i="232"/>
  <c r="G24" i="232"/>
  <c r="F24" i="232"/>
  <c r="E24" i="232"/>
  <c r="D24" i="232"/>
  <c r="C24" i="232"/>
  <c r="B24" i="232"/>
  <c r="M23" i="232"/>
  <c r="L23" i="232"/>
  <c r="K23" i="232"/>
  <c r="J23" i="232"/>
  <c r="I23" i="232"/>
  <c r="H23" i="232"/>
  <c r="G23" i="232"/>
  <c r="F23" i="232"/>
  <c r="F27" i="232" s="1"/>
  <c r="E23" i="232"/>
  <c r="D23" i="232"/>
  <c r="C23" i="232"/>
  <c r="B23" i="232"/>
  <c r="M20" i="232"/>
  <c r="L20" i="232"/>
  <c r="K20" i="232"/>
  <c r="J20" i="232"/>
  <c r="I20" i="232"/>
  <c r="H20" i="232"/>
  <c r="G20" i="232"/>
  <c r="F20" i="232"/>
  <c r="E20" i="232"/>
  <c r="D20" i="232"/>
  <c r="C20" i="232"/>
  <c r="B20" i="232"/>
  <c r="N19" i="232"/>
  <c r="N17" i="232"/>
  <c r="N16" i="232"/>
  <c r="N11" i="232"/>
  <c r="M13" i="232"/>
  <c r="L9" i="232"/>
  <c r="L13" i="232" s="1"/>
  <c r="K9" i="232"/>
  <c r="K13" i="232" s="1"/>
  <c r="J9" i="232"/>
  <c r="J13" i="232" s="1"/>
  <c r="I9" i="232"/>
  <c r="I13" i="232" s="1"/>
  <c r="H9" i="232"/>
  <c r="H13" i="232" s="1"/>
  <c r="G9" i="232"/>
  <c r="G13" i="232" s="1"/>
  <c r="F9" i="232"/>
  <c r="F13" i="232" s="1"/>
  <c r="E9" i="232"/>
  <c r="E13" i="232" s="1"/>
  <c r="D9" i="232"/>
  <c r="D13" i="232" s="1"/>
  <c r="C9" i="232"/>
  <c r="C13" i="232" s="1"/>
  <c r="B9" i="232"/>
  <c r="B13" i="232" s="1"/>
  <c r="N8" i="232"/>
  <c r="N7" i="232"/>
  <c r="N6" i="232"/>
  <c r="N5" i="232"/>
  <c r="N4" i="232"/>
  <c r="G73" i="238" l="1"/>
  <c r="H63" i="238"/>
  <c r="G64" i="238"/>
  <c r="G74" i="238" s="1"/>
  <c r="G63" i="237"/>
  <c r="F73" i="237"/>
  <c r="F64" i="237"/>
  <c r="F74" i="237" s="1"/>
  <c r="G63" i="236"/>
  <c r="F73" i="236"/>
  <c r="F64" i="236"/>
  <c r="F74" i="236" s="1"/>
  <c r="F63" i="235"/>
  <c r="E73" i="235"/>
  <c r="E64" i="235"/>
  <c r="E74" i="235" s="1"/>
  <c r="C64" i="234"/>
  <c r="C74" i="234" s="1"/>
  <c r="D63" i="234"/>
  <c r="C73" i="234"/>
  <c r="N46" i="232"/>
  <c r="F28" i="232"/>
  <c r="M27" i="232"/>
  <c r="D48" i="232"/>
  <c r="D50" i="232" s="1"/>
  <c r="G27" i="232"/>
  <c r="G28" i="232" s="1"/>
  <c r="B27" i="232"/>
  <c r="B28" i="232" s="1"/>
  <c r="N20" i="232"/>
  <c r="I27" i="232"/>
  <c r="I28" i="232" s="1"/>
  <c r="C27" i="232"/>
  <c r="C28" i="232" s="1"/>
  <c r="H48" i="232"/>
  <c r="H50" i="232" s="1"/>
  <c r="E27" i="232"/>
  <c r="E28" i="232" s="1"/>
  <c r="K27" i="232"/>
  <c r="K28" i="232" s="1"/>
  <c r="D27" i="232"/>
  <c r="D28" i="232" s="1"/>
  <c r="N34" i="232"/>
  <c r="N9" i="232"/>
  <c r="N13" i="232" s="1"/>
  <c r="M28" i="232"/>
  <c r="K48" i="232"/>
  <c r="K61" i="232" s="1"/>
  <c r="K62" i="232" s="1"/>
  <c r="K72" i="232" s="1"/>
  <c r="J27" i="232"/>
  <c r="J28" i="232" s="1"/>
  <c r="F48" i="232"/>
  <c r="F61" i="232" s="1"/>
  <c r="F62" i="232" s="1"/>
  <c r="F72" i="232" s="1"/>
  <c r="L48" i="232"/>
  <c r="L50" i="232" s="1"/>
  <c r="E48" i="232"/>
  <c r="E50" i="232" s="1"/>
  <c r="L27" i="232"/>
  <c r="L28" i="232" s="1"/>
  <c r="H27" i="232"/>
  <c r="H28" i="232" s="1"/>
  <c r="B48" i="232"/>
  <c r="B61" i="232" s="1"/>
  <c r="B62" i="232" s="1"/>
  <c r="I48" i="232"/>
  <c r="I50" i="232" s="1"/>
  <c r="C48" i="232"/>
  <c r="C50" i="232" s="1"/>
  <c r="N24" i="232"/>
  <c r="N25" i="232"/>
  <c r="N26" i="232"/>
  <c r="G48" i="232"/>
  <c r="G61" i="232" s="1"/>
  <c r="G62" i="232" s="1"/>
  <c r="G72" i="232" s="1"/>
  <c r="M48" i="232"/>
  <c r="M61" i="232" s="1"/>
  <c r="M62" i="232" s="1"/>
  <c r="M72" i="232" s="1"/>
  <c r="N58" i="232"/>
  <c r="J38" i="232"/>
  <c r="J42" i="232" s="1"/>
  <c r="J48" i="232" s="1"/>
  <c r="J61" i="232" s="1"/>
  <c r="J62" i="232" s="1"/>
  <c r="J72" i="232" s="1"/>
  <c r="H58" i="232"/>
  <c r="N23" i="232"/>
  <c r="L9" i="231"/>
  <c r="I63" i="238" l="1"/>
  <c r="H73" i="238"/>
  <c r="H64" i="238"/>
  <c r="H74" i="238" s="1"/>
  <c r="H63" i="237"/>
  <c r="G73" i="237"/>
  <c r="G64" i="237"/>
  <c r="G74" i="237" s="1"/>
  <c r="H63" i="236"/>
  <c r="G73" i="236"/>
  <c r="G64" i="236"/>
  <c r="G74" i="236" s="1"/>
  <c r="G63" i="235"/>
  <c r="F73" i="235"/>
  <c r="F64" i="235"/>
  <c r="F74" i="235" s="1"/>
  <c r="D64" i="234"/>
  <c r="D74" i="234" s="1"/>
  <c r="D73" i="234"/>
  <c r="E63" i="234"/>
  <c r="G50" i="232"/>
  <c r="D61" i="232"/>
  <c r="D62" i="232" s="1"/>
  <c r="D72" i="232" s="1"/>
  <c r="N38" i="232"/>
  <c r="N42" i="232" s="1"/>
  <c r="N48" i="232" s="1"/>
  <c r="N61" i="232" s="1"/>
  <c r="N62" i="232" s="1"/>
  <c r="I61" i="232"/>
  <c r="I62" i="232" s="1"/>
  <c r="I72" i="232" s="1"/>
  <c r="C61" i="232"/>
  <c r="C62" i="232" s="1"/>
  <c r="C72" i="232" s="1"/>
  <c r="H61" i="232"/>
  <c r="H62" i="232" s="1"/>
  <c r="H72" i="232" s="1"/>
  <c r="L61" i="232"/>
  <c r="L62" i="232" s="1"/>
  <c r="L72" i="232" s="1"/>
  <c r="E61" i="232"/>
  <c r="E62" i="232" s="1"/>
  <c r="E72" i="232" s="1"/>
  <c r="F50" i="232"/>
  <c r="M50" i="232"/>
  <c r="N27" i="232"/>
  <c r="N28" i="232" s="1"/>
  <c r="B50" i="232"/>
  <c r="K50" i="232"/>
  <c r="B72" i="232"/>
  <c r="B63" i="232"/>
  <c r="J50" i="232"/>
  <c r="N73" i="231"/>
  <c r="B68" i="231"/>
  <c r="C68" i="231" s="1"/>
  <c r="D68" i="231" s="1"/>
  <c r="E68" i="231" s="1"/>
  <c r="F68" i="231" s="1"/>
  <c r="G68" i="231" s="1"/>
  <c r="H68" i="231" s="1"/>
  <c r="I68" i="231" s="1"/>
  <c r="J68" i="231" s="1"/>
  <c r="K68" i="231" s="1"/>
  <c r="L68" i="231" s="1"/>
  <c r="M68" i="231" s="1"/>
  <c r="M58" i="231"/>
  <c r="L58" i="231"/>
  <c r="K58" i="231"/>
  <c r="J58" i="231"/>
  <c r="I58" i="231"/>
  <c r="G58" i="231"/>
  <c r="F58" i="231"/>
  <c r="E58" i="231"/>
  <c r="D58" i="231"/>
  <c r="C58" i="231"/>
  <c r="B58" i="231"/>
  <c r="N57" i="231"/>
  <c r="H56" i="231"/>
  <c r="H58" i="231" s="1"/>
  <c r="N55" i="231"/>
  <c r="N54" i="231"/>
  <c r="N53" i="231"/>
  <c r="M46" i="231"/>
  <c r="L46" i="231"/>
  <c r="K46" i="231"/>
  <c r="J46" i="231"/>
  <c r="I46" i="231"/>
  <c r="H46" i="231"/>
  <c r="G46" i="231"/>
  <c r="F46" i="231"/>
  <c r="E46" i="231"/>
  <c r="D46" i="231"/>
  <c r="C46" i="231"/>
  <c r="B46" i="231"/>
  <c r="N45" i="231"/>
  <c r="N44" i="231"/>
  <c r="N41" i="231"/>
  <c r="N40" i="231"/>
  <c r="N39" i="231"/>
  <c r="N37" i="231"/>
  <c r="M34" i="231"/>
  <c r="M38" i="231" s="1"/>
  <c r="M42" i="231" s="1"/>
  <c r="L34" i="231"/>
  <c r="L38" i="231" s="1"/>
  <c r="L42" i="231" s="1"/>
  <c r="K34" i="231"/>
  <c r="K38" i="231" s="1"/>
  <c r="J34" i="231"/>
  <c r="J38" i="231" s="1"/>
  <c r="J42" i="231" s="1"/>
  <c r="I34" i="231"/>
  <c r="I38" i="231" s="1"/>
  <c r="I42" i="231" s="1"/>
  <c r="H34" i="231"/>
  <c r="H38" i="231" s="1"/>
  <c r="H42" i="231" s="1"/>
  <c r="G34" i="231"/>
  <c r="G38" i="231" s="1"/>
  <c r="G42" i="231" s="1"/>
  <c r="F34" i="231"/>
  <c r="F38" i="231" s="1"/>
  <c r="F42" i="231" s="1"/>
  <c r="E34" i="231"/>
  <c r="E38" i="231" s="1"/>
  <c r="E42" i="231" s="1"/>
  <c r="D34" i="231"/>
  <c r="D38" i="231" s="1"/>
  <c r="D42" i="231" s="1"/>
  <c r="C34" i="231"/>
  <c r="C38" i="231" s="1"/>
  <c r="C42" i="231" s="1"/>
  <c r="B34" i="231"/>
  <c r="B38" i="231" s="1"/>
  <c r="B42" i="231" s="1"/>
  <c r="N33" i="231"/>
  <c r="N32" i="231"/>
  <c r="N31" i="231"/>
  <c r="N30" i="231"/>
  <c r="M26" i="231"/>
  <c r="L26" i="231"/>
  <c r="K26" i="231"/>
  <c r="J26" i="231"/>
  <c r="I26" i="231"/>
  <c r="H26" i="231"/>
  <c r="G26" i="231"/>
  <c r="F26" i="231"/>
  <c r="E26" i="231"/>
  <c r="D26" i="231"/>
  <c r="C26" i="231"/>
  <c r="B26" i="231"/>
  <c r="M25" i="231"/>
  <c r="L25" i="231"/>
  <c r="K25" i="231"/>
  <c r="J25" i="231"/>
  <c r="I25" i="231"/>
  <c r="H25" i="231"/>
  <c r="G25" i="231"/>
  <c r="F25" i="231"/>
  <c r="E25" i="231"/>
  <c r="D25" i="231"/>
  <c r="C25" i="231"/>
  <c r="B25" i="231"/>
  <c r="M24" i="231"/>
  <c r="L24" i="231"/>
  <c r="K24" i="231"/>
  <c r="J24" i="231"/>
  <c r="I24" i="231"/>
  <c r="H24" i="231"/>
  <c r="G24" i="231"/>
  <c r="F24" i="231"/>
  <c r="E24" i="231"/>
  <c r="D24" i="231"/>
  <c r="C24" i="231"/>
  <c r="B24" i="231"/>
  <c r="M23" i="231"/>
  <c r="M27" i="231" s="1"/>
  <c r="L23" i="231"/>
  <c r="K23" i="231"/>
  <c r="J23" i="231"/>
  <c r="I23" i="231"/>
  <c r="I27" i="231" s="1"/>
  <c r="H23" i="231"/>
  <c r="H27" i="231" s="1"/>
  <c r="G23" i="231"/>
  <c r="G27" i="231" s="1"/>
  <c r="F23" i="231"/>
  <c r="F27" i="231" s="1"/>
  <c r="E23" i="231"/>
  <c r="E27" i="231" s="1"/>
  <c r="D23" i="231"/>
  <c r="D27" i="231" s="1"/>
  <c r="C23" i="231"/>
  <c r="C27" i="231" s="1"/>
  <c r="B23" i="231"/>
  <c r="M20" i="231"/>
  <c r="L20" i="231"/>
  <c r="K20" i="231"/>
  <c r="J20" i="231"/>
  <c r="I20" i="231"/>
  <c r="H20" i="231"/>
  <c r="G20" i="231"/>
  <c r="F20" i="231"/>
  <c r="E20" i="231"/>
  <c r="D20" i="231"/>
  <c r="C20" i="231"/>
  <c r="B20" i="231"/>
  <c r="N19" i="231"/>
  <c r="N17" i="231"/>
  <c r="N16" i="231"/>
  <c r="N11" i="231"/>
  <c r="M9" i="231"/>
  <c r="M13" i="231" s="1"/>
  <c r="L13" i="231"/>
  <c r="K9" i="231"/>
  <c r="K13" i="231" s="1"/>
  <c r="J9" i="231"/>
  <c r="J13" i="231" s="1"/>
  <c r="I9" i="231"/>
  <c r="I13" i="231" s="1"/>
  <c r="H9" i="231"/>
  <c r="H13" i="231" s="1"/>
  <c r="G9" i="231"/>
  <c r="G13" i="231" s="1"/>
  <c r="F9" i="231"/>
  <c r="F13" i="231" s="1"/>
  <c r="E9" i="231"/>
  <c r="E13" i="231" s="1"/>
  <c r="D9" i="231"/>
  <c r="D13" i="231" s="1"/>
  <c r="C9" i="231"/>
  <c r="C13" i="231" s="1"/>
  <c r="B9" i="231"/>
  <c r="B13" i="231" s="1"/>
  <c r="N8" i="231"/>
  <c r="N7" i="231"/>
  <c r="N6" i="231"/>
  <c r="N5" i="231"/>
  <c r="N4" i="231"/>
  <c r="N56" i="231" l="1"/>
  <c r="B27" i="231"/>
  <c r="J27" i="231"/>
  <c r="J63" i="238"/>
  <c r="I73" i="238"/>
  <c r="I64" i="238"/>
  <c r="I74" i="238" s="1"/>
  <c r="I63" i="237"/>
  <c r="H73" i="237"/>
  <c r="H64" i="237"/>
  <c r="H74" i="237" s="1"/>
  <c r="I63" i="236"/>
  <c r="H73" i="236"/>
  <c r="H64" i="236"/>
  <c r="H74" i="236" s="1"/>
  <c r="H63" i="235"/>
  <c r="G73" i="235"/>
  <c r="G64" i="235"/>
  <c r="G74" i="235" s="1"/>
  <c r="F63" i="234"/>
  <c r="E73" i="234"/>
  <c r="E64" i="234"/>
  <c r="E74" i="234" s="1"/>
  <c r="N50" i="232"/>
  <c r="B73" i="232"/>
  <c r="B64" i="232"/>
  <c r="B74" i="232" s="1"/>
  <c r="C63" i="232"/>
  <c r="L27" i="231"/>
  <c r="L28" i="231" s="1"/>
  <c r="N20" i="231"/>
  <c r="G48" i="231"/>
  <c r="D48" i="231"/>
  <c r="D61" i="231" s="1"/>
  <c r="D62" i="231" s="1"/>
  <c r="D72" i="231" s="1"/>
  <c r="H48" i="231"/>
  <c r="H50" i="231" s="1"/>
  <c r="L48" i="231"/>
  <c r="L50" i="231" s="1"/>
  <c r="E48" i="231"/>
  <c r="E61" i="231" s="1"/>
  <c r="E62" i="231" s="1"/>
  <c r="E72" i="231" s="1"/>
  <c r="I48" i="231"/>
  <c r="I50" i="231" s="1"/>
  <c r="M48" i="231"/>
  <c r="M61" i="231" s="1"/>
  <c r="M62" i="231" s="1"/>
  <c r="M72" i="231" s="1"/>
  <c r="C48" i="231"/>
  <c r="C50" i="231" s="1"/>
  <c r="K42" i="231"/>
  <c r="K48" i="231" s="1"/>
  <c r="K27" i="231"/>
  <c r="K28" i="231" s="1"/>
  <c r="F48" i="231"/>
  <c r="J48" i="231"/>
  <c r="J50" i="231" s="1"/>
  <c r="B48" i="231"/>
  <c r="B61" i="231" s="1"/>
  <c r="B62" i="231" s="1"/>
  <c r="C28" i="231"/>
  <c r="G28" i="231"/>
  <c r="N46" i="231"/>
  <c r="N9" i="231"/>
  <c r="N13" i="231" s="1"/>
  <c r="D28" i="231"/>
  <c r="H28" i="231"/>
  <c r="E28" i="231"/>
  <c r="I28" i="231"/>
  <c r="M28" i="231"/>
  <c r="N58" i="231"/>
  <c r="B28" i="231"/>
  <c r="F28" i="231"/>
  <c r="J28" i="231"/>
  <c r="N24" i="231"/>
  <c r="N25" i="231"/>
  <c r="N26" i="231"/>
  <c r="N34" i="231"/>
  <c r="E50" i="231"/>
  <c r="F61" i="231"/>
  <c r="F62" i="231" s="1"/>
  <c r="F72" i="231" s="1"/>
  <c r="G61" i="231"/>
  <c r="G62" i="231" s="1"/>
  <c r="G72" i="231" s="1"/>
  <c r="N23" i="231"/>
  <c r="N38" i="231"/>
  <c r="N42" i="231" s="1"/>
  <c r="F50" i="231"/>
  <c r="G50" i="231"/>
  <c r="N73" i="230"/>
  <c r="B68" i="230"/>
  <c r="C68" i="230" s="1"/>
  <c r="D68" i="230" s="1"/>
  <c r="E68" i="230" s="1"/>
  <c r="F68" i="230" s="1"/>
  <c r="G68" i="230" s="1"/>
  <c r="H68" i="230" s="1"/>
  <c r="I68" i="230" s="1"/>
  <c r="J68" i="230" s="1"/>
  <c r="K68" i="230" s="1"/>
  <c r="L68" i="230" s="1"/>
  <c r="M68" i="230" s="1"/>
  <c r="M58" i="230"/>
  <c r="L58" i="230"/>
  <c r="K58" i="230"/>
  <c r="J58" i="230"/>
  <c r="I58" i="230"/>
  <c r="G58" i="230"/>
  <c r="F58" i="230"/>
  <c r="E58" i="230"/>
  <c r="D58" i="230"/>
  <c r="C58" i="230"/>
  <c r="B58" i="230"/>
  <c r="N57" i="230"/>
  <c r="H56" i="230"/>
  <c r="H58" i="230" s="1"/>
  <c r="N55" i="230"/>
  <c r="N54" i="230"/>
  <c r="N53" i="230"/>
  <c r="M46" i="230"/>
  <c r="L46" i="230"/>
  <c r="K46" i="230"/>
  <c r="J46" i="230"/>
  <c r="I46" i="230"/>
  <c r="H46" i="230"/>
  <c r="G46" i="230"/>
  <c r="F46" i="230"/>
  <c r="E46" i="230"/>
  <c r="D46" i="230"/>
  <c r="C46" i="230"/>
  <c r="B46" i="230"/>
  <c r="N45" i="230"/>
  <c r="N44" i="230"/>
  <c r="N41" i="230"/>
  <c r="N40" i="230"/>
  <c r="N39" i="230"/>
  <c r="N37" i="230"/>
  <c r="M34" i="230"/>
  <c r="M38" i="230" s="1"/>
  <c r="M42" i="230" s="1"/>
  <c r="L34" i="230"/>
  <c r="L38" i="230" s="1"/>
  <c r="L42" i="230" s="1"/>
  <c r="K34" i="230"/>
  <c r="K38" i="230" s="1"/>
  <c r="K42" i="230" s="1"/>
  <c r="J34" i="230"/>
  <c r="J38" i="230" s="1"/>
  <c r="J42" i="230" s="1"/>
  <c r="I34" i="230"/>
  <c r="I38" i="230" s="1"/>
  <c r="I42" i="230" s="1"/>
  <c r="H34" i="230"/>
  <c r="H38" i="230" s="1"/>
  <c r="H42" i="230" s="1"/>
  <c r="G34" i="230"/>
  <c r="G38" i="230" s="1"/>
  <c r="G42" i="230" s="1"/>
  <c r="F34" i="230"/>
  <c r="F38" i="230" s="1"/>
  <c r="F42" i="230" s="1"/>
  <c r="E34" i="230"/>
  <c r="E38" i="230" s="1"/>
  <c r="E42" i="230" s="1"/>
  <c r="D34" i="230"/>
  <c r="D38" i="230" s="1"/>
  <c r="D42" i="230" s="1"/>
  <c r="C34" i="230"/>
  <c r="C38" i="230" s="1"/>
  <c r="C42" i="230" s="1"/>
  <c r="B34" i="230"/>
  <c r="B38" i="230" s="1"/>
  <c r="N33" i="230"/>
  <c r="N32" i="230"/>
  <c r="N31" i="230"/>
  <c r="N30" i="230"/>
  <c r="M26" i="230"/>
  <c r="L26" i="230"/>
  <c r="K26" i="230"/>
  <c r="J26" i="230"/>
  <c r="I26" i="230"/>
  <c r="H26" i="230"/>
  <c r="G26" i="230"/>
  <c r="F26" i="230"/>
  <c r="E26" i="230"/>
  <c r="D26" i="230"/>
  <c r="C26" i="230"/>
  <c r="B26" i="230"/>
  <c r="M25" i="230"/>
  <c r="L25" i="230"/>
  <c r="K25" i="230"/>
  <c r="J25" i="230"/>
  <c r="I25" i="230"/>
  <c r="H25" i="230"/>
  <c r="G25" i="230"/>
  <c r="F25" i="230"/>
  <c r="E25" i="230"/>
  <c r="D25" i="230"/>
  <c r="C25" i="230"/>
  <c r="B25" i="230"/>
  <c r="M24" i="230"/>
  <c r="L24" i="230"/>
  <c r="K24" i="230"/>
  <c r="J24" i="230"/>
  <c r="I24" i="230"/>
  <c r="H24" i="230"/>
  <c r="G24" i="230"/>
  <c r="F24" i="230"/>
  <c r="E24" i="230"/>
  <c r="D24" i="230"/>
  <c r="C24" i="230"/>
  <c r="B24" i="230"/>
  <c r="M23" i="230"/>
  <c r="M27" i="230" s="1"/>
  <c r="L23" i="230"/>
  <c r="L27" i="230" s="1"/>
  <c r="K23" i="230"/>
  <c r="K27" i="230" s="1"/>
  <c r="J23" i="230"/>
  <c r="I23" i="230"/>
  <c r="I27" i="230" s="1"/>
  <c r="H23" i="230"/>
  <c r="H27" i="230" s="1"/>
  <c r="G23" i="230"/>
  <c r="G27" i="230" s="1"/>
  <c r="F23" i="230"/>
  <c r="F27" i="230" s="1"/>
  <c r="E23" i="230"/>
  <c r="D23" i="230"/>
  <c r="D27" i="230" s="1"/>
  <c r="C23" i="230"/>
  <c r="C27" i="230" s="1"/>
  <c r="B23" i="230"/>
  <c r="M20" i="230"/>
  <c r="L20" i="230"/>
  <c r="K20" i="230"/>
  <c r="K48" i="230" s="1"/>
  <c r="J20" i="230"/>
  <c r="I20" i="230"/>
  <c r="H20" i="230"/>
  <c r="G20" i="230"/>
  <c r="G48" i="230" s="1"/>
  <c r="F20" i="230"/>
  <c r="E20" i="230"/>
  <c r="D20" i="230"/>
  <c r="C20" i="230"/>
  <c r="C48" i="230" s="1"/>
  <c r="B20" i="230"/>
  <c r="N19" i="230"/>
  <c r="N17" i="230"/>
  <c r="N16" i="230"/>
  <c r="N11" i="230"/>
  <c r="M9" i="230"/>
  <c r="M13" i="230" s="1"/>
  <c r="L9" i="230"/>
  <c r="L13" i="230" s="1"/>
  <c r="K9" i="230"/>
  <c r="K13" i="230" s="1"/>
  <c r="J9" i="230"/>
  <c r="J13" i="230" s="1"/>
  <c r="I9" i="230"/>
  <c r="I13" i="230" s="1"/>
  <c r="H9" i="230"/>
  <c r="H13" i="230" s="1"/>
  <c r="G9" i="230"/>
  <c r="G13" i="230" s="1"/>
  <c r="F9" i="230"/>
  <c r="F13" i="230" s="1"/>
  <c r="E9" i="230"/>
  <c r="E13" i="230" s="1"/>
  <c r="D9" i="230"/>
  <c r="D13" i="230" s="1"/>
  <c r="C9" i="230"/>
  <c r="C13" i="230" s="1"/>
  <c r="B9" i="230"/>
  <c r="B13" i="230" s="1"/>
  <c r="N8" i="230"/>
  <c r="N7" i="230"/>
  <c r="N6" i="230"/>
  <c r="N5" i="230"/>
  <c r="N4" i="230"/>
  <c r="J9" i="229"/>
  <c r="B27" i="230" l="1"/>
  <c r="C61" i="231"/>
  <c r="C62" i="231" s="1"/>
  <c r="C72" i="231" s="1"/>
  <c r="J64" i="238"/>
  <c r="J74" i="238" s="1"/>
  <c r="K63" i="238"/>
  <c r="J73" i="238"/>
  <c r="J63" i="237"/>
  <c r="I73" i="237"/>
  <c r="I64" i="237"/>
  <c r="I74" i="237" s="1"/>
  <c r="I64" i="236"/>
  <c r="I74" i="236" s="1"/>
  <c r="J63" i="236"/>
  <c r="I73" i="236"/>
  <c r="I63" i="235"/>
  <c r="H73" i="235"/>
  <c r="H64" i="235"/>
  <c r="H74" i="235" s="1"/>
  <c r="G63" i="234"/>
  <c r="F73" i="234"/>
  <c r="F64" i="234"/>
  <c r="F74" i="234" s="1"/>
  <c r="D63" i="232"/>
  <c r="C73" i="232"/>
  <c r="C64" i="232"/>
  <c r="C74" i="232" s="1"/>
  <c r="I61" i="231"/>
  <c r="I62" i="231" s="1"/>
  <c r="I72" i="231" s="1"/>
  <c r="D50" i="231"/>
  <c r="K50" i="231"/>
  <c r="K61" i="231"/>
  <c r="K62" i="231" s="1"/>
  <c r="K72" i="231" s="1"/>
  <c r="N48" i="231"/>
  <c r="N61" i="231" s="1"/>
  <c r="N62" i="231" s="1"/>
  <c r="H61" i="231"/>
  <c r="H62" i="231" s="1"/>
  <c r="H72" i="231" s="1"/>
  <c r="M50" i="231"/>
  <c r="L61" i="231"/>
  <c r="L62" i="231" s="1"/>
  <c r="L72" i="231" s="1"/>
  <c r="B50" i="231"/>
  <c r="N50" i="231" s="1"/>
  <c r="J61" i="231"/>
  <c r="J62" i="231" s="1"/>
  <c r="J72" i="231" s="1"/>
  <c r="N27" i="231"/>
  <c r="N28" i="231" s="1"/>
  <c r="B72" i="231"/>
  <c r="B63" i="231"/>
  <c r="J27" i="230"/>
  <c r="N56" i="230"/>
  <c r="N46" i="230"/>
  <c r="N58" i="230"/>
  <c r="D48" i="230"/>
  <c r="D61" i="230" s="1"/>
  <c r="D62" i="230" s="1"/>
  <c r="D72" i="230" s="1"/>
  <c r="H48" i="230"/>
  <c r="H61" i="230" s="1"/>
  <c r="H62" i="230" s="1"/>
  <c r="H72" i="230" s="1"/>
  <c r="L48" i="230"/>
  <c r="L61" i="230" s="1"/>
  <c r="L62" i="230" s="1"/>
  <c r="L72" i="230" s="1"/>
  <c r="I48" i="230"/>
  <c r="I61" i="230" s="1"/>
  <c r="I62" i="230" s="1"/>
  <c r="I72" i="230" s="1"/>
  <c r="M48" i="230"/>
  <c r="M61" i="230" s="1"/>
  <c r="E27" i="230"/>
  <c r="N20" i="230"/>
  <c r="N34" i="230"/>
  <c r="F48" i="230"/>
  <c r="F61" i="230" s="1"/>
  <c r="F62" i="230" s="1"/>
  <c r="F72" i="230" s="1"/>
  <c r="J48" i="230"/>
  <c r="J50" i="230" s="1"/>
  <c r="G28" i="230"/>
  <c r="D28" i="230"/>
  <c r="L28" i="230"/>
  <c r="E28" i="230"/>
  <c r="I28" i="230"/>
  <c r="M28" i="230"/>
  <c r="C28" i="230"/>
  <c r="K28" i="230"/>
  <c r="H28" i="230"/>
  <c r="N9" i="230"/>
  <c r="N13" i="230" s="1"/>
  <c r="B28" i="230"/>
  <c r="F28" i="230"/>
  <c r="J28" i="230"/>
  <c r="N24" i="230"/>
  <c r="N25" i="230"/>
  <c r="N26" i="230"/>
  <c r="G50" i="230"/>
  <c r="M50" i="230"/>
  <c r="M62" i="230"/>
  <c r="M72" i="230" s="1"/>
  <c r="E48" i="230"/>
  <c r="E61" i="230" s="1"/>
  <c r="E62" i="230" s="1"/>
  <c r="E72" i="230" s="1"/>
  <c r="K61" i="230"/>
  <c r="K62" i="230" s="1"/>
  <c r="K72" i="230" s="1"/>
  <c r="C50" i="230"/>
  <c r="K50" i="230"/>
  <c r="F50" i="230"/>
  <c r="B42" i="230"/>
  <c r="B48" i="230" s="1"/>
  <c r="B61" i="230" s="1"/>
  <c r="B62" i="230" s="1"/>
  <c r="N38" i="230"/>
  <c r="N42" i="230" s="1"/>
  <c r="C61" i="230"/>
  <c r="C62" i="230" s="1"/>
  <c r="C72" i="230" s="1"/>
  <c r="G61" i="230"/>
  <c r="G62" i="230" s="1"/>
  <c r="G72" i="230" s="1"/>
  <c r="N23" i="230"/>
  <c r="D50" i="230"/>
  <c r="H56" i="229"/>
  <c r="L63" i="238" l="1"/>
  <c r="K73" i="238"/>
  <c r="K64" i="238"/>
  <c r="K74" i="238" s="1"/>
  <c r="K63" i="237"/>
  <c r="J73" i="237"/>
  <c r="J64" i="237"/>
  <c r="J74" i="237" s="1"/>
  <c r="J64" i="236"/>
  <c r="J74" i="236" s="1"/>
  <c r="K63" i="236"/>
  <c r="J73" i="236"/>
  <c r="J63" i="235"/>
  <c r="I73" i="235"/>
  <c r="I64" i="235"/>
  <c r="I74" i="235" s="1"/>
  <c r="H63" i="234"/>
  <c r="G73" i="234"/>
  <c r="G64" i="234"/>
  <c r="G74" i="234" s="1"/>
  <c r="E63" i="232"/>
  <c r="D73" i="232"/>
  <c r="D64" i="232"/>
  <c r="D74" i="232" s="1"/>
  <c r="B73" i="231"/>
  <c r="B64" i="231"/>
  <c r="B74" i="231" s="1"/>
  <c r="C63" i="231"/>
  <c r="H50" i="230"/>
  <c r="J61" i="230"/>
  <c r="J62" i="230" s="1"/>
  <c r="J72" i="230" s="1"/>
  <c r="N27" i="230"/>
  <c r="N28" i="230" s="1"/>
  <c r="L50" i="230"/>
  <c r="N48" i="230"/>
  <c r="N61" i="230" s="1"/>
  <c r="N62" i="230" s="1"/>
  <c r="I50" i="230"/>
  <c r="E50" i="230"/>
  <c r="B72" i="230"/>
  <c r="B63" i="230"/>
  <c r="B50" i="230"/>
  <c r="I9" i="229"/>
  <c r="I20" i="229"/>
  <c r="M63" i="238" l="1"/>
  <c r="L73" i="238"/>
  <c r="L64" i="238"/>
  <c r="L74" i="238" s="1"/>
  <c r="L63" i="237"/>
  <c r="K73" i="237"/>
  <c r="K64" i="237"/>
  <c r="K74" i="237" s="1"/>
  <c r="L63" i="236"/>
  <c r="K73" i="236"/>
  <c r="K64" i="236"/>
  <c r="K74" i="236" s="1"/>
  <c r="K63" i="235"/>
  <c r="J73" i="235"/>
  <c r="J64" i="235"/>
  <c r="J74" i="235" s="1"/>
  <c r="I63" i="234"/>
  <c r="H73" i="234"/>
  <c r="H64" i="234"/>
  <c r="H74" i="234" s="1"/>
  <c r="F63" i="232"/>
  <c r="E73" i="232"/>
  <c r="E64" i="232"/>
  <c r="E74" i="232" s="1"/>
  <c r="D63" i="231"/>
  <c r="C73" i="231"/>
  <c r="C64" i="231"/>
  <c r="C74" i="231" s="1"/>
  <c r="N50" i="230"/>
  <c r="B73" i="230"/>
  <c r="B64" i="230"/>
  <c r="B74" i="230" s="1"/>
  <c r="C63" i="230"/>
  <c r="N73" i="229"/>
  <c r="B68" i="229"/>
  <c r="C68" i="229" s="1"/>
  <c r="D68" i="229" s="1"/>
  <c r="E68" i="229" s="1"/>
  <c r="F68" i="229" s="1"/>
  <c r="G68" i="229" s="1"/>
  <c r="H68" i="229" s="1"/>
  <c r="I68" i="229" s="1"/>
  <c r="J68" i="229" s="1"/>
  <c r="K68" i="229" s="1"/>
  <c r="L68" i="229" s="1"/>
  <c r="M68" i="229" s="1"/>
  <c r="M58" i="229"/>
  <c r="L58" i="229"/>
  <c r="K58" i="229"/>
  <c r="J58" i="229"/>
  <c r="I58" i="229"/>
  <c r="H58" i="229"/>
  <c r="G58" i="229"/>
  <c r="F58" i="229"/>
  <c r="E58" i="229"/>
  <c r="D58" i="229"/>
  <c r="C58" i="229"/>
  <c r="B58" i="229"/>
  <c r="N57" i="229"/>
  <c r="N56" i="229"/>
  <c r="N55" i="229"/>
  <c r="N54" i="229"/>
  <c r="N53" i="229"/>
  <c r="M46" i="229"/>
  <c r="L46" i="229"/>
  <c r="K46" i="229"/>
  <c r="J46" i="229"/>
  <c r="I46" i="229"/>
  <c r="H46" i="229"/>
  <c r="G46" i="229"/>
  <c r="F46" i="229"/>
  <c r="E46" i="229"/>
  <c r="D46" i="229"/>
  <c r="C46" i="229"/>
  <c r="B46" i="229"/>
  <c r="N45" i="229"/>
  <c r="N44" i="229"/>
  <c r="N41" i="229"/>
  <c r="N40" i="229"/>
  <c r="N39" i="229"/>
  <c r="N37" i="229"/>
  <c r="M34" i="229"/>
  <c r="M38" i="229" s="1"/>
  <c r="M42" i="229" s="1"/>
  <c r="L34" i="229"/>
  <c r="L38" i="229" s="1"/>
  <c r="L42" i="229" s="1"/>
  <c r="K34" i="229"/>
  <c r="K38" i="229" s="1"/>
  <c r="K42" i="229" s="1"/>
  <c r="J34" i="229"/>
  <c r="J38" i="229" s="1"/>
  <c r="J42" i="229" s="1"/>
  <c r="I34" i="229"/>
  <c r="I38" i="229" s="1"/>
  <c r="I42" i="229" s="1"/>
  <c r="H34" i="229"/>
  <c r="H38" i="229" s="1"/>
  <c r="H42" i="229" s="1"/>
  <c r="G34" i="229"/>
  <c r="G38" i="229" s="1"/>
  <c r="G42" i="229" s="1"/>
  <c r="F34" i="229"/>
  <c r="F38" i="229" s="1"/>
  <c r="F42" i="229" s="1"/>
  <c r="E34" i="229"/>
  <c r="E38" i="229" s="1"/>
  <c r="E42" i="229" s="1"/>
  <c r="D34" i="229"/>
  <c r="D38" i="229" s="1"/>
  <c r="D42" i="229" s="1"/>
  <c r="C34" i="229"/>
  <c r="C38" i="229" s="1"/>
  <c r="C42" i="229" s="1"/>
  <c r="B34" i="229"/>
  <c r="B38" i="229" s="1"/>
  <c r="B42" i="229" s="1"/>
  <c r="N33" i="229"/>
  <c r="N32" i="229"/>
  <c r="N31" i="229"/>
  <c r="N30" i="229"/>
  <c r="M26" i="229"/>
  <c r="L26" i="229"/>
  <c r="K26" i="229"/>
  <c r="J26" i="229"/>
  <c r="I26" i="229"/>
  <c r="H26" i="229"/>
  <c r="G26" i="229"/>
  <c r="F26" i="229"/>
  <c r="E26" i="229"/>
  <c r="D26" i="229"/>
  <c r="C26" i="229"/>
  <c r="B26" i="229"/>
  <c r="M25" i="229"/>
  <c r="L25" i="229"/>
  <c r="K25" i="229"/>
  <c r="J25" i="229"/>
  <c r="I25" i="229"/>
  <c r="H25" i="229"/>
  <c r="G25" i="229"/>
  <c r="F25" i="229"/>
  <c r="E25" i="229"/>
  <c r="D25" i="229"/>
  <c r="C25" i="229"/>
  <c r="B25" i="229"/>
  <c r="M24" i="229"/>
  <c r="L24" i="229"/>
  <c r="K24" i="229"/>
  <c r="J24" i="229"/>
  <c r="I24" i="229"/>
  <c r="H24" i="229"/>
  <c r="G24" i="229"/>
  <c r="F24" i="229"/>
  <c r="E24" i="229"/>
  <c r="D24" i="229"/>
  <c r="C24" i="229"/>
  <c r="B24" i="229"/>
  <c r="M23" i="229"/>
  <c r="L23" i="229"/>
  <c r="K23" i="229"/>
  <c r="J23" i="229"/>
  <c r="I23" i="229"/>
  <c r="H23" i="229"/>
  <c r="G23" i="229"/>
  <c r="F23" i="229"/>
  <c r="F27" i="229" s="1"/>
  <c r="E23" i="229"/>
  <c r="D23" i="229"/>
  <c r="C23" i="229"/>
  <c r="C27" i="229" s="1"/>
  <c r="B23" i="229"/>
  <c r="B27" i="229" s="1"/>
  <c r="M20" i="229"/>
  <c r="L20" i="229"/>
  <c r="K20" i="229"/>
  <c r="J20" i="229"/>
  <c r="H20" i="229"/>
  <c r="G20" i="229"/>
  <c r="F20" i="229"/>
  <c r="E20" i="229"/>
  <c r="D20" i="229"/>
  <c r="C20" i="229"/>
  <c r="B20" i="229"/>
  <c r="N19" i="229"/>
  <c r="N17" i="229"/>
  <c r="N16" i="229"/>
  <c r="I13" i="229"/>
  <c r="N11" i="229"/>
  <c r="M9" i="229"/>
  <c r="M13" i="229" s="1"/>
  <c r="L9" i="229"/>
  <c r="L13" i="229" s="1"/>
  <c r="K9" i="229"/>
  <c r="K13" i="229" s="1"/>
  <c r="J13" i="229"/>
  <c r="H9" i="229"/>
  <c r="H13" i="229" s="1"/>
  <c r="G9" i="229"/>
  <c r="G13" i="229" s="1"/>
  <c r="F9" i="229"/>
  <c r="F13" i="229" s="1"/>
  <c r="E9" i="229"/>
  <c r="E13" i="229" s="1"/>
  <c r="D9" i="229"/>
  <c r="D13" i="229" s="1"/>
  <c r="C9" i="229"/>
  <c r="C13" i="229" s="1"/>
  <c r="B9" i="229"/>
  <c r="B13" i="229" s="1"/>
  <c r="N8" i="229"/>
  <c r="N7" i="229"/>
  <c r="N6" i="229"/>
  <c r="N5" i="229"/>
  <c r="N4" i="229"/>
  <c r="M73" i="238" l="1"/>
  <c r="M64" i="238"/>
  <c r="M74" i="238" s="1"/>
  <c r="M63" i="237"/>
  <c r="L73" i="237"/>
  <c r="L64" i="237"/>
  <c r="L74" i="237" s="1"/>
  <c r="M63" i="236"/>
  <c r="L73" i="236"/>
  <c r="L64" i="236"/>
  <c r="L74" i="236" s="1"/>
  <c r="L63" i="235"/>
  <c r="K73" i="235"/>
  <c r="K64" i="235"/>
  <c r="K74" i="235" s="1"/>
  <c r="J63" i="234"/>
  <c r="I73" i="234"/>
  <c r="I64" i="234"/>
  <c r="I74" i="234" s="1"/>
  <c r="G63" i="232"/>
  <c r="F73" i="232"/>
  <c r="F64" i="232"/>
  <c r="F74" i="232" s="1"/>
  <c r="E63" i="231"/>
  <c r="D73" i="231"/>
  <c r="D64" i="231"/>
  <c r="D74" i="231" s="1"/>
  <c r="C73" i="230"/>
  <c r="C64" i="230"/>
  <c r="C74" i="230" s="1"/>
  <c r="D63" i="230"/>
  <c r="N20" i="229"/>
  <c r="D27" i="229"/>
  <c r="D28" i="229" s="1"/>
  <c r="D48" i="229"/>
  <c r="D61" i="229" s="1"/>
  <c r="D62" i="229" s="1"/>
  <c r="D72" i="229" s="1"/>
  <c r="F28" i="229"/>
  <c r="M48" i="229"/>
  <c r="M61" i="229" s="1"/>
  <c r="M62" i="229" s="1"/>
  <c r="M72" i="229" s="1"/>
  <c r="B48" i="229"/>
  <c r="B50" i="229" s="1"/>
  <c r="K27" i="229"/>
  <c r="K28" i="229" s="1"/>
  <c r="C28" i="229"/>
  <c r="J27" i="229"/>
  <c r="J28" i="229" s="1"/>
  <c r="L48" i="229"/>
  <c r="L61" i="229" s="1"/>
  <c r="L62" i="229" s="1"/>
  <c r="L72" i="229" s="1"/>
  <c r="N58" i="229"/>
  <c r="I48" i="229"/>
  <c r="I50" i="229" s="1"/>
  <c r="N34" i="229"/>
  <c r="G27" i="229"/>
  <c r="G28" i="229" s="1"/>
  <c r="N46" i="229"/>
  <c r="P16" i="229"/>
  <c r="E48" i="229"/>
  <c r="E61" i="229" s="1"/>
  <c r="E62" i="229" s="1"/>
  <c r="E72" i="229" s="1"/>
  <c r="H27" i="229"/>
  <c r="H28" i="229" s="1"/>
  <c r="I27" i="229"/>
  <c r="I28" i="229" s="1"/>
  <c r="L27" i="229"/>
  <c r="L28" i="229" s="1"/>
  <c r="F48" i="229"/>
  <c r="F61" i="229" s="1"/>
  <c r="F62" i="229" s="1"/>
  <c r="F72" i="229" s="1"/>
  <c r="J48" i="229"/>
  <c r="J61" i="229" s="1"/>
  <c r="J62" i="229" s="1"/>
  <c r="J72" i="229" s="1"/>
  <c r="M27" i="229"/>
  <c r="M28" i="229" s="1"/>
  <c r="G48" i="229"/>
  <c r="G61" i="229" s="1"/>
  <c r="G62" i="229" s="1"/>
  <c r="G72" i="229" s="1"/>
  <c r="N9" i="229"/>
  <c r="P9" i="229" s="1"/>
  <c r="B28" i="229"/>
  <c r="N24" i="229"/>
  <c r="N25" i="229"/>
  <c r="N26" i="229"/>
  <c r="H48" i="229"/>
  <c r="H61" i="229" s="1"/>
  <c r="H62" i="229" s="1"/>
  <c r="H72" i="229" s="1"/>
  <c r="P41" i="229"/>
  <c r="C48" i="229"/>
  <c r="C50" i="229" s="1"/>
  <c r="E27" i="229"/>
  <c r="E28" i="229" s="1"/>
  <c r="K48" i="229"/>
  <c r="K61" i="229" s="1"/>
  <c r="K62" i="229" s="1"/>
  <c r="K72" i="229" s="1"/>
  <c r="N23" i="229"/>
  <c r="N38" i="229"/>
  <c r="N42" i="229" s="1"/>
  <c r="H56" i="228"/>
  <c r="N56" i="228" s="1"/>
  <c r="H46" i="228"/>
  <c r="N73" i="228"/>
  <c r="B68" i="228"/>
  <c r="C68" i="228" s="1"/>
  <c r="D68" i="228" s="1"/>
  <c r="E68" i="228" s="1"/>
  <c r="F68" i="228" s="1"/>
  <c r="G68" i="228" s="1"/>
  <c r="H68" i="228" s="1"/>
  <c r="I68" i="228" s="1"/>
  <c r="J68" i="228" s="1"/>
  <c r="K68" i="228" s="1"/>
  <c r="L68" i="228" s="1"/>
  <c r="M68" i="228" s="1"/>
  <c r="M58" i="228"/>
  <c r="L58" i="228"/>
  <c r="K58" i="228"/>
  <c r="J58" i="228"/>
  <c r="I58" i="228"/>
  <c r="G58" i="228"/>
  <c r="F58" i="228"/>
  <c r="E58" i="228"/>
  <c r="D58" i="228"/>
  <c r="C58" i="228"/>
  <c r="B58" i="228"/>
  <c r="N57" i="228"/>
  <c r="N55" i="228"/>
  <c r="N54" i="228"/>
  <c r="N53" i="228"/>
  <c r="M46" i="228"/>
  <c r="L46" i="228"/>
  <c r="K46" i="228"/>
  <c r="J46" i="228"/>
  <c r="I46" i="228"/>
  <c r="G46" i="228"/>
  <c r="F46" i="228"/>
  <c r="E46" i="228"/>
  <c r="D46" i="228"/>
  <c r="C46" i="228"/>
  <c r="B46" i="228"/>
  <c r="N45" i="228"/>
  <c r="N44" i="228"/>
  <c r="N41" i="228"/>
  <c r="N40" i="228"/>
  <c r="N39" i="228"/>
  <c r="N37" i="228"/>
  <c r="M34" i="228"/>
  <c r="M38" i="228" s="1"/>
  <c r="M42" i="228" s="1"/>
  <c r="L34" i="228"/>
  <c r="L38" i="228" s="1"/>
  <c r="L42" i="228" s="1"/>
  <c r="K34" i="228"/>
  <c r="K38" i="228" s="1"/>
  <c r="K42" i="228" s="1"/>
  <c r="J34" i="228"/>
  <c r="J38" i="228" s="1"/>
  <c r="J42" i="228" s="1"/>
  <c r="I34" i="228"/>
  <c r="I38" i="228" s="1"/>
  <c r="I42" i="228" s="1"/>
  <c r="H34" i="228"/>
  <c r="H38" i="228" s="1"/>
  <c r="G34" i="228"/>
  <c r="G38" i="228" s="1"/>
  <c r="G42" i="228" s="1"/>
  <c r="F34" i="228"/>
  <c r="F38" i="228" s="1"/>
  <c r="F42" i="228" s="1"/>
  <c r="E34" i="228"/>
  <c r="E38" i="228" s="1"/>
  <c r="E42" i="228" s="1"/>
  <c r="D34" i="228"/>
  <c r="D38" i="228" s="1"/>
  <c r="D42" i="228" s="1"/>
  <c r="C34" i="228"/>
  <c r="C38" i="228" s="1"/>
  <c r="C42" i="228" s="1"/>
  <c r="B34" i="228"/>
  <c r="B38" i="228" s="1"/>
  <c r="N33" i="228"/>
  <c r="N32" i="228"/>
  <c r="N31" i="228"/>
  <c r="N30" i="228"/>
  <c r="M26" i="228"/>
  <c r="L26" i="228"/>
  <c r="K26" i="228"/>
  <c r="J26" i="228"/>
  <c r="I26" i="228"/>
  <c r="H26" i="228"/>
  <c r="G26" i="228"/>
  <c r="F26" i="228"/>
  <c r="E26" i="228"/>
  <c r="D26" i="228"/>
  <c r="C26" i="228"/>
  <c r="B26" i="228"/>
  <c r="M25" i="228"/>
  <c r="L25" i="228"/>
  <c r="K25" i="228"/>
  <c r="J25" i="228"/>
  <c r="I25" i="228"/>
  <c r="H25" i="228"/>
  <c r="G25" i="228"/>
  <c r="F25" i="228"/>
  <c r="E25" i="228"/>
  <c r="D25" i="228"/>
  <c r="C25" i="228"/>
  <c r="B25" i="228"/>
  <c r="M24" i="228"/>
  <c r="L24" i="228"/>
  <c r="K24" i="228"/>
  <c r="J24" i="228"/>
  <c r="I24" i="228"/>
  <c r="H24" i="228"/>
  <c r="G24" i="228"/>
  <c r="F24" i="228"/>
  <c r="E24" i="228"/>
  <c r="D24" i="228"/>
  <c r="C24" i="228"/>
  <c r="B24" i="228"/>
  <c r="M23" i="228"/>
  <c r="L23" i="228"/>
  <c r="K23" i="228"/>
  <c r="J23" i="228"/>
  <c r="I23" i="228"/>
  <c r="H23" i="228"/>
  <c r="H27" i="228" s="1"/>
  <c r="G23" i="228"/>
  <c r="G27" i="228" s="1"/>
  <c r="F23" i="228"/>
  <c r="E23" i="228"/>
  <c r="D23" i="228"/>
  <c r="C23" i="228"/>
  <c r="B23" i="228"/>
  <c r="M20" i="228"/>
  <c r="L20" i="228"/>
  <c r="K20" i="228"/>
  <c r="J20" i="228"/>
  <c r="I20" i="228"/>
  <c r="H20" i="228"/>
  <c r="G20" i="228"/>
  <c r="F20" i="228"/>
  <c r="E20" i="228"/>
  <c r="D20" i="228"/>
  <c r="C20" i="228"/>
  <c r="B20" i="228"/>
  <c r="N19" i="228"/>
  <c r="N17" i="228"/>
  <c r="N16" i="228"/>
  <c r="P16" i="228" s="1"/>
  <c r="N11" i="228"/>
  <c r="M9" i="228"/>
  <c r="M13" i="228" s="1"/>
  <c r="L9" i="228"/>
  <c r="L13" i="228" s="1"/>
  <c r="K9" i="228"/>
  <c r="K13" i="228" s="1"/>
  <c r="J9" i="228"/>
  <c r="J13" i="228" s="1"/>
  <c r="I9" i="228"/>
  <c r="I13" i="228" s="1"/>
  <c r="H9" i="228"/>
  <c r="H13" i="228" s="1"/>
  <c r="G9" i="228"/>
  <c r="G13" i="228" s="1"/>
  <c r="F9" i="228"/>
  <c r="F13" i="228" s="1"/>
  <c r="E9" i="228"/>
  <c r="E13" i="228" s="1"/>
  <c r="D9" i="228"/>
  <c r="D13" i="228" s="1"/>
  <c r="C9" i="228"/>
  <c r="C13" i="228" s="1"/>
  <c r="B9" i="228"/>
  <c r="B13" i="228" s="1"/>
  <c r="N8" i="228"/>
  <c r="N7" i="228"/>
  <c r="N6" i="228"/>
  <c r="N5" i="228"/>
  <c r="N4" i="228"/>
  <c r="E27" i="228" l="1"/>
  <c r="M73" i="237"/>
  <c r="M64" i="237"/>
  <c r="M74" i="237" s="1"/>
  <c r="M73" i="236"/>
  <c r="M64" i="236"/>
  <c r="M74" i="236" s="1"/>
  <c r="M63" i="235"/>
  <c r="L73" i="235"/>
  <c r="L64" i="235"/>
  <c r="L74" i="235" s="1"/>
  <c r="K63" i="234"/>
  <c r="J73" i="234"/>
  <c r="J64" i="234"/>
  <c r="J74" i="234" s="1"/>
  <c r="H63" i="232"/>
  <c r="G73" i="232"/>
  <c r="G64" i="232"/>
  <c r="G74" i="232" s="1"/>
  <c r="F63" i="231"/>
  <c r="E73" i="231"/>
  <c r="E64" i="231"/>
  <c r="E74" i="231" s="1"/>
  <c r="H58" i="228"/>
  <c r="E63" i="230"/>
  <c r="D73" i="230"/>
  <c r="D64" i="230"/>
  <c r="D74" i="230" s="1"/>
  <c r="D50" i="229"/>
  <c r="L50" i="229"/>
  <c r="M50" i="229"/>
  <c r="B61" i="229"/>
  <c r="B62" i="229" s="1"/>
  <c r="B63" i="229" s="1"/>
  <c r="N13" i="229"/>
  <c r="H50" i="229"/>
  <c r="J50" i="229"/>
  <c r="F50" i="229"/>
  <c r="E50" i="229"/>
  <c r="N48" i="229"/>
  <c r="N61" i="229" s="1"/>
  <c r="N27" i="229"/>
  <c r="N28" i="229" s="1"/>
  <c r="I61" i="229"/>
  <c r="I62" i="229" s="1"/>
  <c r="C61" i="229"/>
  <c r="C62" i="229" s="1"/>
  <c r="C72" i="229" s="1"/>
  <c r="G50" i="229"/>
  <c r="K50" i="229"/>
  <c r="N58" i="228"/>
  <c r="H28" i="228"/>
  <c r="I48" i="228"/>
  <c r="I50" i="228" s="1"/>
  <c r="N46" i="228"/>
  <c r="E48" i="228"/>
  <c r="E61" i="228" s="1"/>
  <c r="E62" i="228" s="1"/>
  <c r="E72" i="228" s="1"/>
  <c r="H42" i="228"/>
  <c r="H48" i="228" s="1"/>
  <c r="H50" i="228" s="1"/>
  <c r="P41" i="228"/>
  <c r="J48" i="228"/>
  <c r="J50" i="228" s="1"/>
  <c r="N34" i="228"/>
  <c r="F27" i="228"/>
  <c r="F28" i="228" s="1"/>
  <c r="C48" i="228"/>
  <c r="C61" i="228" s="1"/>
  <c r="C62" i="228" s="1"/>
  <c r="C72" i="228" s="1"/>
  <c r="K27" i="228"/>
  <c r="K28" i="228" s="1"/>
  <c r="L27" i="228"/>
  <c r="L28" i="228" s="1"/>
  <c r="D27" i="228"/>
  <c r="D28" i="228" s="1"/>
  <c r="E28" i="228"/>
  <c r="G28" i="228"/>
  <c r="F48" i="228"/>
  <c r="F50" i="228" s="1"/>
  <c r="G48" i="228"/>
  <c r="G61" i="228" s="1"/>
  <c r="G62" i="228" s="1"/>
  <c r="G72" i="228" s="1"/>
  <c r="K48" i="228"/>
  <c r="K61" i="228" s="1"/>
  <c r="K62" i="228" s="1"/>
  <c r="K72" i="228" s="1"/>
  <c r="N20" i="228"/>
  <c r="J27" i="228"/>
  <c r="J28" i="228" s="1"/>
  <c r="M27" i="228"/>
  <c r="M28" i="228" s="1"/>
  <c r="N24" i="228"/>
  <c r="C27" i="228"/>
  <c r="C28" i="228" s="1"/>
  <c r="N26" i="228"/>
  <c r="N9" i="228"/>
  <c r="N13" i="228" s="1"/>
  <c r="N23" i="228"/>
  <c r="N25" i="228"/>
  <c r="I27" i="228"/>
  <c r="I28" i="228" s="1"/>
  <c r="M48" i="228"/>
  <c r="M61" i="228" s="1"/>
  <c r="M62" i="228" s="1"/>
  <c r="M72" i="228" s="1"/>
  <c r="L48" i="228"/>
  <c r="L61" i="228" s="1"/>
  <c r="L62" i="228" s="1"/>
  <c r="L72" i="228" s="1"/>
  <c r="D48" i="228"/>
  <c r="D61" i="228" s="1"/>
  <c r="D62" i="228" s="1"/>
  <c r="D72" i="228" s="1"/>
  <c r="B42" i="228"/>
  <c r="B48" i="228" s="1"/>
  <c r="N38" i="228"/>
  <c r="N42" i="228" s="1"/>
  <c r="B27" i="228"/>
  <c r="B28" i="228" s="1"/>
  <c r="F85" i="227"/>
  <c r="F84" i="227"/>
  <c r="N73" i="227"/>
  <c r="B68" i="227"/>
  <c r="C68" i="227" s="1"/>
  <c r="D68" i="227" s="1"/>
  <c r="E68" i="227" s="1"/>
  <c r="F68" i="227" s="1"/>
  <c r="G68" i="227" s="1"/>
  <c r="H68" i="227" s="1"/>
  <c r="I68" i="227" s="1"/>
  <c r="J68" i="227" s="1"/>
  <c r="K68" i="227" s="1"/>
  <c r="L68" i="227" s="1"/>
  <c r="M68" i="227" s="1"/>
  <c r="M58" i="227"/>
  <c r="L58" i="227"/>
  <c r="K58" i="227"/>
  <c r="J58" i="227"/>
  <c r="I58" i="227"/>
  <c r="H58" i="227"/>
  <c r="G58" i="227"/>
  <c r="F58" i="227"/>
  <c r="E58" i="227"/>
  <c r="D58" i="227"/>
  <c r="C58" i="227"/>
  <c r="B58" i="227"/>
  <c r="N57" i="227"/>
  <c r="N56" i="227"/>
  <c r="N55" i="227"/>
  <c r="N54" i="227"/>
  <c r="N53" i="227"/>
  <c r="M46" i="227"/>
  <c r="L46" i="227"/>
  <c r="K46" i="227"/>
  <c r="J46" i="227"/>
  <c r="I46" i="227"/>
  <c r="H46" i="227"/>
  <c r="G46" i="227"/>
  <c r="F46" i="227"/>
  <c r="E46" i="227"/>
  <c r="D46" i="227"/>
  <c r="C46" i="227"/>
  <c r="B46" i="227"/>
  <c r="N45" i="227"/>
  <c r="N44" i="227"/>
  <c r="N41" i="227"/>
  <c r="N40" i="227"/>
  <c r="N39" i="227"/>
  <c r="N37" i="227"/>
  <c r="M34" i="227"/>
  <c r="M38" i="227" s="1"/>
  <c r="M42" i="227" s="1"/>
  <c r="L34" i="227"/>
  <c r="L38" i="227" s="1"/>
  <c r="L42" i="227" s="1"/>
  <c r="K34" i="227"/>
  <c r="K38" i="227" s="1"/>
  <c r="K42" i="227" s="1"/>
  <c r="J34" i="227"/>
  <c r="J38" i="227" s="1"/>
  <c r="J42" i="227" s="1"/>
  <c r="I34" i="227"/>
  <c r="I38" i="227" s="1"/>
  <c r="I42" i="227" s="1"/>
  <c r="H34" i="227"/>
  <c r="H38" i="227" s="1"/>
  <c r="H42" i="227" s="1"/>
  <c r="G34" i="227"/>
  <c r="G38" i="227" s="1"/>
  <c r="G42" i="227" s="1"/>
  <c r="F34" i="227"/>
  <c r="F38" i="227" s="1"/>
  <c r="F42" i="227" s="1"/>
  <c r="E34" i="227"/>
  <c r="E38" i="227" s="1"/>
  <c r="E42" i="227" s="1"/>
  <c r="D34" i="227"/>
  <c r="D38" i="227" s="1"/>
  <c r="D42" i="227" s="1"/>
  <c r="C34" i="227"/>
  <c r="C38" i="227" s="1"/>
  <c r="C42" i="227" s="1"/>
  <c r="B34" i="227"/>
  <c r="B38" i="227" s="1"/>
  <c r="B42" i="227" s="1"/>
  <c r="N33" i="227"/>
  <c r="N32" i="227"/>
  <c r="N31" i="227"/>
  <c r="N30" i="227"/>
  <c r="M26" i="227"/>
  <c r="L26" i="227"/>
  <c r="K26" i="227"/>
  <c r="J26" i="227"/>
  <c r="I26" i="227"/>
  <c r="H26" i="227"/>
  <c r="G26" i="227"/>
  <c r="F26" i="227"/>
  <c r="E26" i="227"/>
  <c r="D26" i="227"/>
  <c r="C26" i="227"/>
  <c r="B26" i="227"/>
  <c r="M25" i="227"/>
  <c r="L25" i="227"/>
  <c r="K25" i="227"/>
  <c r="J25" i="227"/>
  <c r="I25" i="227"/>
  <c r="H25" i="227"/>
  <c r="G25" i="227"/>
  <c r="F25" i="227"/>
  <c r="E25" i="227"/>
  <c r="D25" i="227"/>
  <c r="C25" i="227"/>
  <c r="B25" i="227"/>
  <c r="M24" i="227"/>
  <c r="L24" i="227"/>
  <c r="K24" i="227"/>
  <c r="J24" i="227"/>
  <c r="I24" i="227"/>
  <c r="H24" i="227"/>
  <c r="G24" i="227"/>
  <c r="F24" i="227"/>
  <c r="E24" i="227"/>
  <c r="D24" i="227"/>
  <c r="C24" i="227"/>
  <c r="B24" i="227"/>
  <c r="M23" i="227"/>
  <c r="L23" i="227"/>
  <c r="K23" i="227"/>
  <c r="K27" i="227" s="1"/>
  <c r="J23" i="227"/>
  <c r="J27" i="227" s="1"/>
  <c r="I23" i="227"/>
  <c r="H23" i="227"/>
  <c r="H27" i="227" s="1"/>
  <c r="G23" i="227"/>
  <c r="F23" i="227"/>
  <c r="E23" i="227"/>
  <c r="E27" i="227" s="1"/>
  <c r="D23" i="227"/>
  <c r="C23" i="227"/>
  <c r="B23" i="227"/>
  <c r="M20" i="227"/>
  <c r="L20" i="227"/>
  <c r="K20" i="227"/>
  <c r="J20" i="227"/>
  <c r="I20" i="227"/>
  <c r="H20" i="227"/>
  <c r="G20" i="227"/>
  <c r="F20" i="227"/>
  <c r="E20" i="227"/>
  <c r="D20" i="227"/>
  <c r="C20" i="227"/>
  <c r="B20" i="227"/>
  <c r="N19" i="227"/>
  <c r="N17" i="227"/>
  <c r="N16" i="227"/>
  <c r="P16" i="227" s="1"/>
  <c r="N11" i="227"/>
  <c r="M9" i="227"/>
  <c r="M13" i="227" s="1"/>
  <c r="L9" i="227"/>
  <c r="L13" i="227" s="1"/>
  <c r="K9" i="227"/>
  <c r="K13" i="227" s="1"/>
  <c r="J9" i="227"/>
  <c r="J13" i="227" s="1"/>
  <c r="I9" i="227"/>
  <c r="I13" i="227" s="1"/>
  <c r="H9" i="227"/>
  <c r="H13" i="227" s="1"/>
  <c r="G9" i="227"/>
  <c r="G13" i="227" s="1"/>
  <c r="F9" i="227"/>
  <c r="F13" i="227" s="1"/>
  <c r="E9" i="227"/>
  <c r="E13" i="227" s="1"/>
  <c r="D9" i="227"/>
  <c r="D13" i="227" s="1"/>
  <c r="C9" i="227"/>
  <c r="C13" i="227" s="1"/>
  <c r="B9" i="227"/>
  <c r="B13" i="227" s="1"/>
  <c r="N8" i="227"/>
  <c r="N7" i="227"/>
  <c r="N6" i="227"/>
  <c r="N5" i="227"/>
  <c r="N4" i="227"/>
  <c r="M73" i="235" l="1"/>
  <c r="M64" i="235"/>
  <c r="M74" i="235" s="1"/>
  <c r="L63" i="234"/>
  <c r="K73" i="234"/>
  <c r="K64" i="234"/>
  <c r="K74" i="234" s="1"/>
  <c r="H73" i="232"/>
  <c r="I63" i="232"/>
  <c r="H64" i="232"/>
  <c r="H74" i="232" s="1"/>
  <c r="F73" i="231"/>
  <c r="F64" i="231"/>
  <c r="F74" i="231" s="1"/>
  <c r="G63" i="231"/>
  <c r="I48" i="227"/>
  <c r="N46" i="227"/>
  <c r="F63" i="230"/>
  <c r="E73" i="230"/>
  <c r="E64" i="230"/>
  <c r="E74" i="230" s="1"/>
  <c r="E28" i="227"/>
  <c r="J28" i="227"/>
  <c r="J48" i="227"/>
  <c r="J61" i="227" s="1"/>
  <c r="B72" i="229"/>
  <c r="N62" i="229"/>
  <c r="N50" i="229"/>
  <c r="P50" i="229" s="1"/>
  <c r="P52" i="229" s="1"/>
  <c r="P27" i="229"/>
  <c r="I72" i="229"/>
  <c r="B73" i="229"/>
  <c r="B64" i="229"/>
  <c r="B74" i="229" s="1"/>
  <c r="C63" i="229"/>
  <c r="H61" i="228"/>
  <c r="H62" i="228" s="1"/>
  <c r="H72" i="228" s="1"/>
  <c r="C50" i="228"/>
  <c r="M50" i="228"/>
  <c r="J61" i="228"/>
  <c r="J62" i="228" s="1"/>
  <c r="J72" i="228" s="1"/>
  <c r="K50" i="228"/>
  <c r="I61" i="228"/>
  <c r="I62" i="228" s="1"/>
  <c r="I72" i="228" s="1"/>
  <c r="E50" i="228"/>
  <c r="G50" i="228"/>
  <c r="F61" i="228"/>
  <c r="F62" i="228" s="1"/>
  <c r="F72" i="228" s="1"/>
  <c r="P9" i="228"/>
  <c r="N48" i="228"/>
  <c r="N61" i="228" s="1"/>
  <c r="N62" i="228" s="1"/>
  <c r="N27" i="228"/>
  <c r="N28" i="228" s="1"/>
  <c r="B50" i="228"/>
  <c r="B61" i="228"/>
  <c r="B62" i="228" s="1"/>
  <c r="D50" i="228"/>
  <c r="L50" i="228"/>
  <c r="N58" i="227"/>
  <c r="H48" i="227"/>
  <c r="I61" i="227"/>
  <c r="I62" i="227" s="1"/>
  <c r="I72" i="227" s="1"/>
  <c r="P41" i="227"/>
  <c r="G48" i="227"/>
  <c r="G61" i="227" s="1"/>
  <c r="G62" i="227" s="1"/>
  <c r="G72" i="227" s="1"/>
  <c r="D27" i="227"/>
  <c r="D28" i="227" s="1"/>
  <c r="N20" i="227"/>
  <c r="F27" i="227"/>
  <c r="F28" i="227" s="1"/>
  <c r="I50" i="227"/>
  <c r="H61" i="227"/>
  <c r="H62" i="227" s="1"/>
  <c r="H72" i="227" s="1"/>
  <c r="C48" i="227"/>
  <c r="C50" i="227" s="1"/>
  <c r="E48" i="227"/>
  <c r="E50" i="227" s="1"/>
  <c r="F48" i="227"/>
  <c r="F50" i="227" s="1"/>
  <c r="L48" i="227"/>
  <c r="L61" i="227" s="1"/>
  <c r="L62" i="227" s="1"/>
  <c r="L72" i="227" s="1"/>
  <c r="N24" i="227"/>
  <c r="H28" i="227"/>
  <c r="I27" i="227"/>
  <c r="I28" i="227" s="1"/>
  <c r="C27" i="227"/>
  <c r="C28" i="227" s="1"/>
  <c r="N9" i="227"/>
  <c r="N13" i="227" s="1"/>
  <c r="L27" i="227"/>
  <c r="L28" i="227" s="1"/>
  <c r="M27" i="227"/>
  <c r="M28" i="227" s="1"/>
  <c r="N25" i="227"/>
  <c r="B27" i="227"/>
  <c r="B28" i="227" s="1"/>
  <c r="N26" i="227"/>
  <c r="K28" i="227"/>
  <c r="N34" i="227"/>
  <c r="G27" i="227"/>
  <c r="G28" i="227" s="1"/>
  <c r="N23" i="227"/>
  <c r="H50" i="227"/>
  <c r="K48" i="227"/>
  <c r="K50" i="227" s="1"/>
  <c r="M48" i="227"/>
  <c r="M61" i="227" s="1"/>
  <c r="M62" i="227" s="1"/>
  <c r="M72" i="227" s="1"/>
  <c r="B48" i="227"/>
  <c r="B61" i="227" s="1"/>
  <c r="B62" i="227" s="1"/>
  <c r="D48" i="227"/>
  <c r="D50" i="227" s="1"/>
  <c r="N38" i="227"/>
  <c r="N42" i="227" s="1"/>
  <c r="J62" i="227"/>
  <c r="J72" i="227" s="1"/>
  <c r="F9" i="226"/>
  <c r="M63" i="234" l="1"/>
  <c r="L73" i="234"/>
  <c r="L64" i="234"/>
  <c r="L74" i="234" s="1"/>
  <c r="J63" i="232"/>
  <c r="I73" i="232"/>
  <c r="I64" i="232"/>
  <c r="I74" i="232" s="1"/>
  <c r="G64" i="231"/>
  <c r="G74" i="231" s="1"/>
  <c r="H63" i="231"/>
  <c r="G73" i="231"/>
  <c r="J50" i="227"/>
  <c r="F73" i="230"/>
  <c r="F64" i="230"/>
  <c r="F74" i="230" s="1"/>
  <c r="G63" i="230"/>
  <c r="G50" i="227"/>
  <c r="D63" i="229"/>
  <c r="C73" i="229"/>
  <c r="C64" i="229"/>
  <c r="C74" i="229" s="1"/>
  <c r="P27" i="228"/>
  <c r="B72" i="228"/>
  <c r="B63" i="228"/>
  <c r="N50" i="228"/>
  <c r="P50" i="228" s="1"/>
  <c r="P52" i="228" s="1"/>
  <c r="E61" i="227"/>
  <c r="E62" i="227" s="1"/>
  <c r="E72" i="227" s="1"/>
  <c r="C61" i="227"/>
  <c r="C62" i="227" s="1"/>
  <c r="C72" i="227" s="1"/>
  <c r="L50" i="227"/>
  <c r="N48" i="227"/>
  <c r="N61" i="227" s="1"/>
  <c r="N62" i="227" s="1"/>
  <c r="F61" i="227"/>
  <c r="F62" i="227" s="1"/>
  <c r="F72" i="227" s="1"/>
  <c r="P9" i="227"/>
  <c r="N27" i="227"/>
  <c r="P27" i="227" s="1"/>
  <c r="B72" i="227"/>
  <c r="B63" i="227"/>
  <c r="K61" i="227"/>
  <c r="K62" i="227" s="1"/>
  <c r="K72" i="227" s="1"/>
  <c r="M50" i="227"/>
  <c r="D61" i="227"/>
  <c r="D62" i="227" s="1"/>
  <c r="D72" i="227" s="1"/>
  <c r="B50" i="227"/>
  <c r="F85" i="226"/>
  <c r="F84" i="226"/>
  <c r="N73" i="226"/>
  <c r="B68" i="226"/>
  <c r="C68" i="226" s="1"/>
  <c r="D68" i="226" s="1"/>
  <c r="E68" i="226" s="1"/>
  <c r="F68" i="226" s="1"/>
  <c r="G68" i="226" s="1"/>
  <c r="H68" i="226" s="1"/>
  <c r="I68" i="226" s="1"/>
  <c r="J68" i="226" s="1"/>
  <c r="K68" i="226" s="1"/>
  <c r="L68" i="226" s="1"/>
  <c r="M68" i="226" s="1"/>
  <c r="M58" i="226"/>
  <c r="L58" i="226"/>
  <c r="K58" i="226"/>
  <c r="J58" i="226"/>
  <c r="I58" i="226"/>
  <c r="H58" i="226"/>
  <c r="G58" i="226"/>
  <c r="F58" i="226"/>
  <c r="E58" i="226"/>
  <c r="D58" i="226"/>
  <c r="C58" i="226"/>
  <c r="B58" i="226"/>
  <c r="N57" i="226"/>
  <c r="N56" i="226"/>
  <c r="N55" i="226"/>
  <c r="N54" i="226"/>
  <c r="N53" i="226"/>
  <c r="M46" i="226"/>
  <c r="L46" i="226"/>
  <c r="K46" i="226"/>
  <c r="J46" i="226"/>
  <c r="I46" i="226"/>
  <c r="H46" i="226"/>
  <c r="G46" i="226"/>
  <c r="F46" i="226"/>
  <c r="E46" i="226"/>
  <c r="D46" i="226"/>
  <c r="C46" i="226"/>
  <c r="B46" i="226"/>
  <c r="N45" i="226"/>
  <c r="N44" i="226"/>
  <c r="N41" i="226"/>
  <c r="N40" i="226"/>
  <c r="N39" i="226"/>
  <c r="N37" i="226"/>
  <c r="M34" i="226"/>
  <c r="M38" i="226" s="1"/>
  <c r="M42" i="226" s="1"/>
  <c r="L34" i="226"/>
  <c r="L38" i="226" s="1"/>
  <c r="L42" i="226" s="1"/>
  <c r="K34" i="226"/>
  <c r="K38" i="226" s="1"/>
  <c r="K42" i="226" s="1"/>
  <c r="J34" i="226"/>
  <c r="J38" i="226" s="1"/>
  <c r="J42" i="226" s="1"/>
  <c r="I34" i="226"/>
  <c r="I38" i="226" s="1"/>
  <c r="I42" i="226" s="1"/>
  <c r="H34" i="226"/>
  <c r="H38" i="226" s="1"/>
  <c r="H42" i="226" s="1"/>
  <c r="G34" i="226"/>
  <c r="G38" i="226" s="1"/>
  <c r="G42" i="226" s="1"/>
  <c r="F34" i="226"/>
  <c r="F38" i="226" s="1"/>
  <c r="F42" i="226" s="1"/>
  <c r="E34" i="226"/>
  <c r="E38" i="226" s="1"/>
  <c r="E42" i="226" s="1"/>
  <c r="D34" i="226"/>
  <c r="D38" i="226" s="1"/>
  <c r="D42" i="226" s="1"/>
  <c r="C34" i="226"/>
  <c r="C38" i="226" s="1"/>
  <c r="C42" i="226" s="1"/>
  <c r="B34" i="226"/>
  <c r="B38" i="226" s="1"/>
  <c r="N33" i="226"/>
  <c r="N32" i="226"/>
  <c r="N31" i="226"/>
  <c r="N30" i="226"/>
  <c r="M26" i="226"/>
  <c r="L26" i="226"/>
  <c r="K26" i="226"/>
  <c r="J26" i="226"/>
  <c r="I26" i="226"/>
  <c r="H26" i="226"/>
  <c r="G26" i="226"/>
  <c r="F26" i="226"/>
  <c r="E26" i="226"/>
  <c r="D26" i="226"/>
  <c r="C26" i="226"/>
  <c r="B26" i="226"/>
  <c r="M25" i="226"/>
  <c r="L25" i="226"/>
  <c r="K25" i="226"/>
  <c r="J25" i="226"/>
  <c r="I25" i="226"/>
  <c r="H25" i="226"/>
  <c r="G25" i="226"/>
  <c r="F25" i="226"/>
  <c r="E25" i="226"/>
  <c r="D25" i="226"/>
  <c r="C25" i="226"/>
  <c r="B25" i="226"/>
  <c r="M24" i="226"/>
  <c r="L24" i="226"/>
  <c r="K24" i="226"/>
  <c r="J24" i="226"/>
  <c r="I24" i="226"/>
  <c r="H24" i="226"/>
  <c r="G24" i="226"/>
  <c r="F24" i="226"/>
  <c r="E24" i="226"/>
  <c r="D24" i="226"/>
  <c r="C24" i="226"/>
  <c r="B24" i="226"/>
  <c r="M23" i="226"/>
  <c r="L23" i="226"/>
  <c r="K23" i="226"/>
  <c r="J23" i="226"/>
  <c r="I23" i="226"/>
  <c r="H23" i="226"/>
  <c r="H27" i="226" s="1"/>
  <c r="G23" i="226"/>
  <c r="F23" i="226"/>
  <c r="E23" i="226"/>
  <c r="E27" i="226" s="1"/>
  <c r="D23" i="226"/>
  <c r="C23" i="226"/>
  <c r="C27" i="226" s="1"/>
  <c r="B23" i="226"/>
  <c r="M20" i="226"/>
  <c r="L20" i="226"/>
  <c r="K20" i="226"/>
  <c r="J20" i="226"/>
  <c r="I20" i="226"/>
  <c r="H20" i="226"/>
  <c r="G20" i="226"/>
  <c r="F20" i="226"/>
  <c r="F48" i="226" s="1"/>
  <c r="E20" i="226"/>
  <c r="D20" i="226"/>
  <c r="C20" i="226"/>
  <c r="B20" i="226"/>
  <c r="N19" i="226"/>
  <c r="N17" i="226"/>
  <c r="N16" i="226"/>
  <c r="N11" i="226"/>
  <c r="M9" i="226"/>
  <c r="M13" i="226" s="1"/>
  <c r="L9" i="226"/>
  <c r="L13" i="226" s="1"/>
  <c r="K9" i="226"/>
  <c r="K13" i="226" s="1"/>
  <c r="J9" i="226"/>
  <c r="J13" i="226" s="1"/>
  <c r="I9" i="226"/>
  <c r="I13" i="226" s="1"/>
  <c r="H9" i="226"/>
  <c r="H13" i="226" s="1"/>
  <c r="G9" i="226"/>
  <c r="G13" i="226" s="1"/>
  <c r="F13" i="226"/>
  <c r="E9" i="226"/>
  <c r="E13" i="226" s="1"/>
  <c r="D9" i="226"/>
  <c r="D13" i="226" s="1"/>
  <c r="C9" i="226"/>
  <c r="C13" i="226" s="1"/>
  <c r="B9" i="226"/>
  <c r="B13" i="226" s="1"/>
  <c r="N8" i="226"/>
  <c r="N7" i="226"/>
  <c r="N6" i="226"/>
  <c r="N5" i="226"/>
  <c r="N4" i="226"/>
  <c r="G27" i="226" l="1"/>
  <c r="M73" i="234"/>
  <c r="M64" i="234"/>
  <c r="M74" i="234" s="1"/>
  <c r="K63" i="232"/>
  <c r="J73" i="232"/>
  <c r="J64" i="232"/>
  <c r="J74" i="232" s="1"/>
  <c r="I63" i="231"/>
  <c r="H73" i="231"/>
  <c r="H64" i="231"/>
  <c r="H74" i="231" s="1"/>
  <c r="G73" i="230"/>
  <c r="H63" i="230"/>
  <c r="G64" i="230"/>
  <c r="G74" i="230" s="1"/>
  <c r="D64" i="229"/>
  <c r="D74" i="229" s="1"/>
  <c r="E63" i="229"/>
  <c r="D73" i="229"/>
  <c r="C63" i="228"/>
  <c r="B73" i="228"/>
  <c r="B64" i="228"/>
  <c r="B74" i="228" s="1"/>
  <c r="N50" i="227"/>
  <c r="P50" i="227" s="1"/>
  <c r="P52" i="227" s="1"/>
  <c r="N28" i="227"/>
  <c r="C63" i="227"/>
  <c r="B73" i="227"/>
  <c r="B64" i="227"/>
  <c r="B74" i="227" s="1"/>
  <c r="N9" i="226"/>
  <c r="N13" i="226" s="1"/>
  <c r="N20" i="226"/>
  <c r="C28" i="226"/>
  <c r="G28" i="226"/>
  <c r="E28" i="226"/>
  <c r="H28" i="226"/>
  <c r="N58" i="226"/>
  <c r="F61" i="226"/>
  <c r="F62" i="226" s="1"/>
  <c r="F50" i="226"/>
  <c r="M48" i="226"/>
  <c r="M61" i="226" s="1"/>
  <c r="M62" i="226" s="1"/>
  <c r="M72" i="226" s="1"/>
  <c r="D48" i="226"/>
  <c r="D61" i="226" s="1"/>
  <c r="D62" i="226" s="1"/>
  <c r="D72" i="226" s="1"/>
  <c r="N34" i="226"/>
  <c r="N46" i="226"/>
  <c r="C48" i="226"/>
  <c r="C61" i="226" s="1"/>
  <c r="C62" i="226" s="1"/>
  <c r="C72" i="226" s="1"/>
  <c r="K48" i="226"/>
  <c r="K50" i="226" s="1"/>
  <c r="P41" i="226"/>
  <c r="L48" i="226"/>
  <c r="L61" i="226" s="1"/>
  <c r="L62" i="226" s="1"/>
  <c r="L72" i="226" s="1"/>
  <c r="E48" i="226"/>
  <c r="E61" i="226" s="1"/>
  <c r="E62" i="226" s="1"/>
  <c r="E72" i="226" s="1"/>
  <c r="K27" i="226"/>
  <c r="K28" i="226" s="1"/>
  <c r="M27" i="226"/>
  <c r="M28" i="226" s="1"/>
  <c r="D27" i="226"/>
  <c r="D28" i="226" s="1"/>
  <c r="N24" i="226"/>
  <c r="N26" i="226"/>
  <c r="I27" i="226"/>
  <c r="I28" i="226" s="1"/>
  <c r="F27" i="226"/>
  <c r="F28" i="226" s="1"/>
  <c r="J27" i="226"/>
  <c r="J28" i="226" s="1"/>
  <c r="L27" i="226"/>
  <c r="L28" i="226" s="1"/>
  <c r="N23" i="226"/>
  <c r="N25" i="226"/>
  <c r="G48" i="226"/>
  <c r="G61" i="226" s="1"/>
  <c r="G62" i="226" s="1"/>
  <c r="G72" i="226" s="1"/>
  <c r="H48" i="226"/>
  <c r="H50" i="226" s="1"/>
  <c r="N38" i="226"/>
  <c r="N42" i="226" s="1"/>
  <c r="I48" i="226"/>
  <c r="I50" i="226" s="1"/>
  <c r="J48" i="226"/>
  <c r="J61" i="226" s="1"/>
  <c r="J62" i="226" s="1"/>
  <c r="J72" i="226" s="1"/>
  <c r="B27" i="226"/>
  <c r="B28" i="226" s="1"/>
  <c r="B42" i="226"/>
  <c r="B48" i="226" s="1"/>
  <c r="P16" i="226"/>
  <c r="F85" i="225"/>
  <c r="F84" i="225"/>
  <c r="N73" i="225"/>
  <c r="B68" i="225"/>
  <c r="C68" i="225" s="1"/>
  <c r="D68" i="225" s="1"/>
  <c r="E68" i="225" s="1"/>
  <c r="F68" i="225" s="1"/>
  <c r="G68" i="225" s="1"/>
  <c r="H68" i="225" s="1"/>
  <c r="I68" i="225" s="1"/>
  <c r="J68" i="225" s="1"/>
  <c r="K68" i="225" s="1"/>
  <c r="L68" i="225" s="1"/>
  <c r="M68" i="225" s="1"/>
  <c r="M58" i="225"/>
  <c r="L58" i="225"/>
  <c r="K58" i="225"/>
  <c r="J58" i="225"/>
  <c r="I58" i="225"/>
  <c r="H58" i="225"/>
  <c r="G58" i="225"/>
  <c r="F58" i="225"/>
  <c r="E58" i="225"/>
  <c r="D58" i="225"/>
  <c r="C58" i="225"/>
  <c r="B58" i="225"/>
  <c r="N57" i="225"/>
  <c r="N56" i="225"/>
  <c r="N55" i="225"/>
  <c r="N54" i="225"/>
  <c r="N53" i="225"/>
  <c r="M46" i="225"/>
  <c r="L46" i="225"/>
  <c r="K46" i="225"/>
  <c r="J46" i="225"/>
  <c r="I46" i="225"/>
  <c r="H46" i="225"/>
  <c r="G46" i="225"/>
  <c r="F46" i="225"/>
  <c r="E46" i="225"/>
  <c r="D46" i="225"/>
  <c r="C46" i="225"/>
  <c r="B46" i="225"/>
  <c r="N45" i="225"/>
  <c r="N44" i="225"/>
  <c r="N46" i="225" s="1"/>
  <c r="N41" i="225"/>
  <c r="N40" i="225"/>
  <c r="N39" i="225"/>
  <c r="N37" i="225"/>
  <c r="M34" i="225"/>
  <c r="M38" i="225" s="1"/>
  <c r="M42" i="225" s="1"/>
  <c r="L34" i="225"/>
  <c r="L38" i="225" s="1"/>
  <c r="L42" i="225" s="1"/>
  <c r="K34" i="225"/>
  <c r="K38" i="225" s="1"/>
  <c r="K42" i="225" s="1"/>
  <c r="J34" i="225"/>
  <c r="J38" i="225" s="1"/>
  <c r="J42" i="225" s="1"/>
  <c r="I34" i="225"/>
  <c r="I38" i="225" s="1"/>
  <c r="I42" i="225" s="1"/>
  <c r="H34" i="225"/>
  <c r="H38" i="225" s="1"/>
  <c r="H42" i="225" s="1"/>
  <c r="G34" i="225"/>
  <c r="G38" i="225" s="1"/>
  <c r="G42" i="225" s="1"/>
  <c r="F34" i="225"/>
  <c r="F38" i="225" s="1"/>
  <c r="F42" i="225" s="1"/>
  <c r="E34" i="225"/>
  <c r="E38" i="225" s="1"/>
  <c r="E42" i="225" s="1"/>
  <c r="D34" i="225"/>
  <c r="D38" i="225" s="1"/>
  <c r="D42" i="225" s="1"/>
  <c r="C34" i="225"/>
  <c r="C38" i="225" s="1"/>
  <c r="C42" i="225" s="1"/>
  <c r="B34" i="225"/>
  <c r="B38" i="225" s="1"/>
  <c r="B42" i="225" s="1"/>
  <c r="N33" i="225"/>
  <c r="N32" i="225"/>
  <c r="N31" i="225"/>
  <c r="N30" i="225"/>
  <c r="M26" i="225"/>
  <c r="L26" i="225"/>
  <c r="K26" i="225"/>
  <c r="J26" i="225"/>
  <c r="I26" i="225"/>
  <c r="H26" i="225"/>
  <c r="G26" i="225"/>
  <c r="F26" i="225"/>
  <c r="E26" i="225"/>
  <c r="D26" i="225"/>
  <c r="C26" i="225"/>
  <c r="B26" i="225"/>
  <c r="M25" i="225"/>
  <c r="L25" i="225"/>
  <c r="K25" i="225"/>
  <c r="J25" i="225"/>
  <c r="I25" i="225"/>
  <c r="H25" i="225"/>
  <c r="G25" i="225"/>
  <c r="F25" i="225"/>
  <c r="E25" i="225"/>
  <c r="D25" i="225"/>
  <c r="C25" i="225"/>
  <c r="B25" i="225"/>
  <c r="M24" i="225"/>
  <c r="L24" i="225"/>
  <c r="K24" i="225"/>
  <c r="J24" i="225"/>
  <c r="I24" i="225"/>
  <c r="H24" i="225"/>
  <c r="G24" i="225"/>
  <c r="F24" i="225"/>
  <c r="E24" i="225"/>
  <c r="D24" i="225"/>
  <c r="C24" i="225"/>
  <c r="B24" i="225"/>
  <c r="M23" i="225"/>
  <c r="L23" i="225"/>
  <c r="K23" i="225"/>
  <c r="J23" i="225"/>
  <c r="I23" i="225"/>
  <c r="I27" i="225" s="1"/>
  <c r="H23" i="225"/>
  <c r="H27" i="225" s="1"/>
  <c r="G23" i="225"/>
  <c r="F23" i="225"/>
  <c r="F27" i="225" s="1"/>
  <c r="E23" i="225"/>
  <c r="D23" i="225"/>
  <c r="D27" i="225" s="1"/>
  <c r="C23" i="225"/>
  <c r="C27" i="225" s="1"/>
  <c r="B23" i="225"/>
  <c r="M20" i="225"/>
  <c r="L20" i="225"/>
  <c r="K20" i="225"/>
  <c r="J20" i="225"/>
  <c r="I20" i="225"/>
  <c r="H20" i="225"/>
  <c r="G20" i="225"/>
  <c r="F20" i="225"/>
  <c r="E20" i="225"/>
  <c r="D20" i="225"/>
  <c r="C20" i="225"/>
  <c r="B20" i="225"/>
  <c r="N19" i="225"/>
  <c r="N17" i="225"/>
  <c r="N16" i="225"/>
  <c r="N11" i="225"/>
  <c r="M9" i="225"/>
  <c r="M13" i="225" s="1"/>
  <c r="L9" i="225"/>
  <c r="L13" i="225" s="1"/>
  <c r="K9" i="225"/>
  <c r="K13" i="225" s="1"/>
  <c r="J9" i="225"/>
  <c r="J13" i="225" s="1"/>
  <c r="I9" i="225"/>
  <c r="I13" i="225" s="1"/>
  <c r="H9" i="225"/>
  <c r="H13" i="225" s="1"/>
  <c r="G9" i="225"/>
  <c r="G13" i="225" s="1"/>
  <c r="F9" i="225"/>
  <c r="F13" i="225" s="1"/>
  <c r="E9" i="225"/>
  <c r="E13" i="225" s="1"/>
  <c r="D9" i="225"/>
  <c r="D13" i="225" s="1"/>
  <c r="C9" i="225"/>
  <c r="C13" i="225" s="1"/>
  <c r="B9" i="225"/>
  <c r="B13" i="225" s="1"/>
  <c r="N8" i="225"/>
  <c r="N7" i="225"/>
  <c r="N6" i="225"/>
  <c r="N5" i="225"/>
  <c r="N4" i="225"/>
  <c r="L63" i="232" l="1"/>
  <c r="K73" i="232"/>
  <c r="K64" i="232"/>
  <c r="K74" i="232" s="1"/>
  <c r="J63" i="231"/>
  <c r="I73" i="231"/>
  <c r="I64" i="231"/>
  <c r="I74" i="231" s="1"/>
  <c r="I63" i="230"/>
  <c r="H73" i="230"/>
  <c r="H64" i="230"/>
  <c r="H74" i="230" s="1"/>
  <c r="F63" i="229"/>
  <c r="E73" i="229"/>
  <c r="E64" i="229"/>
  <c r="E74" i="229" s="1"/>
  <c r="D63" i="228"/>
  <c r="C73" i="228"/>
  <c r="C64" i="228"/>
  <c r="C74" i="228" s="1"/>
  <c r="D63" i="227"/>
  <c r="C73" i="227"/>
  <c r="C64" i="227"/>
  <c r="C74" i="227" s="1"/>
  <c r="P9" i="226"/>
  <c r="K27" i="225"/>
  <c r="K28" i="225" s="1"/>
  <c r="B27" i="225"/>
  <c r="N25" i="225"/>
  <c r="N48" i="226"/>
  <c r="N61" i="226" s="1"/>
  <c r="N62" i="226" s="1"/>
  <c r="D50" i="226"/>
  <c r="M50" i="226"/>
  <c r="L50" i="226"/>
  <c r="F72" i="226"/>
  <c r="K61" i="226"/>
  <c r="K62" i="226" s="1"/>
  <c r="K72" i="226" s="1"/>
  <c r="C50" i="226"/>
  <c r="E50" i="226"/>
  <c r="N27" i="226"/>
  <c r="N28" i="226" s="1"/>
  <c r="B50" i="226"/>
  <c r="B61" i="226"/>
  <c r="B62" i="226" s="1"/>
  <c r="I61" i="226"/>
  <c r="I62" i="226" s="1"/>
  <c r="I72" i="226" s="1"/>
  <c r="H61" i="226"/>
  <c r="H62" i="226" s="1"/>
  <c r="H72" i="226" s="1"/>
  <c r="J50" i="226"/>
  <c r="G50" i="226"/>
  <c r="N34" i="225"/>
  <c r="D48" i="225"/>
  <c r="D61" i="225" s="1"/>
  <c r="D62" i="225" s="1"/>
  <c r="D72" i="225" s="1"/>
  <c r="B48" i="225"/>
  <c r="B50" i="225" s="1"/>
  <c r="C48" i="225"/>
  <c r="C50" i="225" s="1"/>
  <c r="I48" i="225"/>
  <c r="I50" i="225" s="1"/>
  <c r="G27" i="225"/>
  <c r="G28" i="225" s="1"/>
  <c r="G48" i="225"/>
  <c r="G61" i="225" s="1"/>
  <c r="B28" i="225"/>
  <c r="N26" i="225"/>
  <c r="C28" i="225"/>
  <c r="J27" i="225"/>
  <c r="J28" i="225" s="1"/>
  <c r="D28" i="225"/>
  <c r="H28" i="225"/>
  <c r="E27" i="225"/>
  <c r="E28" i="225" s="1"/>
  <c r="N9" i="225"/>
  <c r="N13" i="225" s="1"/>
  <c r="F28" i="225"/>
  <c r="I28" i="225"/>
  <c r="N23" i="225"/>
  <c r="N58" i="225"/>
  <c r="E48" i="225"/>
  <c r="E61" i="225" s="1"/>
  <c r="E62" i="225" s="1"/>
  <c r="E72" i="225" s="1"/>
  <c r="N20" i="225"/>
  <c r="F48" i="225"/>
  <c r="F61" i="225" s="1"/>
  <c r="F62" i="225" s="1"/>
  <c r="F72" i="225" s="1"/>
  <c r="L27" i="225"/>
  <c r="L28" i="225" s="1"/>
  <c r="L48" i="225"/>
  <c r="L61" i="225" s="1"/>
  <c r="L62" i="225" s="1"/>
  <c r="L72" i="225" s="1"/>
  <c r="M48" i="225"/>
  <c r="M61" i="225" s="1"/>
  <c r="M62" i="225" s="1"/>
  <c r="M72" i="225" s="1"/>
  <c r="M27" i="225"/>
  <c r="M28" i="225" s="1"/>
  <c r="P41" i="225"/>
  <c r="J48" i="225"/>
  <c r="J61" i="225" s="1"/>
  <c r="J62" i="225" s="1"/>
  <c r="J72" i="225" s="1"/>
  <c r="K48" i="225"/>
  <c r="K61" i="225" s="1"/>
  <c r="K62" i="225" s="1"/>
  <c r="K72" i="225" s="1"/>
  <c r="H48" i="225"/>
  <c r="H50" i="225" s="1"/>
  <c r="G50" i="225"/>
  <c r="G62" i="225"/>
  <c r="G72" i="225" s="1"/>
  <c r="N24" i="225"/>
  <c r="N38" i="225"/>
  <c r="N42" i="225" s="1"/>
  <c r="P16" i="225"/>
  <c r="D9" i="224"/>
  <c r="M63" i="232" l="1"/>
  <c r="L73" i="232"/>
  <c r="L64" i="232"/>
  <c r="L74" i="232" s="1"/>
  <c r="J73" i="231"/>
  <c r="J64" i="231"/>
  <c r="J74" i="231" s="1"/>
  <c r="K63" i="231"/>
  <c r="J63" i="230"/>
  <c r="I73" i="230"/>
  <c r="I64" i="230"/>
  <c r="I74" i="230" s="1"/>
  <c r="G63" i="229"/>
  <c r="F73" i="229"/>
  <c r="F64" i="229"/>
  <c r="F74" i="229" s="1"/>
  <c r="D73" i="228"/>
  <c r="D64" i="228"/>
  <c r="D74" i="228" s="1"/>
  <c r="E63" i="228"/>
  <c r="D73" i="227"/>
  <c r="D64" i="227"/>
  <c r="D74" i="227" s="1"/>
  <c r="E63" i="227"/>
  <c r="P27" i="226"/>
  <c r="N50" i="226"/>
  <c r="P50" i="226" s="1"/>
  <c r="P52" i="226" s="1"/>
  <c r="B72" i="226"/>
  <c r="B63" i="226"/>
  <c r="C61" i="225"/>
  <c r="C62" i="225" s="1"/>
  <c r="C72" i="225" s="1"/>
  <c r="D50" i="225"/>
  <c r="B61" i="225"/>
  <c r="B62" i="225" s="1"/>
  <c r="B63" i="225" s="1"/>
  <c r="I61" i="225"/>
  <c r="I62" i="225" s="1"/>
  <c r="I72" i="225" s="1"/>
  <c r="J50" i="225"/>
  <c r="F50" i="225"/>
  <c r="N48" i="225"/>
  <c r="N61" i="225" s="1"/>
  <c r="N62" i="225" s="1"/>
  <c r="E50" i="225"/>
  <c r="N27" i="225"/>
  <c r="N28" i="225" s="1"/>
  <c r="P9" i="225"/>
  <c r="M50" i="225"/>
  <c r="L50" i="225"/>
  <c r="H61" i="225"/>
  <c r="H62" i="225" s="1"/>
  <c r="H72" i="225" s="1"/>
  <c r="K50" i="225"/>
  <c r="F85" i="224"/>
  <c r="F84" i="224"/>
  <c r="N73" i="224"/>
  <c r="B68" i="224"/>
  <c r="C68" i="224" s="1"/>
  <c r="D68" i="224" s="1"/>
  <c r="E68" i="224" s="1"/>
  <c r="F68" i="224" s="1"/>
  <c r="G68" i="224" s="1"/>
  <c r="H68" i="224" s="1"/>
  <c r="I68" i="224" s="1"/>
  <c r="J68" i="224" s="1"/>
  <c r="K68" i="224" s="1"/>
  <c r="L68" i="224" s="1"/>
  <c r="M68" i="224" s="1"/>
  <c r="M58" i="224"/>
  <c r="L58" i="224"/>
  <c r="K58" i="224"/>
  <c r="J58" i="224"/>
  <c r="I58" i="224"/>
  <c r="H58" i="224"/>
  <c r="G58" i="224"/>
  <c r="F58" i="224"/>
  <c r="E58" i="224"/>
  <c r="D58" i="224"/>
  <c r="C58" i="224"/>
  <c r="B58" i="224"/>
  <c r="N57" i="224"/>
  <c r="N56" i="224"/>
  <c r="N55" i="224"/>
  <c r="N54" i="224"/>
  <c r="N53" i="224"/>
  <c r="M46" i="224"/>
  <c r="L46" i="224"/>
  <c r="K46" i="224"/>
  <c r="J46" i="224"/>
  <c r="I46" i="224"/>
  <c r="H46" i="224"/>
  <c r="G46" i="224"/>
  <c r="F46" i="224"/>
  <c r="E46" i="224"/>
  <c r="D46" i="224"/>
  <c r="C46" i="224"/>
  <c r="B46" i="224"/>
  <c r="N45" i="224"/>
  <c r="N44" i="224"/>
  <c r="N41" i="224"/>
  <c r="N40" i="224"/>
  <c r="N39" i="224"/>
  <c r="N37" i="224"/>
  <c r="M34" i="224"/>
  <c r="M38" i="224" s="1"/>
  <c r="M42" i="224" s="1"/>
  <c r="L34" i="224"/>
  <c r="L38" i="224" s="1"/>
  <c r="L42" i="224" s="1"/>
  <c r="K34" i="224"/>
  <c r="K38" i="224" s="1"/>
  <c r="K42" i="224" s="1"/>
  <c r="J34" i="224"/>
  <c r="J38" i="224" s="1"/>
  <c r="J42" i="224" s="1"/>
  <c r="I34" i="224"/>
  <c r="I38" i="224" s="1"/>
  <c r="I42" i="224" s="1"/>
  <c r="H34" i="224"/>
  <c r="H38" i="224" s="1"/>
  <c r="H42" i="224" s="1"/>
  <c r="G34" i="224"/>
  <c r="G38" i="224" s="1"/>
  <c r="G42" i="224" s="1"/>
  <c r="F34" i="224"/>
  <c r="F38" i="224" s="1"/>
  <c r="F42" i="224" s="1"/>
  <c r="E34" i="224"/>
  <c r="E38" i="224" s="1"/>
  <c r="E42" i="224" s="1"/>
  <c r="D34" i="224"/>
  <c r="D38" i="224" s="1"/>
  <c r="D42" i="224" s="1"/>
  <c r="C34" i="224"/>
  <c r="C38" i="224" s="1"/>
  <c r="C42" i="224" s="1"/>
  <c r="B34" i="224"/>
  <c r="B38" i="224" s="1"/>
  <c r="B42" i="224" s="1"/>
  <c r="N33" i="224"/>
  <c r="N32" i="224"/>
  <c r="N31" i="224"/>
  <c r="N30" i="224"/>
  <c r="M26" i="224"/>
  <c r="L26" i="224"/>
  <c r="K26" i="224"/>
  <c r="J26" i="224"/>
  <c r="I26" i="224"/>
  <c r="H26" i="224"/>
  <c r="G26" i="224"/>
  <c r="F26" i="224"/>
  <c r="E26" i="224"/>
  <c r="D26" i="224"/>
  <c r="C26" i="224"/>
  <c r="B26" i="224"/>
  <c r="M25" i="224"/>
  <c r="L25" i="224"/>
  <c r="K25" i="224"/>
  <c r="J25" i="224"/>
  <c r="I25" i="224"/>
  <c r="H25" i="224"/>
  <c r="G25" i="224"/>
  <c r="F25" i="224"/>
  <c r="E25" i="224"/>
  <c r="D25" i="224"/>
  <c r="C25" i="224"/>
  <c r="B25" i="224"/>
  <c r="M24" i="224"/>
  <c r="L24" i="224"/>
  <c r="K24" i="224"/>
  <c r="J24" i="224"/>
  <c r="I24" i="224"/>
  <c r="H24" i="224"/>
  <c r="G24" i="224"/>
  <c r="F24" i="224"/>
  <c r="E24" i="224"/>
  <c r="D24" i="224"/>
  <c r="C24" i="224"/>
  <c r="B24" i="224"/>
  <c r="M23" i="224"/>
  <c r="L23" i="224"/>
  <c r="L27" i="224" s="1"/>
  <c r="K23" i="224"/>
  <c r="J23" i="224"/>
  <c r="I23" i="224"/>
  <c r="H23" i="224"/>
  <c r="G23" i="224"/>
  <c r="G27" i="224" s="1"/>
  <c r="F23" i="224"/>
  <c r="F27" i="224" s="1"/>
  <c r="E23" i="224"/>
  <c r="E27" i="224" s="1"/>
  <c r="D23" i="224"/>
  <c r="C23" i="224"/>
  <c r="C27" i="224" s="1"/>
  <c r="B23" i="224"/>
  <c r="M20" i="224"/>
  <c r="L20" i="224"/>
  <c r="L48" i="224" s="1"/>
  <c r="K20" i="224"/>
  <c r="J20" i="224"/>
  <c r="I20" i="224"/>
  <c r="H20" i="224"/>
  <c r="G20" i="224"/>
  <c r="F20" i="224"/>
  <c r="E20" i="224"/>
  <c r="D20" i="224"/>
  <c r="C20" i="224"/>
  <c r="B20" i="224"/>
  <c r="N19" i="224"/>
  <c r="N17" i="224"/>
  <c r="N16" i="224"/>
  <c r="N11" i="224"/>
  <c r="M9" i="224"/>
  <c r="M13" i="224" s="1"/>
  <c r="L9" i="224"/>
  <c r="L13" i="224" s="1"/>
  <c r="K9" i="224"/>
  <c r="K13" i="224" s="1"/>
  <c r="J9" i="224"/>
  <c r="J13" i="224" s="1"/>
  <c r="I9" i="224"/>
  <c r="I13" i="224" s="1"/>
  <c r="H9" i="224"/>
  <c r="H13" i="224" s="1"/>
  <c r="G9" i="224"/>
  <c r="G13" i="224" s="1"/>
  <c r="F9" i="224"/>
  <c r="F13" i="224" s="1"/>
  <c r="E9" i="224"/>
  <c r="E13" i="224" s="1"/>
  <c r="D13" i="224"/>
  <c r="C9" i="224"/>
  <c r="C13" i="224" s="1"/>
  <c r="B9" i="224"/>
  <c r="B13" i="224" s="1"/>
  <c r="N8" i="224"/>
  <c r="N7" i="224"/>
  <c r="N6" i="224"/>
  <c r="N5" i="224"/>
  <c r="N4" i="224"/>
  <c r="I27" i="224" l="1"/>
  <c r="M73" i="232"/>
  <c r="M64" i="232"/>
  <c r="M74" i="232" s="1"/>
  <c r="L63" i="231"/>
  <c r="K73" i="231"/>
  <c r="K64" i="231"/>
  <c r="K74" i="231" s="1"/>
  <c r="J73" i="230"/>
  <c r="J64" i="230"/>
  <c r="J74" i="230" s="1"/>
  <c r="K63" i="230"/>
  <c r="F48" i="224"/>
  <c r="F50" i="224" s="1"/>
  <c r="N20" i="224"/>
  <c r="G28" i="224"/>
  <c r="H63" i="229"/>
  <c r="I63" i="229" s="1"/>
  <c r="G73" i="229"/>
  <c r="G64" i="229"/>
  <c r="G74" i="229" s="1"/>
  <c r="F63" i="228"/>
  <c r="E73" i="228"/>
  <c r="E64" i="228"/>
  <c r="E74" i="228" s="1"/>
  <c r="E64" i="227"/>
  <c r="E74" i="227" s="1"/>
  <c r="F63" i="227"/>
  <c r="E73" i="227"/>
  <c r="N46" i="224"/>
  <c r="C63" i="226"/>
  <c r="B73" i="226"/>
  <c r="B64" i="226"/>
  <c r="B74" i="226" s="1"/>
  <c r="B72" i="225"/>
  <c r="N50" i="225"/>
  <c r="P50" i="225" s="1"/>
  <c r="P52" i="225" s="1"/>
  <c r="P27" i="225"/>
  <c r="C63" i="225"/>
  <c r="B73" i="225"/>
  <c r="B64" i="225"/>
  <c r="B74" i="225" s="1"/>
  <c r="G48" i="224"/>
  <c r="G61" i="224" s="1"/>
  <c r="G62" i="224" s="1"/>
  <c r="G72" i="224" s="1"/>
  <c r="K48" i="224"/>
  <c r="K61" i="224" s="1"/>
  <c r="K62" i="224" s="1"/>
  <c r="K72" i="224" s="1"/>
  <c r="E28" i="224"/>
  <c r="N58" i="224"/>
  <c r="P41" i="224"/>
  <c r="D48" i="224"/>
  <c r="D50" i="224" s="1"/>
  <c r="I28" i="224"/>
  <c r="L28" i="224"/>
  <c r="N24" i="224"/>
  <c r="C28" i="224"/>
  <c r="N9" i="224"/>
  <c r="P9" i="224" s="1"/>
  <c r="F28" i="224"/>
  <c r="D27" i="224"/>
  <c r="D28" i="224" s="1"/>
  <c r="C48" i="224"/>
  <c r="C61" i="224" s="1"/>
  <c r="C62" i="224" s="1"/>
  <c r="C72" i="224" s="1"/>
  <c r="N25" i="224"/>
  <c r="N34" i="224"/>
  <c r="H27" i="224"/>
  <c r="H28" i="224" s="1"/>
  <c r="K27" i="224"/>
  <c r="K28" i="224" s="1"/>
  <c r="M48" i="224"/>
  <c r="M61" i="224" s="1"/>
  <c r="M62" i="224" s="1"/>
  <c r="M72" i="224" s="1"/>
  <c r="N26" i="224"/>
  <c r="J48" i="224"/>
  <c r="J61" i="224" s="1"/>
  <c r="J62" i="224" s="1"/>
  <c r="J72" i="224" s="1"/>
  <c r="J27" i="224"/>
  <c r="J28" i="224" s="1"/>
  <c r="E48" i="224"/>
  <c r="E61" i="224" s="1"/>
  <c r="E62" i="224" s="1"/>
  <c r="E72" i="224" s="1"/>
  <c r="N23" i="224"/>
  <c r="M27" i="224"/>
  <c r="M28" i="224" s="1"/>
  <c r="F61" i="224"/>
  <c r="F62" i="224" s="1"/>
  <c r="F72" i="224" s="1"/>
  <c r="H48" i="224"/>
  <c r="H61" i="224" s="1"/>
  <c r="H62" i="224" s="1"/>
  <c r="H72" i="224" s="1"/>
  <c r="I48" i="224"/>
  <c r="I61" i="224" s="1"/>
  <c r="I62" i="224" s="1"/>
  <c r="I72" i="224" s="1"/>
  <c r="L61" i="224"/>
  <c r="L62" i="224" s="1"/>
  <c r="L72" i="224" s="1"/>
  <c r="B48" i="224"/>
  <c r="B50" i="224" s="1"/>
  <c r="L50" i="224"/>
  <c r="N38" i="224"/>
  <c r="N42" i="224" s="1"/>
  <c r="B27" i="224"/>
  <c r="B28" i="224" s="1"/>
  <c r="P16" i="224"/>
  <c r="F85" i="223"/>
  <c r="F84" i="223"/>
  <c r="N73" i="223"/>
  <c r="B68" i="223"/>
  <c r="C68" i="223" s="1"/>
  <c r="D68" i="223" s="1"/>
  <c r="E68" i="223" s="1"/>
  <c r="F68" i="223" s="1"/>
  <c r="G68" i="223" s="1"/>
  <c r="H68" i="223" s="1"/>
  <c r="I68" i="223" s="1"/>
  <c r="J68" i="223" s="1"/>
  <c r="K68" i="223" s="1"/>
  <c r="L68" i="223" s="1"/>
  <c r="M68" i="223" s="1"/>
  <c r="M58" i="223"/>
  <c r="L58" i="223"/>
  <c r="K58" i="223"/>
  <c r="J58" i="223"/>
  <c r="I58" i="223"/>
  <c r="H58" i="223"/>
  <c r="G58" i="223"/>
  <c r="F58" i="223"/>
  <c r="E58" i="223"/>
  <c r="D58" i="223"/>
  <c r="C58" i="223"/>
  <c r="B58" i="223"/>
  <c r="N57" i="223"/>
  <c r="N56" i="223"/>
  <c r="N55" i="223"/>
  <c r="N54" i="223"/>
  <c r="N53" i="223"/>
  <c r="M46" i="223"/>
  <c r="L46" i="223"/>
  <c r="K46" i="223"/>
  <c r="J46" i="223"/>
  <c r="I46" i="223"/>
  <c r="H46" i="223"/>
  <c r="G46" i="223"/>
  <c r="F46" i="223"/>
  <c r="E46" i="223"/>
  <c r="D46" i="223"/>
  <c r="C46" i="223"/>
  <c r="B46" i="223"/>
  <c r="N45" i="223"/>
  <c r="N44" i="223"/>
  <c r="N41" i="223"/>
  <c r="N40" i="223"/>
  <c r="N39" i="223"/>
  <c r="E38" i="223"/>
  <c r="E42" i="223" s="1"/>
  <c r="N37" i="223"/>
  <c r="M34" i="223"/>
  <c r="M38" i="223" s="1"/>
  <c r="M42" i="223" s="1"/>
  <c r="L34" i="223"/>
  <c r="L38" i="223" s="1"/>
  <c r="L42" i="223" s="1"/>
  <c r="K34" i="223"/>
  <c r="K38" i="223" s="1"/>
  <c r="K42" i="223" s="1"/>
  <c r="J34" i="223"/>
  <c r="J38" i="223" s="1"/>
  <c r="J42" i="223" s="1"/>
  <c r="I34" i="223"/>
  <c r="I38" i="223" s="1"/>
  <c r="I42" i="223" s="1"/>
  <c r="H34" i="223"/>
  <c r="H38" i="223" s="1"/>
  <c r="H42" i="223" s="1"/>
  <c r="G34" i="223"/>
  <c r="G38" i="223" s="1"/>
  <c r="G42" i="223" s="1"/>
  <c r="F34" i="223"/>
  <c r="F38" i="223" s="1"/>
  <c r="F42" i="223" s="1"/>
  <c r="E34" i="223"/>
  <c r="D34" i="223"/>
  <c r="D38" i="223" s="1"/>
  <c r="D42" i="223" s="1"/>
  <c r="C34" i="223"/>
  <c r="C38" i="223" s="1"/>
  <c r="C42" i="223" s="1"/>
  <c r="B34" i="223"/>
  <c r="B38" i="223" s="1"/>
  <c r="N33" i="223"/>
  <c r="N32" i="223"/>
  <c r="N31" i="223"/>
  <c r="N30" i="223"/>
  <c r="M26" i="223"/>
  <c r="L26" i="223"/>
  <c r="K26" i="223"/>
  <c r="J26" i="223"/>
  <c r="I26" i="223"/>
  <c r="H26" i="223"/>
  <c r="G26" i="223"/>
  <c r="F26" i="223"/>
  <c r="E26" i="223"/>
  <c r="D26" i="223"/>
  <c r="C26" i="223"/>
  <c r="B26" i="223"/>
  <c r="M25" i="223"/>
  <c r="L25" i="223"/>
  <c r="K25" i="223"/>
  <c r="J25" i="223"/>
  <c r="I25" i="223"/>
  <c r="H25" i="223"/>
  <c r="G25" i="223"/>
  <c r="F25" i="223"/>
  <c r="E25" i="223"/>
  <c r="D25" i="223"/>
  <c r="C25" i="223"/>
  <c r="B25" i="223"/>
  <c r="M24" i="223"/>
  <c r="L24" i="223"/>
  <c r="K24" i="223"/>
  <c r="J24" i="223"/>
  <c r="I24" i="223"/>
  <c r="H24" i="223"/>
  <c r="G24" i="223"/>
  <c r="F24" i="223"/>
  <c r="E24" i="223"/>
  <c r="D24" i="223"/>
  <c r="C24" i="223"/>
  <c r="B24" i="223"/>
  <c r="M23" i="223"/>
  <c r="M27" i="223" s="1"/>
  <c r="L23" i="223"/>
  <c r="L27" i="223" s="1"/>
  <c r="K23" i="223"/>
  <c r="K27" i="223" s="1"/>
  <c r="J23" i="223"/>
  <c r="I23" i="223"/>
  <c r="H23" i="223"/>
  <c r="G23" i="223"/>
  <c r="F23" i="223"/>
  <c r="E23" i="223"/>
  <c r="D23" i="223"/>
  <c r="C23" i="223"/>
  <c r="B23" i="223"/>
  <c r="M20" i="223"/>
  <c r="L20" i="223"/>
  <c r="K20" i="223"/>
  <c r="J20" i="223"/>
  <c r="I20" i="223"/>
  <c r="H20" i="223"/>
  <c r="G20" i="223"/>
  <c r="F20" i="223"/>
  <c r="E20" i="223"/>
  <c r="D20" i="223"/>
  <c r="C20" i="223"/>
  <c r="B20" i="223"/>
  <c r="N19" i="223"/>
  <c r="N17" i="223"/>
  <c r="N16" i="223"/>
  <c r="N11" i="223"/>
  <c r="M9" i="223"/>
  <c r="M13" i="223" s="1"/>
  <c r="L9" i="223"/>
  <c r="L13" i="223" s="1"/>
  <c r="K9" i="223"/>
  <c r="K13" i="223" s="1"/>
  <c r="J9" i="223"/>
  <c r="J13" i="223" s="1"/>
  <c r="I9" i="223"/>
  <c r="I13" i="223" s="1"/>
  <c r="H9" i="223"/>
  <c r="H13" i="223" s="1"/>
  <c r="G9" i="223"/>
  <c r="G13" i="223" s="1"/>
  <c r="F9" i="223"/>
  <c r="F13" i="223" s="1"/>
  <c r="E9" i="223"/>
  <c r="E13" i="223" s="1"/>
  <c r="D9" i="223"/>
  <c r="D13" i="223" s="1"/>
  <c r="C9" i="223"/>
  <c r="C13" i="223" s="1"/>
  <c r="B9" i="223"/>
  <c r="B13" i="223" s="1"/>
  <c r="N8" i="223"/>
  <c r="N7" i="223"/>
  <c r="N6" i="223"/>
  <c r="N5" i="223"/>
  <c r="N4" i="223"/>
  <c r="M63" i="231" l="1"/>
  <c r="L73" i="231"/>
  <c r="L64" i="231"/>
  <c r="L74" i="231" s="1"/>
  <c r="E50" i="224"/>
  <c r="N13" i="224"/>
  <c r="M50" i="224"/>
  <c r="K73" i="230"/>
  <c r="K64" i="230"/>
  <c r="K74" i="230" s="1"/>
  <c r="L63" i="230"/>
  <c r="D48" i="223"/>
  <c r="D61" i="223" s="1"/>
  <c r="D62" i="223" s="1"/>
  <c r="D72" i="223" s="1"/>
  <c r="H73" i="229"/>
  <c r="H64" i="229"/>
  <c r="H74" i="229" s="1"/>
  <c r="F64" i="228"/>
  <c r="F74" i="228" s="1"/>
  <c r="G63" i="228"/>
  <c r="F73" i="228"/>
  <c r="F64" i="227"/>
  <c r="F74" i="227" s="1"/>
  <c r="F73" i="227"/>
  <c r="G63" i="227"/>
  <c r="D61" i="224"/>
  <c r="D62" i="224" s="1"/>
  <c r="D72" i="224" s="1"/>
  <c r="C50" i="224"/>
  <c r="K50" i="224"/>
  <c r="D63" i="226"/>
  <c r="C73" i="226"/>
  <c r="C64" i="226"/>
  <c r="C74" i="226" s="1"/>
  <c r="D63" i="225"/>
  <c r="C73" i="225"/>
  <c r="C64" i="225"/>
  <c r="C74" i="225" s="1"/>
  <c r="G50" i="224"/>
  <c r="H50" i="224"/>
  <c r="B61" i="224"/>
  <c r="B62" i="224" s="1"/>
  <c r="B63" i="224" s="1"/>
  <c r="N48" i="224"/>
  <c r="N61" i="224" s="1"/>
  <c r="N62" i="224" s="1"/>
  <c r="N27" i="224"/>
  <c r="P27" i="224" s="1"/>
  <c r="J50" i="224"/>
  <c r="I50" i="224"/>
  <c r="N46" i="223"/>
  <c r="G48" i="223"/>
  <c r="G50" i="223" s="1"/>
  <c r="L48" i="223"/>
  <c r="L61" i="223" s="1"/>
  <c r="L62" i="223" s="1"/>
  <c r="L72" i="223" s="1"/>
  <c r="I27" i="223"/>
  <c r="I28" i="223" s="1"/>
  <c r="M48" i="223"/>
  <c r="M61" i="223" s="1"/>
  <c r="M62" i="223" s="1"/>
  <c r="M72" i="223" s="1"/>
  <c r="B27" i="223"/>
  <c r="B28" i="223" s="1"/>
  <c r="J27" i="223"/>
  <c r="J28" i="223" s="1"/>
  <c r="N58" i="223"/>
  <c r="E48" i="223"/>
  <c r="E50" i="223" s="1"/>
  <c r="H48" i="223"/>
  <c r="H61" i="223" s="1"/>
  <c r="H62" i="223" s="1"/>
  <c r="H72" i="223" s="1"/>
  <c r="H27" i="223"/>
  <c r="H28" i="223" s="1"/>
  <c r="K48" i="223"/>
  <c r="K50" i="223" s="1"/>
  <c r="C48" i="223"/>
  <c r="C61" i="223" s="1"/>
  <c r="C62" i="223" s="1"/>
  <c r="C72" i="223" s="1"/>
  <c r="N20" i="223"/>
  <c r="E27" i="223"/>
  <c r="E28" i="223" s="1"/>
  <c r="D27" i="223"/>
  <c r="D28" i="223" s="1"/>
  <c r="M28" i="223"/>
  <c r="N9" i="223"/>
  <c r="P9" i="223" s="1"/>
  <c r="K28" i="223"/>
  <c r="L28" i="223"/>
  <c r="N24" i="223"/>
  <c r="N25" i="223"/>
  <c r="N26" i="223"/>
  <c r="F27" i="223"/>
  <c r="F28" i="223" s="1"/>
  <c r="G27" i="223"/>
  <c r="G28" i="223" s="1"/>
  <c r="P41" i="223"/>
  <c r="N34" i="223"/>
  <c r="N23" i="223"/>
  <c r="C27" i="223"/>
  <c r="C28" i="223" s="1"/>
  <c r="I48" i="223"/>
  <c r="I61" i="223" s="1"/>
  <c r="I62" i="223" s="1"/>
  <c r="I72" i="223" s="1"/>
  <c r="J48" i="223"/>
  <c r="J61" i="223" s="1"/>
  <c r="J62" i="223" s="1"/>
  <c r="J72" i="223" s="1"/>
  <c r="B42" i="223"/>
  <c r="B48" i="223" s="1"/>
  <c r="B50" i="223" s="1"/>
  <c r="N38" i="223"/>
  <c r="N42" i="223" s="1"/>
  <c r="D50" i="223"/>
  <c r="F48" i="223"/>
  <c r="F61" i="223" s="1"/>
  <c r="F62" i="223" s="1"/>
  <c r="F72" i="223" s="1"/>
  <c r="P16" i="223"/>
  <c r="G61" i="223" l="1"/>
  <c r="G62" i="223" s="1"/>
  <c r="G72" i="223" s="1"/>
  <c r="M73" i="231"/>
  <c r="M64" i="231"/>
  <c r="M74" i="231" s="1"/>
  <c r="K61" i="223"/>
  <c r="K62" i="223" s="1"/>
  <c r="K72" i="223" s="1"/>
  <c r="M50" i="223"/>
  <c r="M63" i="230"/>
  <c r="L73" i="230"/>
  <c r="L64" i="230"/>
  <c r="L74" i="230" s="1"/>
  <c r="N50" i="224"/>
  <c r="P50" i="224" s="1"/>
  <c r="P52" i="224" s="1"/>
  <c r="J63" i="229"/>
  <c r="I73" i="229"/>
  <c r="I64" i="229"/>
  <c r="I74" i="229" s="1"/>
  <c r="G64" i="228"/>
  <c r="G74" i="228" s="1"/>
  <c r="H63" i="228"/>
  <c r="G73" i="228"/>
  <c r="H63" i="227"/>
  <c r="G73" i="227"/>
  <c r="G64" i="227"/>
  <c r="G74" i="227" s="1"/>
  <c r="B72" i="224"/>
  <c r="D73" i="226"/>
  <c r="D64" i="226"/>
  <c r="D74" i="226" s="1"/>
  <c r="E63" i="226"/>
  <c r="D73" i="225"/>
  <c r="D64" i="225"/>
  <c r="D74" i="225" s="1"/>
  <c r="E63" i="225"/>
  <c r="N28" i="224"/>
  <c r="C63" i="224"/>
  <c r="B73" i="224"/>
  <c r="B64" i="224"/>
  <c r="B74" i="224" s="1"/>
  <c r="C50" i="223"/>
  <c r="N48" i="223"/>
  <c r="N61" i="223" s="1"/>
  <c r="L50" i="223"/>
  <c r="H50" i="223"/>
  <c r="E61" i="223"/>
  <c r="E62" i="223" s="1"/>
  <c r="E72" i="223" s="1"/>
  <c r="I50" i="223"/>
  <c r="N13" i="223"/>
  <c r="N27" i="223"/>
  <c r="P27" i="223" s="1"/>
  <c r="F50" i="223"/>
  <c r="J50" i="223"/>
  <c r="B61" i="223"/>
  <c r="B62" i="223" s="1"/>
  <c r="M73" i="230" l="1"/>
  <c r="M64" i="230"/>
  <c r="M74" i="230" s="1"/>
  <c r="J73" i="229"/>
  <c r="J64" i="229"/>
  <c r="J74" i="229" s="1"/>
  <c r="K63" i="229"/>
  <c r="I63" i="228"/>
  <c r="H73" i="228"/>
  <c r="H64" i="228"/>
  <c r="H74" i="228" s="1"/>
  <c r="I63" i="227"/>
  <c r="H73" i="227"/>
  <c r="H64" i="227"/>
  <c r="H74" i="227" s="1"/>
  <c r="E64" i="226"/>
  <c r="E74" i="226" s="1"/>
  <c r="F63" i="226"/>
  <c r="F64" i="226" s="1"/>
  <c r="E73" i="226"/>
  <c r="E64" i="225"/>
  <c r="E74" i="225" s="1"/>
  <c r="E73" i="225"/>
  <c r="F63" i="225"/>
  <c r="D63" i="224"/>
  <c r="C73" i="224"/>
  <c r="C64" i="224"/>
  <c r="C74" i="224" s="1"/>
  <c r="N62" i="223"/>
  <c r="N50" i="223"/>
  <c r="P50" i="223" s="1"/>
  <c r="P52" i="223" s="1"/>
  <c r="N28" i="223"/>
  <c r="B72" i="223"/>
  <c r="B63" i="223"/>
  <c r="L63" i="229" l="1"/>
  <c r="K73" i="229"/>
  <c r="K64" i="229"/>
  <c r="K74" i="229" s="1"/>
  <c r="J63" i="228"/>
  <c r="I73" i="228"/>
  <c r="I64" i="228"/>
  <c r="I74" i="228" s="1"/>
  <c r="J63" i="227"/>
  <c r="I73" i="227"/>
  <c r="I64" i="227"/>
  <c r="I74" i="227" s="1"/>
  <c r="G63" i="226"/>
  <c r="F73" i="226"/>
  <c r="F74" i="226"/>
  <c r="G63" i="225"/>
  <c r="F73" i="225"/>
  <c r="F64" i="225"/>
  <c r="F74" i="225" s="1"/>
  <c r="D73" i="224"/>
  <c r="D64" i="224"/>
  <c r="D74" i="224" s="1"/>
  <c r="E63" i="224"/>
  <c r="C63" i="223"/>
  <c r="B73" i="223"/>
  <c r="B64" i="223"/>
  <c r="B74" i="223" s="1"/>
  <c r="M63" i="229" l="1"/>
  <c r="L73" i="229"/>
  <c r="L64" i="229"/>
  <c r="L74" i="229" s="1"/>
  <c r="K63" i="228"/>
  <c r="J73" i="228"/>
  <c r="J64" i="228"/>
  <c r="J74" i="228" s="1"/>
  <c r="K63" i="227"/>
  <c r="J73" i="227"/>
  <c r="J64" i="227"/>
  <c r="J74" i="227" s="1"/>
  <c r="H63" i="226"/>
  <c r="G73" i="226"/>
  <c r="G64" i="226"/>
  <c r="G74" i="226" s="1"/>
  <c r="G64" i="225"/>
  <c r="G74" i="225" s="1"/>
  <c r="H63" i="225"/>
  <c r="G73" i="225"/>
  <c r="E64" i="224"/>
  <c r="E74" i="224" s="1"/>
  <c r="E73" i="224"/>
  <c r="F63" i="224"/>
  <c r="D63" i="223"/>
  <c r="C73" i="223"/>
  <c r="C64" i="223"/>
  <c r="C74" i="223" s="1"/>
  <c r="M73" i="229" l="1"/>
  <c r="M64" i="229"/>
  <c r="M74" i="229" s="1"/>
  <c r="L63" i="228"/>
  <c r="K73" i="228"/>
  <c r="K64" i="228"/>
  <c r="K74" i="228" s="1"/>
  <c r="L63" i="227"/>
  <c r="K73" i="227"/>
  <c r="K64" i="227"/>
  <c r="K74" i="227" s="1"/>
  <c r="I63" i="226"/>
  <c r="H73" i="226"/>
  <c r="H64" i="226"/>
  <c r="H74" i="226" s="1"/>
  <c r="I63" i="225"/>
  <c r="H73" i="225"/>
  <c r="H64" i="225"/>
  <c r="H74" i="225" s="1"/>
  <c r="G63" i="224"/>
  <c r="F73" i="224"/>
  <c r="F64" i="224"/>
  <c r="F74" i="224" s="1"/>
  <c r="D64" i="223"/>
  <c r="D74" i="223" s="1"/>
  <c r="E63" i="223"/>
  <c r="D73" i="223"/>
  <c r="M63" i="228" l="1"/>
  <c r="L73" i="228"/>
  <c r="L64" i="228"/>
  <c r="L74" i="228" s="1"/>
  <c r="M63" i="227"/>
  <c r="L73" i="227"/>
  <c r="L64" i="227"/>
  <c r="L74" i="227" s="1"/>
  <c r="J63" i="226"/>
  <c r="I73" i="226"/>
  <c r="I64" i="226"/>
  <c r="I74" i="226" s="1"/>
  <c r="I64" i="225"/>
  <c r="I74" i="225" s="1"/>
  <c r="I73" i="225"/>
  <c r="J63" i="225"/>
  <c r="H63" i="224"/>
  <c r="G73" i="224"/>
  <c r="G64" i="224"/>
  <c r="G74" i="224" s="1"/>
  <c r="F63" i="223"/>
  <c r="E73" i="223"/>
  <c r="E64" i="223"/>
  <c r="E74" i="223" s="1"/>
  <c r="M73" i="228" l="1"/>
  <c r="M64" i="228"/>
  <c r="M74" i="228" s="1"/>
  <c r="M73" i="227"/>
  <c r="M64" i="227"/>
  <c r="M74" i="227" s="1"/>
  <c r="K63" i="226"/>
  <c r="J73" i="226"/>
  <c r="J64" i="226"/>
  <c r="J74" i="226" s="1"/>
  <c r="K63" i="225"/>
  <c r="J73" i="225"/>
  <c r="J64" i="225"/>
  <c r="J74" i="225" s="1"/>
  <c r="I63" i="224"/>
  <c r="H73" i="224"/>
  <c r="H64" i="224"/>
  <c r="H74" i="224" s="1"/>
  <c r="G63" i="223"/>
  <c r="F73" i="223"/>
  <c r="F64" i="223"/>
  <c r="F74" i="223" s="1"/>
  <c r="F85" i="222"/>
  <c r="F84" i="222"/>
  <c r="N73" i="222"/>
  <c r="B68" i="222"/>
  <c r="C68" i="222" s="1"/>
  <c r="D68" i="222" s="1"/>
  <c r="E68" i="222" s="1"/>
  <c r="F68" i="222" s="1"/>
  <c r="G68" i="222" s="1"/>
  <c r="H68" i="222" s="1"/>
  <c r="I68" i="222" s="1"/>
  <c r="J68" i="222" s="1"/>
  <c r="K68" i="222" s="1"/>
  <c r="L68" i="222" s="1"/>
  <c r="M68" i="222" s="1"/>
  <c r="M58" i="222"/>
  <c r="L58" i="222"/>
  <c r="K58" i="222"/>
  <c r="J58" i="222"/>
  <c r="I58" i="222"/>
  <c r="H58" i="222"/>
  <c r="G58" i="222"/>
  <c r="F58" i="222"/>
  <c r="E58" i="222"/>
  <c r="D58" i="222"/>
  <c r="C58" i="222"/>
  <c r="B58" i="222"/>
  <c r="N57" i="222"/>
  <c r="N56" i="222"/>
  <c r="N55" i="222"/>
  <c r="N54" i="222"/>
  <c r="N53" i="222"/>
  <c r="M46" i="222"/>
  <c r="L46" i="222"/>
  <c r="K46" i="222"/>
  <c r="J46" i="222"/>
  <c r="I46" i="222"/>
  <c r="H46" i="222"/>
  <c r="G46" i="222"/>
  <c r="F46" i="222"/>
  <c r="E46" i="222"/>
  <c r="D46" i="222"/>
  <c r="C46" i="222"/>
  <c r="B46" i="222"/>
  <c r="N45" i="222"/>
  <c r="N44" i="222"/>
  <c r="N46" i="222" s="1"/>
  <c r="N41" i="222"/>
  <c r="N40" i="222"/>
  <c r="N39" i="222"/>
  <c r="N37" i="222"/>
  <c r="M34" i="222"/>
  <c r="M38" i="222" s="1"/>
  <c r="M42" i="222" s="1"/>
  <c r="L34" i="222"/>
  <c r="L38" i="222" s="1"/>
  <c r="L42" i="222" s="1"/>
  <c r="K34" i="222"/>
  <c r="K38" i="222" s="1"/>
  <c r="K42" i="222" s="1"/>
  <c r="J34" i="222"/>
  <c r="J38" i="222" s="1"/>
  <c r="J42" i="222" s="1"/>
  <c r="I34" i="222"/>
  <c r="I38" i="222" s="1"/>
  <c r="I42" i="222" s="1"/>
  <c r="H34" i="222"/>
  <c r="H38" i="222" s="1"/>
  <c r="H42" i="222" s="1"/>
  <c r="G34" i="222"/>
  <c r="G38" i="222" s="1"/>
  <c r="G42" i="222" s="1"/>
  <c r="F34" i="222"/>
  <c r="F38" i="222" s="1"/>
  <c r="F42" i="222" s="1"/>
  <c r="E34" i="222"/>
  <c r="E38" i="222" s="1"/>
  <c r="E42" i="222" s="1"/>
  <c r="D34" i="222"/>
  <c r="D38" i="222" s="1"/>
  <c r="D42" i="222" s="1"/>
  <c r="C34" i="222"/>
  <c r="C38" i="222" s="1"/>
  <c r="C42" i="222" s="1"/>
  <c r="B34" i="222"/>
  <c r="B38" i="222" s="1"/>
  <c r="B42" i="222" s="1"/>
  <c r="N33" i="222"/>
  <c r="N32" i="222"/>
  <c r="N31" i="222"/>
  <c r="N30" i="222"/>
  <c r="M26" i="222"/>
  <c r="L26" i="222"/>
  <c r="K26" i="222"/>
  <c r="J26" i="222"/>
  <c r="I26" i="222"/>
  <c r="H26" i="222"/>
  <c r="G26" i="222"/>
  <c r="F26" i="222"/>
  <c r="E26" i="222"/>
  <c r="D26" i="222"/>
  <c r="C26" i="222"/>
  <c r="B26" i="222"/>
  <c r="M25" i="222"/>
  <c r="L25" i="222"/>
  <c r="K25" i="222"/>
  <c r="J25" i="222"/>
  <c r="I25" i="222"/>
  <c r="H25" i="222"/>
  <c r="G25" i="222"/>
  <c r="F25" i="222"/>
  <c r="E25" i="222"/>
  <c r="D25" i="222"/>
  <c r="C25" i="222"/>
  <c r="B25" i="222"/>
  <c r="M24" i="222"/>
  <c r="L24" i="222"/>
  <c r="K24" i="222"/>
  <c r="J24" i="222"/>
  <c r="I24" i="222"/>
  <c r="H24" i="222"/>
  <c r="G24" i="222"/>
  <c r="F24" i="222"/>
  <c r="E24" i="222"/>
  <c r="D24" i="222"/>
  <c r="C24" i="222"/>
  <c r="B24" i="222"/>
  <c r="M23" i="222"/>
  <c r="L23" i="222"/>
  <c r="L27" i="222" s="1"/>
  <c r="K23" i="222"/>
  <c r="K27" i="222" s="1"/>
  <c r="J23" i="222"/>
  <c r="I23" i="222"/>
  <c r="I27" i="222" s="1"/>
  <c r="H23" i="222"/>
  <c r="H27" i="222" s="1"/>
  <c r="G23" i="222"/>
  <c r="G27" i="222" s="1"/>
  <c r="F23" i="222"/>
  <c r="F27" i="222" s="1"/>
  <c r="E23" i="222"/>
  <c r="D23" i="222"/>
  <c r="D27" i="222" s="1"/>
  <c r="C23" i="222"/>
  <c r="C27" i="222" s="1"/>
  <c r="B23" i="222"/>
  <c r="M20" i="222"/>
  <c r="L20" i="222"/>
  <c r="K20" i="222"/>
  <c r="J20" i="222"/>
  <c r="I20" i="222"/>
  <c r="H20" i="222"/>
  <c r="G20" i="222"/>
  <c r="F20" i="222"/>
  <c r="E20" i="222"/>
  <c r="D20" i="222"/>
  <c r="C20" i="222"/>
  <c r="B20" i="222"/>
  <c r="N19" i="222"/>
  <c r="N17" i="222"/>
  <c r="N16" i="222"/>
  <c r="P16" i="222" s="1"/>
  <c r="N11" i="222"/>
  <c r="M9" i="222"/>
  <c r="M13" i="222" s="1"/>
  <c r="L9" i="222"/>
  <c r="L13" i="222" s="1"/>
  <c r="K9" i="222"/>
  <c r="K13" i="222" s="1"/>
  <c r="J9" i="222"/>
  <c r="J13" i="222" s="1"/>
  <c r="I9" i="222"/>
  <c r="I13" i="222" s="1"/>
  <c r="H9" i="222"/>
  <c r="H13" i="222" s="1"/>
  <c r="G9" i="222"/>
  <c r="G13" i="222" s="1"/>
  <c r="F9" i="222"/>
  <c r="F13" i="222" s="1"/>
  <c r="E9" i="222"/>
  <c r="E13" i="222" s="1"/>
  <c r="D9" i="222"/>
  <c r="D13" i="222" s="1"/>
  <c r="C9" i="222"/>
  <c r="C13" i="222" s="1"/>
  <c r="B9" i="222"/>
  <c r="B13" i="222" s="1"/>
  <c r="N8" i="222"/>
  <c r="N7" i="222"/>
  <c r="N6" i="222"/>
  <c r="N5" i="222"/>
  <c r="N4" i="222"/>
  <c r="E27" i="222" l="1"/>
  <c r="M27" i="222"/>
  <c r="C48" i="222"/>
  <c r="C61" i="222" s="1"/>
  <c r="C62" i="222" s="1"/>
  <c r="C72" i="222" s="1"/>
  <c r="L63" i="226"/>
  <c r="K73" i="226"/>
  <c r="K64" i="226"/>
  <c r="K74" i="226" s="1"/>
  <c r="L63" i="225"/>
  <c r="K73" i="225"/>
  <c r="K64" i="225"/>
  <c r="K74" i="225" s="1"/>
  <c r="J63" i="224"/>
  <c r="I73" i="224"/>
  <c r="I64" i="224"/>
  <c r="I74" i="224" s="1"/>
  <c r="H63" i="223"/>
  <c r="G73" i="223"/>
  <c r="G64" i="223"/>
  <c r="G74" i="223" s="1"/>
  <c r="K48" i="222"/>
  <c r="K61" i="222" s="1"/>
  <c r="K62" i="222" s="1"/>
  <c r="K72" i="222" s="1"/>
  <c r="J27" i="222"/>
  <c r="J28" i="222" s="1"/>
  <c r="G48" i="222"/>
  <c r="G61" i="222" s="1"/>
  <c r="N34" i="222"/>
  <c r="N24" i="222"/>
  <c r="N25" i="222"/>
  <c r="N26" i="222"/>
  <c r="F28" i="222"/>
  <c r="P41" i="222"/>
  <c r="B27" i="222"/>
  <c r="B28" i="222" s="1"/>
  <c r="F48" i="222"/>
  <c r="F50" i="222" s="1"/>
  <c r="J48" i="222"/>
  <c r="J61" i="222" s="1"/>
  <c r="J62" i="222" s="1"/>
  <c r="J72" i="222" s="1"/>
  <c r="N9" i="222"/>
  <c r="P9" i="222" s="1"/>
  <c r="C28" i="222"/>
  <c r="G28" i="222"/>
  <c r="K28" i="222"/>
  <c r="D48" i="222"/>
  <c r="D61" i="222" s="1"/>
  <c r="D62" i="222" s="1"/>
  <c r="D72" i="222" s="1"/>
  <c r="H48" i="222"/>
  <c r="H61" i="222" s="1"/>
  <c r="H62" i="222" s="1"/>
  <c r="H72" i="222" s="1"/>
  <c r="L48" i="222"/>
  <c r="L61" i="222" s="1"/>
  <c r="L62" i="222" s="1"/>
  <c r="L72" i="222" s="1"/>
  <c r="D28" i="222"/>
  <c r="H28" i="222"/>
  <c r="L28" i="222"/>
  <c r="B48" i="222"/>
  <c r="B50" i="222" s="1"/>
  <c r="E28" i="222"/>
  <c r="I28" i="222"/>
  <c r="M28" i="222"/>
  <c r="E48" i="222"/>
  <c r="E61" i="222" s="1"/>
  <c r="E62" i="222" s="1"/>
  <c r="E72" i="222" s="1"/>
  <c r="I48" i="222"/>
  <c r="I50" i="222" s="1"/>
  <c r="M48" i="222"/>
  <c r="M50" i="222" s="1"/>
  <c r="N58" i="222"/>
  <c r="J50" i="222"/>
  <c r="G50" i="222"/>
  <c r="G62" i="222"/>
  <c r="G72" i="222" s="1"/>
  <c r="C50" i="222"/>
  <c r="D50" i="222"/>
  <c r="I61" i="222"/>
  <c r="I62" i="222" s="1"/>
  <c r="I72" i="222" s="1"/>
  <c r="N38" i="222"/>
  <c r="N42" i="222" s="1"/>
  <c r="N20" i="222"/>
  <c r="N23" i="222"/>
  <c r="F85" i="221"/>
  <c r="F84" i="221"/>
  <c r="N73" i="221"/>
  <c r="B68" i="221"/>
  <c r="C68" i="221" s="1"/>
  <c r="D68" i="221" s="1"/>
  <c r="E68" i="221" s="1"/>
  <c r="F68" i="221" s="1"/>
  <c r="G68" i="221" s="1"/>
  <c r="H68" i="221" s="1"/>
  <c r="I68" i="221" s="1"/>
  <c r="J68" i="221" s="1"/>
  <c r="K68" i="221" s="1"/>
  <c r="L68" i="221" s="1"/>
  <c r="M68" i="221" s="1"/>
  <c r="M58" i="221"/>
  <c r="L58" i="221"/>
  <c r="K58" i="221"/>
  <c r="J58" i="221"/>
  <c r="I58" i="221"/>
  <c r="H58" i="221"/>
  <c r="G58" i="221"/>
  <c r="F58" i="221"/>
  <c r="E58" i="221"/>
  <c r="D58" i="221"/>
  <c r="C58" i="221"/>
  <c r="B58" i="221"/>
  <c r="N57" i="221"/>
  <c r="N56" i="221"/>
  <c r="N55" i="221"/>
  <c r="N54" i="221"/>
  <c r="N53" i="221"/>
  <c r="M46" i="221"/>
  <c r="L46" i="221"/>
  <c r="K46" i="221"/>
  <c r="J46" i="221"/>
  <c r="I46" i="221"/>
  <c r="H46" i="221"/>
  <c r="G46" i="221"/>
  <c r="F46" i="221"/>
  <c r="E46" i="221"/>
  <c r="D46" i="221"/>
  <c r="C46" i="221"/>
  <c r="B46" i="221"/>
  <c r="N45" i="221"/>
  <c r="N44" i="221"/>
  <c r="N41" i="221"/>
  <c r="N40" i="221"/>
  <c r="N39" i="221"/>
  <c r="N37" i="221"/>
  <c r="M34" i="221"/>
  <c r="M38" i="221" s="1"/>
  <c r="M42" i="221" s="1"/>
  <c r="L34" i="221"/>
  <c r="L38" i="221" s="1"/>
  <c r="L42" i="221" s="1"/>
  <c r="K34" i="221"/>
  <c r="K38" i="221" s="1"/>
  <c r="K42" i="221" s="1"/>
  <c r="J34" i="221"/>
  <c r="J38" i="221" s="1"/>
  <c r="J42" i="221" s="1"/>
  <c r="I34" i="221"/>
  <c r="I38" i="221" s="1"/>
  <c r="I42" i="221" s="1"/>
  <c r="H34" i="221"/>
  <c r="H38" i="221" s="1"/>
  <c r="H42" i="221" s="1"/>
  <c r="G34" i="221"/>
  <c r="G38" i="221" s="1"/>
  <c r="G42" i="221" s="1"/>
  <c r="F34" i="221"/>
  <c r="F38" i="221" s="1"/>
  <c r="F42" i="221" s="1"/>
  <c r="E34" i="221"/>
  <c r="E38" i="221" s="1"/>
  <c r="E42" i="221" s="1"/>
  <c r="D34" i="221"/>
  <c r="D38" i="221" s="1"/>
  <c r="D42" i="221" s="1"/>
  <c r="C34" i="221"/>
  <c r="C38" i="221" s="1"/>
  <c r="C42" i="221" s="1"/>
  <c r="B34" i="221"/>
  <c r="B38" i="221" s="1"/>
  <c r="N33" i="221"/>
  <c r="N32" i="221"/>
  <c r="N31" i="221"/>
  <c r="N30" i="221"/>
  <c r="M26" i="221"/>
  <c r="L26" i="221"/>
  <c r="K26" i="221"/>
  <c r="J26" i="221"/>
  <c r="I26" i="221"/>
  <c r="H26" i="221"/>
  <c r="G26" i="221"/>
  <c r="F26" i="221"/>
  <c r="E26" i="221"/>
  <c r="D26" i="221"/>
  <c r="C26" i="221"/>
  <c r="B26" i="221"/>
  <c r="M25" i="221"/>
  <c r="L25" i="221"/>
  <c r="K25" i="221"/>
  <c r="J25" i="221"/>
  <c r="I25" i="221"/>
  <c r="H25" i="221"/>
  <c r="G25" i="221"/>
  <c r="F25" i="221"/>
  <c r="E25" i="221"/>
  <c r="D25" i="221"/>
  <c r="C25" i="221"/>
  <c r="B25" i="221"/>
  <c r="M24" i="221"/>
  <c r="L24" i="221"/>
  <c r="K24" i="221"/>
  <c r="J24" i="221"/>
  <c r="I24" i="221"/>
  <c r="H24" i="221"/>
  <c r="G24" i="221"/>
  <c r="F24" i="221"/>
  <c r="E24" i="221"/>
  <c r="D24" i="221"/>
  <c r="C24" i="221"/>
  <c r="B24" i="221"/>
  <c r="M23" i="221"/>
  <c r="L23" i="221"/>
  <c r="K23" i="221"/>
  <c r="K27" i="221" s="1"/>
  <c r="J23" i="221"/>
  <c r="J27" i="221" s="1"/>
  <c r="I23" i="221"/>
  <c r="I27" i="221" s="1"/>
  <c r="H23" i="221"/>
  <c r="G23" i="221"/>
  <c r="F23" i="221"/>
  <c r="E23" i="221"/>
  <c r="D23" i="221"/>
  <c r="C23" i="221"/>
  <c r="C27" i="221" s="1"/>
  <c r="B23" i="221"/>
  <c r="B27" i="221" s="1"/>
  <c r="M20" i="221"/>
  <c r="L20" i="221"/>
  <c r="K20" i="221"/>
  <c r="J20" i="221"/>
  <c r="I20" i="221"/>
  <c r="H20" i="221"/>
  <c r="G20" i="221"/>
  <c r="F20" i="221"/>
  <c r="E20" i="221"/>
  <c r="D20" i="221"/>
  <c r="C20" i="221"/>
  <c r="B20" i="221"/>
  <c r="N19" i="221"/>
  <c r="N17" i="221"/>
  <c r="N16" i="221"/>
  <c r="P16" i="221" s="1"/>
  <c r="N11" i="221"/>
  <c r="M9" i="221"/>
  <c r="M13" i="221" s="1"/>
  <c r="L9" i="221"/>
  <c r="L13" i="221" s="1"/>
  <c r="K9" i="221"/>
  <c r="K13" i="221" s="1"/>
  <c r="J9" i="221"/>
  <c r="J13" i="221" s="1"/>
  <c r="I9" i="221"/>
  <c r="I13" i="221" s="1"/>
  <c r="H9" i="221"/>
  <c r="H13" i="221" s="1"/>
  <c r="G9" i="221"/>
  <c r="G13" i="221" s="1"/>
  <c r="F9" i="221"/>
  <c r="F13" i="221" s="1"/>
  <c r="E9" i="221"/>
  <c r="E13" i="221" s="1"/>
  <c r="D9" i="221"/>
  <c r="D13" i="221" s="1"/>
  <c r="C9" i="221"/>
  <c r="C13" i="221" s="1"/>
  <c r="B9" i="221"/>
  <c r="B13" i="221" s="1"/>
  <c r="N8" i="221"/>
  <c r="N7" i="221"/>
  <c r="N6" i="221"/>
  <c r="N5" i="221"/>
  <c r="N4" i="221"/>
  <c r="N27" i="222" l="1"/>
  <c r="P41" i="221"/>
  <c r="M63" i="226"/>
  <c r="L73" i="226"/>
  <c r="L64" i="226"/>
  <c r="L74" i="226" s="1"/>
  <c r="M63" i="225"/>
  <c r="L73" i="225"/>
  <c r="L64" i="225"/>
  <c r="L74" i="225" s="1"/>
  <c r="K63" i="224"/>
  <c r="J73" i="224"/>
  <c r="J64" i="224"/>
  <c r="J74" i="224" s="1"/>
  <c r="I63" i="223"/>
  <c r="H73" i="223"/>
  <c r="H64" i="223"/>
  <c r="H74" i="223" s="1"/>
  <c r="B61" i="222"/>
  <c r="B62" i="222" s="1"/>
  <c r="B72" i="222" s="1"/>
  <c r="L50" i="222"/>
  <c r="K50" i="222"/>
  <c r="N13" i="222"/>
  <c r="M61" i="222"/>
  <c r="M62" i="222" s="1"/>
  <c r="M72" i="222" s="1"/>
  <c r="F61" i="222"/>
  <c r="F62" i="222" s="1"/>
  <c r="F72" i="222" s="1"/>
  <c r="E50" i="222"/>
  <c r="H50" i="222"/>
  <c r="N48" i="222"/>
  <c r="N61" i="222" s="1"/>
  <c r="N62" i="222" s="1"/>
  <c r="P27" i="222"/>
  <c r="N28" i="222"/>
  <c r="G48" i="221"/>
  <c r="G61" i="221" s="1"/>
  <c r="G62" i="221" s="1"/>
  <c r="G72" i="221" s="1"/>
  <c r="L27" i="221"/>
  <c r="D27" i="221"/>
  <c r="D28" i="221" s="1"/>
  <c r="G27" i="221"/>
  <c r="G28" i="221" s="1"/>
  <c r="I28" i="221"/>
  <c r="N20" i="221"/>
  <c r="E27" i="221"/>
  <c r="E28" i="221" s="1"/>
  <c r="F27" i="221"/>
  <c r="F28" i="221" s="1"/>
  <c r="M27" i="221"/>
  <c r="C48" i="221"/>
  <c r="C61" i="221" s="1"/>
  <c r="C62" i="221" s="1"/>
  <c r="C72" i="221" s="1"/>
  <c r="K48" i="221"/>
  <c r="K61" i="221" s="1"/>
  <c r="K62" i="221" s="1"/>
  <c r="K72" i="221" s="1"/>
  <c r="H27" i="221"/>
  <c r="H28" i="221" s="1"/>
  <c r="M48" i="221"/>
  <c r="M61" i="221" s="1"/>
  <c r="M62" i="221" s="1"/>
  <c r="M72" i="221" s="1"/>
  <c r="E48" i="221"/>
  <c r="E61" i="221" s="1"/>
  <c r="E62" i="221" s="1"/>
  <c r="E72" i="221" s="1"/>
  <c r="L28" i="221"/>
  <c r="J48" i="221"/>
  <c r="J50" i="221" s="1"/>
  <c r="M28" i="221"/>
  <c r="B28" i="221"/>
  <c r="J28" i="221"/>
  <c r="N26" i="221"/>
  <c r="C28" i="221"/>
  <c r="K28" i="221"/>
  <c r="D48" i="221"/>
  <c r="D61" i="221" s="1"/>
  <c r="D62" i="221" s="1"/>
  <c r="D72" i="221" s="1"/>
  <c r="H48" i="221"/>
  <c r="H61" i="221" s="1"/>
  <c r="H62" i="221" s="1"/>
  <c r="H72" i="221" s="1"/>
  <c r="L48" i="221"/>
  <c r="L50" i="221" s="1"/>
  <c r="N58" i="221"/>
  <c r="I48" i="221"/>
  <c r="I50" i="221" s="1"/>
  <c r="F48" i="221"/>
  <c r="F61" i="221" s="1"/>
  <c r="F62" i="221" s="1"/>
  <c r="F72" i="221" s="1"/>
  <c r="N34" i="221"/>
  <c r="N9" i="221"/>
  <c r="N24" i="221"/>
  <c r="N25" i="221"/>
  <c r="N38" i="221"/>
  <c r="N42" i="221" s="1"/>
  <c r="N46" i="221"/>
  <c r="N23" i="221"/>
  <c r="B42" i="221"/>
  <c r="B48" i="221" s="1"/>
  <c r="F85" i="220"/>
  <c r="F84" i="220"/>
  <c r="N73" i="220"/>
  <c r="B68" i="220"/>
  <c r="C68" i="220" s="1"/>
  <c r="D68" i="220" s="1"/>
  <c r="E68" i="220" s="1"/>
  <c r="F68" i="220" s="1"/>
  <c r="G68" i="220" s="1"/>
  <c r="H68" i="220" s="1"/>
  <c r="I68" i="220" s="1"/>
  <c r="J68" i="220" s="1"/>
  <c r="K68" i="220" s="1"/>
  <c r="L68" i="220" s="1"/>
  <c r="M68" i="220" s="1"/>
  <c r="M58" i="220"/>
  <c r="L58" i="220"/>
  <c r="K58" i="220"/>
  <c r="J58" i="220"/>
  <c r="I58" i="220"/>
  <c r="H58" i="220"/>
  <c r="G58" i="220"/>
  <c r="F58" i="220"/>
  <c r="E58" i="220"/>
  <c r="D58" i="220"/>
  <c r="C58" i="220"/>
  <c r="B58" i="220"/>
  <c r="N57" i="220"/>
  <c r="N56" i="220"/>
  <c r="N55" i="220"/>
  <c r="N54" i="220"/>
  <c r="N53" i="220"/>
  <c r="L46" i="220"/>
  <c r="K46" i="220"/>
  <c r="J46" i="220"/>
  <c r="I46" i="220"/>
  <c r="H46" i="220"/>
  <c r="G46" i="220"/>
  <c r="F46" i="220"/>
  <c r="E46" i="220"/>
  <c r="D46" i="220"/>
  <c r="C46" i="220"/>
  <c r="B46" i="220"/>
  <c r="N45" i="220"/>
  <c r="M44" i="220"/>
  <c r="M46" i="220" s="1"/>
  <c r="N41" i="220"/>
  <c r="N40" i="220"/>
  <c r="N39" i="220"/>
  <c r="N37" i="220"/>
  <c r="M34" i="220"/>
  <c r="M38" i="220" s="1"/>
  <c r="M42" i="220" s="1"/>
  <c r="L34" i="220"/>
  <c r="L38" i="220" s="1"/>
  <c r="L42" i="220" s="1"/>
  <c r="K34" i="220"/>
  <c r="K38" i="220" s="1"/>
  <c r="K42" i="220" s="1"/>
  <c r="J34" i="220"/>
  <c r="J38" i="220" s="1"/>
  <c r="J42" i="220" s="1"/>
  <c r="I34" i="220"/>
  <c r="I38" i="220" s="1"/>
  <c r="I42" i="220" s="1"/>
  <c r="H34" i="220"/>
  <c r="H38" i="220" s="1"/>
  <c r="H42" i="220" s="1"/>
  <c r="G34" i="220"/>
  <c r="G38" i="220" s="1"/>
  <c r="G42" i="220" s="1"/>
  <c r="F34" i="220"/>
  <c r="F38" i="220" s="1"/>
  <c r="F42" i="220" s="1"/>
  <c r="E34" i="220"/>
  <c r="E38" i="220" s="1"/>
  <c r="E42" i="220" s="1"/>
  <c r="D34" i="220"/>
  <c r="D38" i="220" s="1"/>
  <c r="D42" i="220" s="1"/>
  <c r="C34" i="220"/>
  <c r="C38" i="220" s="1"/>
  <c r="C42" i="220" s="1"/>
  <c r="B34" i="220"/>
  <c r="B38" i="220" s="1"/>
  <c r="N33" i="220"/>
  <c r="N32" i="220"/>
  <c r="N31" i="220"/>
  <c r="N30" i="220"/>
  <c r="M26" i="220"/>
  <c r="L26" i="220"/>
  <c r="K26" i="220"/>
  <c r="J26" i="220"/>
  <c r="I26" i="220"/>
  <c r="H26" i="220"/>
  <c r="G26" i="220"/>
  <c r="F26" i="220"/>
  <c r="E26" i="220"/>
  <c r="D26" i="220"/>
  <c r="C26" i="220"/>
  <c r="B26" i="220"/>
  <c r="M25" i="220"/>
  <c r="L25" i="220"/>
  <c r="K25" i="220"/>
  <c r="J25" i="220"/>
  <c r="I25" i="220"/>
  <c r="H25" i="220"/>
  <c r="G25" i="220"/>
  <c r="F25" i="220"/>
  <c r="E25" i="220"/>
  <c r="D25" i="220"/>
  <c r="C25" i="220"/>
  <c r="B25" i="220"/>
  <c r="M24" i="220"/>
  <c r="L24" i="220"/>
  <c r="K24" i="220"/>
  <c r="J24" i="220"/>
  <c r="I24" i="220"/>
  <c r="H24" i="220"/>
  <c r="G24" i="220"/>
  <c r="F24" i="220"/>
  <c r="E24" i="220"/>
  <c r="D24" i="220"/>
  <c r="C24" i="220"/>
  <c r="B24" i="220"/>
  <c r="M23" i="220"/>
  <c r="M27" i="220" s="1"/>
  <c r="L23" i="220"/>
  <c r="L27" i="220" s="1"/>
  <c r="K23" i="220"/>
  <c r="J23" i="220"/>
  <c r="J27" i="220" s="1"/>
  <c r="I23" i="220"/>
  <c r="H23" i="220"/>
  <c r="H27" i="220" s="1"/>
  <c r="G23" i="220"/>
  <c r="G27" i="220" s="1"/>
  <c r="F23" i="220"/>
  <c r="F27" i="220" s="1"/>
  <c r="E23" i="220"/>
  <c r="E27" i="220" s="1"/>
  <c r="D23" i="220"/>
  <c r="D27" i="220" s="1"/>
  <c r="C23" i="220"/>
  <c r="C27" i="220" s="1"/>
  <c r="B23" i="220"/>
  <c r="B27" i="220" s="1"/>
  <c r="M20" i="220"/>
  <c r="M48" i="220" s="1"/>
  <c r="L20" i="220"/>
  <c r="K20" i="220"/>
  <c r="J20" i="220"/>
  <c r="I20" i="220"/>
  <c r="H20" i="220"/>
  <c r="G20" i="220"/>
  <c r="F20" i="220"/>
  <c r="E20" i="220"/>
  <c r="D20" i="220"/>
  <c r="C20" i="220"/>
  <c r="B20" i="220"/>
  <c r="N19" i="220"/>
  <c r="N17" i="220"/>
  <c r="N16" i="220"/>
  <c r="N11" i="220"/>
  <c r="M9" i="220"/>
  <c r="M13" i="220" s="1"/>
  <c r="L9" i="220"/>
  <c r="L13" i="220" s="1"/>
  <c r="K9" i="220"/>
  <c r="K13" i="220" s="1"/>
  <c r="J9" i="220"/>
  <c r="J13" i="220" s="1"/>
  <c r="I9" i="220"/>
  <c r="I13" i="220" s="1"/>
  <c r="H9" i="220"/>
  <c r="H13" i="220" s="1"/>
  <c r="G9" i="220"/>
  <c r="G13" i="220" s="1"/>
  <c r="F9" i="220"/>
  <c r="F13" i="220" s="1"/>
  <c r="E9" i="220"/>
  <c r="E13" i="220" s="1"/>
  <c r="D9" i="220"/>
  <c r="D13" i="220" s="1"/>
  <c r="C9" i="220"/>
  <c r="C13" i="220" s="1"/>
  <c r="B9" i="220"/>
  <c r="B13" i="220" s="1"/>
  <c r="N8" i="220"/>
  <c r="N7" i="220"/>
  <c r="N6" i="220"/>
  <c r="N5" i="220"/>
  <c r="N4" i="220"/>
  <c r="I27" i="220" l="1"/>
  <c r="H48" i="220"/>
  <c r="L48" i="220"/>
  <c r="N50" i="222"/>
  <c r="P50" i="222" s="1"/>
  <c r="P52" i="222" s="1"/>
  <c r="M73" i="226"/>
  <c r="M64" i="226"/>
  <c r="M74" i="226" s="1"/>
  <c r="M73" i="225"/>
  <c r="M64" i="225"/>
  <c r="M74" i="225" s="1"/>
  <c r="L63" i="224"/>
  <c r="K73" i="224"/>
  <c r="K64" i="224"/>
  <c r="K74" i="224" s="1"/>
  <c r="J63" i="223"/>
  <c r="I73" i="223"/>
  <c r="I64" i="223"/>
  <c r="I74" i="223" s="1"/>
  <c r="B63" i="222"/>
  <c r="B64" i="222" s="1"/>
  <c r="B74" i="222" s="1"/>
  <c r="D28" i="220"/>
  <c r="H28" i="220"/>
  <c r="L28" i="220"/>
  <c r="N13" i="221"/>
  <c r="P9" i="221"/>
  <c r="M50" i="221"/>
  <c r="G50" i="221"/>
  <c r="H50" i="221"/>
  <c r="C50" i="221"/>
  <c r="K50" i="221"/>
  <c r="E50" i="221"/>
  <c r="D48" i="220"/>
  <c r="D61" i="220" s="1"/>
  <c r="D62" i="220" s="1"/>
  <c r="D72" i="220" s="1"/>
  <c r="E48" i="220"/>
  <c r="E50" i="220" s="1"/>
  <c r="I48" i="220"/>
  <c r="I61" i="220" s="1"/>
  <c r="I62" i="220" s="1"/>
  <c r="I72" i="220" s="1"/>
  <c r="L61" i="221"/>
  <c r="L62" i="221" s="1"/>
  <c r="L72" i="221" s="1"/>
  <c r="N48" i="221"/>
  <c r="N61" i="221" s="1"/>
  <c r="N62" i="221" s="1"/>
  <c r="D50" i="221"/>
  <c r="J61" i="221"/>
  <c r="J62" i="221" s="1"/>
  <c r="J72" i="221" s="1"/>
  <c r="B50" i="221"/>
  <c r="B61" i="221"/>
  <c r="B62" i="221" s="1"/>
  <c r="N27" i="221"/>
  <c r="F50" i="221"/>
  <c r="I61" i="221"/>
  <c r="I62" i="221" s="1"/>
  <c r="I72" i="221" s="1"/>
  <c r="D50" i="220"/>
  <c r="K27" i="220"/>
  <c r="K28" i="220" s="1"/>
  <c r="E28" i="220"/>
  <c r="I28" i="220"/>
  <c r="M28" i="220"/>
  <c r="B28" i="220"/>
  <c r="F28" i="220"/>
  <c r="J28" i="220"/>
  <c r="N24" i="220"/>
  <c r="N25" i="220"/>
  <c r="N26" i="220"/>
  <c r="N34" i="220"/>
  <c r="F48" i="220"/>
  <c r="F61" i="220" s="1"/>
  <c r="F62" i="220" s="1"/>
  <c r="F72" i="220" s="1"/>
  <c r="J48" i="220"/>
  <c r="J61" i="220" s="1"/>
  <c r="J62" i="220" s="1"/>
  <c r="J72" i="220" s="1"/>
  <c r="N58" i="220"/>
  <c r="N9" i="220"/>
  <c r="N13" i="220" s="1"/>
  <c r="N20" i="220"/>
  <c r="C48" i="220"/>
  <c r="C61" i="220" s="1"/>
  <c r="C62" i="220" s="1"/>
  <c r="C72" i="220" s="1"/>
  <c r="C28" i="220"/>
  <c r="G28" i="220"/>
  <c r="H50" i="220"/>
  <c r="M50" i="220"/>
  <c r="L50" i="220"/>
  <c r="B42" i="220"/>
  <c r="B48" i="220" s="1"/>
  <c r="B50" i="220" s="1"/>
  <c r="N38" i="220"/>
  <c r="N42" i="220" s="1"/>
  <c r="H61" i="220"/>
  <c r="H62" i="220" s="1"/>
  <c r="H72" i="220" s="1"/>
  <c r="L61" i="220"/>
  <c r="L62" i="220" s="1"/>
  <c r="L72" i="220" s="1"/>
  <c r="F50" i="220"/>
  <c r="J50" i="220"/>
  <c r="G48" i="220"/>
  <c r="G61" i="220" s="1"/>
  <c r="G62" i="220" s="1"/>
  <c r="G72" i="220" s="1"/>
  <c r="K48" i="220"/>
  <c r="K61" i="220" s="1"/>
  <c r="K62" i="220" s="1"/>
  <c r="K72" i="220" s="1"/>
  <c r="M61" i="220"/>
  <c r="M62" i="220" s="1"/>
  <c r="M72" i="220" s="1"/>
  <c r="N44" i="220"/>
  <c r="N46" i="220" s="1"/>
  <c r="N23" i="220"/>
  <c r="F85" i="219"/>
  <c r="F84" i="219"/>
  <c r="N73" i="219"/>
  <c r="B68" i="219"/>
  <c r="C68" i="219" s="1"/>
  <c r="D68" i="219" s="1"/>
  <c r="E68" i="219" s="1"/>
  <c r="F68" i="219" s="1"/>
  <c r="G68" i="219" s="1"/>
  <c r="H68" i="219" s="1"/>
  <c r="I68" i="219" s="1"/>
  <c r="J68" i="219" s="1"/>
  <c r="K68" i="219" s="1"/>
  <c r="L68" i="219" s="1"/>
  <c r="M68" i="219" s="1"/>
  <c r="M58" i="219"/>
  <c r="L58" i="219"/>
  <c r="K58" i="219"/>
  <c r="J58" i="219"/>
  <c r="I58" i="219"/>
  <c r="H58" i="219"/>
  <c r="G58" i="219"/>
  <c r="F58" i="219"/>
  <c r="E58" i="219"/>
  <c r="D58" i="219"/>
  <c r="C58" i="219"/>
  <c r="B58" i="219"/>
  <c r="N57" i="219"/>
  <c r="N56" i="219"/>
  <c r="N55" i="219"/>
  <c r="N54" i="219"/>
  <c r="N53" i="219"/>
  <c r="P53" i="219" s="1"/>
  <c r="L46" i="219"/>
  <c r="K46" i="219"/>
  <c r="J46" i="219"/>
  <c r="I46" i="219"/>
  <c r="H46" i="219"/>
  <c r="G46" i="219"/>
  <c r="F46" i="219"/>
  <c r="E46" i="219"/>
  <c r="D46" i="219"/>
  <c r="C46" i="219"/>
  <c r="B46" i="219"/>
  <c r="N45" i="219"/>
  <c r="M44" i="219"/>
  <c r="M46" i="219" s="1"/>
  <c r="N41" i="219"/>
  <c r="N40" i="219"/>
  <c r="N39" i="219"/>
  <c r="N37" i="219"/>
  <c r="M34" i="219"/>
  <c r="M38" i="219" s="1"/>
  <c r="M42" i="219" s="1"/>
  <c r="L34" i="219"/>
  <c r="L38" i="219" s="1"/>
  <c r="L42" i="219" s="1"/>
  <c r="K34" i="219"/>
  <c r="K38" i="219" s="1"/>
  <c r="K42" i="219" s="1"/>
  <c r="J34" i="219"/>
  <c r="J38" i="219" s="1"/>
  <c r="J42" i="219" s="1"/>
  <c r="I34" i="219"/>
  <c r="I38" i="219" s="1"/>
  <c r="I42" i="219" s="1"/>
  <c r="H34" i="219"/>
  <c r="H38" i="219" s="1"/>
  <c r="H42" i="219" s="1"/>
  <c r="G34" i="219"/>
  <c r="G38" i="219" s="1"/>
  <c r="G42" i="219" s="1"/>
  <c r="F34" i="219"/>
  <c r="F38" i="219" s="1"/>
  <c r="F42" i="219" s="1"/>
  <c r="E34" i="219"/>
  <c r="E38" i="219" s="1"/>
  <c r="E42" i="219" s="1"/>
  <c r="D34" i="219"/>
  <c r="D38" i="219" s="1"/>
  <c r="D42" i="219" s="1"/>
  <c r="C34" i="219"/>
  <c r="C38" i="219" s="1"/>
  <c r="C42" i="219" s="1"/>
  <c r="B34" i="219"/>
  <c r="B38" i="219" s="1"/>
  <c r="N33" i="219"/>
  <c r="N32" i="219"/>
  <c r="N31" i="219"/>
  <c r="N30" i="219"/>
  <c r="M26" i="219"/>
  <c r="L26" i="219"/>
  <c r="K26" i="219"/>
  <c r="J26" i="219"/>
  <c r="I26" i="219"/>
  <c r="H26" i="219"/>
  <c r="G26" i="219"/>
  <c r="F26" i="219"/>
  <c r="E26" i="219"/>
  <c r="D26" i="219"/>
  <c r="C26" i="219"/>
  <c r="B26" i="219"/>
  <c r="M25" i="219"/>
  <c r="L25" i="219"/>
  <c r="K25" i="219"/>
  <c r="J25" i="219"/>
  <c r="I25" i="219"/>
  <c r="H25" i="219"/>
  <c r="G25" i="219"/>
  <c r="F25" i="219"/>
  <c r="E25" i="219"/>
  <c r="D25" i="219"/>
  <c r="C25" i="219"/>
  <c r="B25" i="219"/>
  <c r="M24" i="219"/>
  <c r="L24" i="219"/>
  <c r="K24" i="219"/>
  <c r="J24" i="219"/>
  <c r="I24" i="219"/>
  <c r="H24" i="219"/>
  <c r="G24" i="219"/>
  <c r="F24" i="219"/>
  <c r="E24" i="219"/>
  <c r="D24" i="219"/>
  <c r="C24" i="219"/>
  <c r="B24" i="219"/>
  <c r="M23" i="219"/>
  <c r="M27" i="219" s="1"/>
  <c r="L23" i="219"/>
  <c r="K23" i="219"/>
  <c r="K27" i="219" s="1"/>
  <c r="J23" i="219"/>
  <c r="I23" i="219"/>
  <c r="I27" i="219" s="1"/>
  <c r="H23" i="219"/>
  <c r="G23" i="219"/>
  <c r="F23" i="219"/>
  <c r="E23" i="219"/>
  <c r="E27" i="219" s="1"/>
  <c r="D23" i="219"/>
  <c r="D27" i="219" s="1"/>
  <c r="C23" i="219"/>
  <c r="C27" i="219" s="1"/>
  <c r="B23" i="219"/>
  <c r="B27" i="219" s="1"/>
  <c r="M20" i="219"/>
  <c r="L20" i="219"/>
  <c r="K20" i="219"/>
  <c r="J20" i="219"/>
  <c r="I20" i="219"/>
  <c r="H20" i="219"/>
  <c r="G20" i="219"/>
  <c r="F20" i="219"/>
  <c r="E20" i="219"/>
  <c r="D20" i="219"/>
  <c r="C20" i="219"/>
  <c r="B20" i="219"/>
  <c r="N19" i="219"/>
  <c r="N17" i="219"/>
  <c r="N16" i="219"/>
  <c r="N11" i="219"/>
  <c r="M9" i="219"/>
  <c r="M13" i="219" s="1"/>
  <c r="L9" i="219"/>
  <c r="L13" i="219" s="1"/>
  <c r="K9" i="219"/>
  <c r="K13" i="219" s="1"/>
  <c r="J9" i="219"/>
  <c r="J13" i="219" s="1"/>
  <c r="I9" i="219"/>
  <c r="I13" i="219" s="1"/>
  <c r="H9" i="219"/>
  <c r="H13" i="219" s="1"/>
  <c r="G9" i="219"/>
  <c r="G13" i="219" s="1"/>
  <c r="F9" i="219"/>
  <c r="F13" i="219" s="1"/>
  <c r="E9" i="219"/>
  <c r="E13" i="219" s="1"/>
  <c r="D9" i="219"/>
  <c r="D13" i="219" s="1"/>
  <c r="C9" i="219"/>
  <c r="C13" i="219" s="1"/>
  <c r="B9" i="219"/>
  <c r="B13" i="219" s="1"/>
  <c r="N8" i="219"/>
  <c r="N7" i="219"/>
  <c r="N6" i="219"/>
  <c r="N5" i="219"/>
  <c r="N4" i="219"/>
  <c r="F27" i="219" l="1"/>
  <c r="G27" i="219"/>
  <c r="H27" i="219"/>
  <c r="D48" i="219"/>
  <c r="H48" i="219"/>
  <c r="L48" i="219"/>
  <c r="L61" i="219" s="1"/>
  <c r="L62" i="219" s="1"/>
  <c r="L72" i="219" s="1"/>
  <c r="E61" i="220"/>
  <c r="E62" i="220" s="1"/>
  <c r="E72" i="220" s="1"/>
  <c r="I50" i="220"/>
  <c r="E48" i="219"/>
  <c r="I48" i="219"/>
  <c r="I61" i="219" s="1"/>
  <c r="I62" i="219" s="1"/>
  <c r="I72" i="219" s="1"/>
  <c r="C63" i="222"/>
  <c r="C73" i="222" s="1"/>
  <c r="B73" i="222"/>
  <c r="M63" i="224"/>
  <c r="L73" i="224"/>
  <c r="L64" i="224"/>
  <c r="L74" i="224" s="1"/>
  <c r="J73" i="223"/>
  <c r="J64" i="223"/>
  <c r="J74" i="223" s="1"/>
  <c r="K63" i="223"/>
  <c r="D63" i="222"/>
  <c r="D28" i="219"/>
  <c r="H28" i="219"/>
  <c r="N28" i="221"/>
  <c r="P27" i="221"/>
  <c r="M48" i="219"/>
  <c r="M50" i="219" s="1"/>
  <c r="B72" i="221"/>
  <c r="B63" i="221"/>
  <c r="N50" i="221"/>
  <c r="P50" i="221" s="1"/>
  <c r="P52" i="221" s="1"/>
  <c r="N27" i="220"/>
  <c r="N28" i="220" s="1"/>
  <c r="N48" i="220"/>
  <c r="N61" i="220" s="1"/>
  <c r="N62" i="220" s="1"/>
  <c r="C50" i="220"/>
  <c r="B61" i="220"/>
  <c r="B62" i="220" s="1"/>
  <c r="B63" i="220" s="1"/>
  <c r="G50" i="220"/>
  <c r="K50" i="220"/>
  <c r="L27" i="219"/>
  <c r="L28" i="219" s="1"/>
  <c r="D50" i="219"/>
  <c r="J27" i="219"/>
  <c r="J28" i="219" s="1"/>
  <c r="E28" i="219"/>
  <c r="I28" i="219"/>
  <c r="M28" i="219"/>
  <c r="B28" i="219"/>
  <c r="F28" i="219"/>
  <c r="N24" i="219"/>
  <c r="N25" i="219"/>
  <c r="N26" i="219"/>
  <c r="N34" i="219"/>
  <c r="F48" i="219"/>
  <c r="F61" i="219" s="1"/>
  <c r="F62" i="219" s="1"/>
  <c r="F72" i="219" s="1"/>
  <c r="J48" i="219"/>
  <c r="J61" i="219" s="1"/>
  <c r="J62" i="219" s="1"/>
  <c r="J72" i="219" s="1"/>
  <c r="N58" i="219"/>
  <c r="N9" i="219"/>
  <c r="N13" i="219" s="1"/>
  <c r="N20" i="219"/>
  <c r="C48" i="219"/>
  <c r="C61" i="219" s="1"/>
  <c r="C62" i="219" s="1"/>
  <c r="C72" i="219" s="1"/>
  <c r="C28" i="219"/>
  <c r="G28" i="219"/>
  <c r="K28" i="219"/>
  <c r="H50" i="219"/>
  <c r="I50" i="219"/>
  <c r="D61" i="219"/>
  <c r="D62" i="219" s="1"/>
  <c r="D72" i="219" s="1"/>
  <c r="H61" i="219"/>
  <c r="E50" i="219"/>
  <c r="L50" i="219"/>
  <c r="B42" i="219"/>
  <c r="B48" i="219" s="1"/>
  <c r="B61" i="219" s="1"/>
  <c r="B62" i="219" s="1"/>
  <c r="N38" i="219"/>
  <c r="N42" i="219" s="1"/>
  <c r="G48" i="219"/>
  <c r="G61" i="219" s="1"/>
  <c r="G62" i="219" s="1"/>
  <c r="G72" i="219" s="1"/>
  <c r="K48" i="219"/>
  <c r="K61" i="219" s="1"/>
  <c r="K62" i="219" s="1"/>
  <c r="K72" i="219" s="1"/>
  <c r="E61" i="219"/>
  <c r="E62" i="219" s="1"/>
  <c r="E72" i="219" s="1"/>
  <c r="N44" i="219"/>
  <c r="N46" i="219" s="1"/>
  <c r="Z53" i="219"/>
  <c r="H62" i="219"/>
  <c r="H72" i="219" s="1"/>
  <c r="N23" i="219"/>
  <c r="F85" i="218"/>
  <c r="F84" i="218"/>
  <c r="N73" i="218"/>
  <c r="B68" i="218"/>
  <c r="C68" i="218" s="1"/>
  <c r="D68" i="218" s="1"/>
  <c r="E68" i="218" s="1"/>
  <c r="F68" i="218" s="1"/>
  <c r="G68" i="218" s="1"/>
  <c r="H68" i="218" s="1"/>
  <c r="I68" i="218" s="1"/>
  <c r="J68" i="218" s="1"/>
  <c r="K68" i="218" s="1"/>
  <c r="L68" i="218" s="1"/>
  <c r="M68" i="218" s="1"/>
  <c r="M58" i="218"/>
  <c r="L58" i="218"/>
  <c r="K58" i="218"/>
  <c r="J58" i="218"/>
  <c r="I58" i="218"/>
  <c r="H58" i="218"/>
  <c r="G58" i="218"/>
  <c r="F58" i="218"/>
  <c r="E58" i="218"/>
  <c r="D58" i="218"/>
  <c r="C58" i="218"/>
  <c r="B58" i="218"/>
  <c r="N57" i="218"/>
  <c r="N56" i="218"/>
  <c r="N55" i="218"/>
  <c r="N54" i="218"/>
  <c r="N53" i="218"/>
  <c r="L46" i="218"/>
  <c r="K46" i="218"/>
  <c r="J46" i="218"/>
  <c r="I46" i="218"/>
  <c r="H46" i="218"/>
  <c r="G46" i="218"/>
  <c r="F46" i="218"/>
  <c r="E46" i="218"/>
  <c r="D46" i="218"/>
  <c r="C46" i="218"/>
  <c r="B46" i="218"/>
  <c r="N45" i="218"/>
  <c r="M44" i="218"/>
  <c r="M46" i="218" s="1"/>
  <c r="N41" i="218"/>
  <c r="N40" i="218"/>
  <c r="N39" i="218"/>
  <c r="N37" i="218"/>
  <c r="M34" i="218"/>
  <c r="M38" i="218" s="1"/>
  <c r="M42" i="218" s="1"/>
  <c r="L34" i="218"/>
  <c r="L38" i="218" s="1"/>
  <c r="L42" i="218" s="1"/>
  <c r="K34" i="218"/>
  <c r="K38" i="218" s="1"/>
  <c r="K42" i="218" s="1"/>
  <c r="J34" i="218"/>
  <c r="J38" i="218" s="1"/>
  <c r="J42" i="218" s="1"/>
  <c r="I34" i="218"/>
  <c r="I38" i="218" s="1"/>
  <c r="I42" i="218" s="1"/>
  <c r="H34" i="218"/>
  <c r="H38" i="218" s="1"/>
  <c r="H42" i="218" s="1"/>
  <c r="G34" i="218"/>
  <c r="G38" i="218" s="1"/>
  <c r="G42" i="218" s="1"/>
  <c r="F34" i="218"/>
  <c r="F38" i="218" s="1"/>
  <c r="F42" i="218" s="1"/>
  <c r="E34" i="218"/>
  <c r="E38" i="218" s="1"/>
  <c r="E42" i="218" s="1"/>
  <c r="D34" i="218"/>
  <c r="D38" i="218" s="1"/>
  <c r="D42" i="218" s="1"/>
  <c r="C34" i="218"/>
  <c r="C38" i="218" s="1"/>
  <c r="C42" i="218" s="1"/>
  <c r="B34" i="218"/>
  <c r="B38" i="218" s="1"/>
  <c r="N33" i="218"/>
  <c r="N32" i="218"/>
  <c r="N31" i="218"/>
  <c r="N30" i="218"/>
  <c r="M26" i="218"/>
  <c r="L26" i="218"/>
  <c r="K26" i="218"/>
  <c r="J26" i="218"/>
  <c r="I26" i="218"/>
  <c r="H26" i="218"/>
  <c r="G26" i="218"/>
  <c r="F26" i="218"/>
  <c r="E26" i="218"/>
  <c r="D26" i="218"/>
  <c r="C26" i="218"/>
  <c r="B26" i="218"/>
  <c r="M25" i="218"/>
  <c r="L25" i="218"/>
  <c r="K25" i="218"/>
  <c r="J25" i="218"/>
  <c r="I25" i="218"/>
  <c r="H25" i="218"/>
  <c r="G25" i="218"/>
  <c r="F25" i="218"/>
  <c r="E25" i="218"/>
  <c r="D25" i="218"/>
  <c r="C25" i="218"/>
  <c r="B25" i="218"/>
  <c r="M24" i="218"/>
  <c r="L24" i="218"/>
  <c r="K24" i="218"/>
  <c r="J24" i="218"/>
  <c r="I24" i="218"/>
  <c r="H24" i="218"/>
  <c r="G24" i="218"/>
  <c r="F24" i="218"/>
  <c r="E24" i="218"/>
  <c r="D24" i="218"/>
  <c r="C24" i="218"/>
  <c r="B24" i="218"/>
  <c r="M23" i="218"/>
  <c r="M27" i="218" s="1"/>
  <c r="L23" i="218"/>
  <c r="L27" i="218" s="1"/>
  <c r="K23" i="218"/>
  <c r="K27" i="218" s="1"/>
  <c r="J23" i="218"/>
  <c r="J27" i="218" s="1"/>
  <c r="I23" i="218"/>
  <c r="H23" i="218"/>
  <c r="H27" i="218" s="1"/>
  <c r="G23" i="218"/>
  <c r="G27" i="218" s="1"/>
  <c r="F23" i="218"/>
  <c r="F27" i="218" s="1"/>
  <c r="E23" i="218"/>
  <c r="E27" i="218" s="1"/>
  <c r="D23" i="218"/>
  <c r="D27" i="218" s="1"/>
  <c r="C23" i="218"/>
  <c r="C27" i="218" s="1"/>
  <c r="B23" i="218"/>
  <c r="B27" i="218" s="1"/>
  <c r="M20" i="218"/>
  <c r="L20" i="218"/>
  <c r="K20" i="218"/>
  <c r="J20" i="218"/>
  <c r="I20" i="218"/>
  <c r="H20" i="218"/>
  <c r="G20" i="218"/>
  <c r="F20" i="218"/>
  <c r="E20" i="218"/>
  <c r="D20" i="218"/>
  <c r="C20" i="218"/>
  <c r="B20" i="218"/>
  <c r="N19" i="218"/>
  <c r="N17" i="218"/>
  <c r="N16" i="218"/>
  <c r="N11" i="218"/>
  <c r="M9" i="218"/>
  <c r="M13" i="218" s="1"/>
  <c r="L9" i="218"/>
  <c r="L13" i="218" s="1"/>
  <c r="K9" i="218"/>
  <c r="K13" i="218" s="1"/>
  <c r="J9" i="218"/>
  <c r="J13" i="218" s="1"/>
  <c r="I9" i="218"/>
  <c r="I13" i="218" s="1"/>
  <c r="H9" i="218"/>
  <c r="H13" i="218" s="1"/>
  <c r="G9" i="218"/>
  <c r="G13" i="218" s="1"/>
  <c r="F9" i="218"/>
  <c r="F13" i="218" s="1"/>
  <c r="E9" i="218"/>
  <c r="E13" i="218" s="1"/>
  <c r="D9" i="218"/>
  <c r="D13" i="218" s="1"/>
  <c r="C9" i="218"/>
  <c r="C13" i="218" s="1"/>
  <c r="B9" i="218"/>
  <c r="B13" i="218" s="1"/>
  <c r="N8" i="218"/>
  <c r="N7" i="218"/>
  <c r="N6" i="218"/>
  <c r="N5" i="218"/>
  <c r="N4" i="218"/>
  <c r="I27" i="218" l="1"/>
  <c r="N9" i="218"/>
  <c r="N13" i="218" s="1"/>
  <c r="C64" i="222"/>
  <c r="C74" i="222" s="1"/>
  <c r="E48" i="218"/>
  <c r="I48" i="218"/>
  <c r="I61" i="218" s="1"/>
  <c r="I62" i="218" s="1"/>
  <c r="I72" i="218" s="1"/>
  <c r="M61" i="219"/>
  <c r="M62" i="219" s="1"/>
  <c r="M72" i="219" s="1"/>
  <c r="D48" i="218"/>
  <c r="H48" i="218"/>
  <c r="H61" i="218" s="1"/>
  <c r="H62" i="218" s="1"/>
  <c r="H72" i="218" s="1"/>
  <c r="L48" i="218"/>
  <c r="L50" i="218" s="1"/>
  <c r="M48" i="218"/>
  <c r="M50" i="218" s="1"/>
  <c r="M73" i="224"/>
  <c r="M64" i="224"/>
  <c r="M74" i="224" s="1"/>
  <c r="K73" i="223"/>
  <c r="L63" i="223"/>
  <c r="K64" i="223"/>
  <c r="K74" i="223" s="1"/>
  <c r="D73" i="222"/>
  <c r="D64" i="222"/>
  <c r="D74" i="222" s="1"/>
  <c r="E63" i="222"/>
  <c r="B28" i="218"/>
  <c r="C28" i="218"/>
  <c r="D28" i="218"/>
  <c r="E28" i="218"/>
  <c r="F28" i="218"/>
  <c r="G28" i="218"/>
  <c r="H28" i="218"/>
  <c r="I28" i="218"/>
  <c r="J28" i="218"/>
  <c r="K28" i="218"/>
  <c r="L28" i="218"/>
  <c r="M28" i="218"/>
  <c r="F50" i="219"/>
  <c r="B64" i="221"/>
  <c r="B74" i="221" s="1"/>
  <c r="C63" i="221"/>
  <c r="B73" i="221"/>
  <c r="B72" i="220"/>
  <c r="N50" i="220"/>
  <c r="O50" i="220" s="1"/>
  <c r="C63" i="220"/>
  <c r="B73" i="220"/>
  <c r="B64" i="220"/>
  <c r="B74" i="220" s="1"/>
  <c r="J50" i="219"/>
  <c r="N27" i="219"/>
  <c r="N28" i="219" s="1"/>
  <c r="C50" i="219"/>
  <c r="N48" i="219"/>
  <c r="N61" i="219" s="1"/>
  <c r="N62" i="219" s="1"/>
  <c r="B50" i="219"/>
  <c r="B72" i="219"/>
  <c r="B63" i="219"/>
  <c r="K50" i="219"/>
  <c r="G50" i="219"/>
  <c r="N24" i="218"/>
  <c r="N25" i="218"/>
  <c r="N26" i="218"/>
  <c r="N34" i="218"/>
  <c r="F48" i="218"/>
  <c r="F61" i="218" s="1"/>
  <c r="F62" i="218" s="1"/>
  <c r="F72" i="218" s="1"/>
  <c r="J48" i="218"/>
  <c r="J61" i="218" s="1"/>
  <c r="J62" i="218" s="1"/>
  <c r="J72" i="218" s="1"/>
  <c r="N58" i="218"/>
  <c r="N20" i="218"/>
  <c r="C48" i="218"/>
  <c r="C61" i="218" s="1"/>
  <c r="C62" i="218" s="1"/>
  <c r="C72" i="218" s="1"/>
  <c r="K48" i="218"/>
  <c r="K61" i="218" s="1"/>
  <c r="K62" i="218" s="1"/>
  <c r="K72" i="218" s="1"/>
  <c r="P53" i="218"/>
  <c r="Z53" i="218" s="1"/>
  <c r="I50" i="218"/>
  <c r="B42" i="218"/>
  <c r="B48" i="218" s="1"/>
  <c r="B50" i="218" s="1"/>
  <c r="N38" i="218"/>
  <c r="N42" i="218" s="1"/>
  <c r="D61" i="218"/>
  <c r="D62" i="218" s="1"/>
  <c r="D72" i="218" s="1"/>
  <c r="D50" i="218"/>
  <c r="E50" i="218"/>
  <c r="G48" i="218"/>
  <c r="G61" i="218" s="1"/>
  <c r="G62" i="218" s="1"/>
  <c r="G72" i="218" s="1"/>
  <c r="E61" i="218"/>
  <c r="E62" i="218" s="1"/>
  <c r="E72" i="218" s="1"/>
  <c r="N44" i="218"/>
  <c r="N46" i="218" s="1"/>
  <c r="N23" i="218"/>
  <c r="F85" i="217"/>
  <c r="F84" i="217"/>
  <c r="N73" i="217"/>
  <c r="B68" i="217"/>
  <c r="C68" i="217" s="1"/>
  <c r="D68" i="217" s="1"/>
  <c r="E68" i="217" s="1"/>
  <c r="F68" i="217" s="1"/>
  <c r="G68" i="217" s="1"/>
  <c r="H68" i="217" s="1"/>
  <c r="I68" i="217" s="1"/>
  <c r="J68" i="217" s="1"/>
  <c r="K68" i="217" s="1"/>
  <c r="L68" i="217" s="1"/>
  <c r="M68" i="217" s="1"/>
  <c r="M58" i="217"/>
  <c r="L58" i="217"/>
  <c r="K58" i="217"/>
  <c r="J58" i="217"/>
  <c r="I58" i="217"/>
  <c r="H58" i="217"/>
  <c r="G58" i="217"/>
  <c r="F58" i="217"/>
  <c r="E58" i="217"/>
  <c r="D58" i="217"/>
  <c r="C58" i="217"/>
  <c r="B58" i="217"/>
  <c r="N57" i="217"/>
  <c r="N56" i="217"/>
  <c r="N55" i="217"/>
  <c r="N54" i="217"/>
  <c r="N53" i="217"/>
  <c r="P53" i="217" s="1"/>
  <c r="Z53" i="217" s="1"/>
  <c r="L46" i="217"/>
  <c r="K46" i="217"/>
  <c r="J46" i="217"/>
  <c r="I46" i="217"/>
  <c r="H46" i="217"/>
  <c r="G46" i="217"/>
  <c r="F46" i="217"/>
  <c r="E46" i="217"/>
  <c r="D46" i="217"/>
  <c r="C46" i="217"/>
  <c r="B46" i="217"/>
  <c r="N45" i="217"/>
  <c r="M44" i="217"/>
  <c r="M46" i="217" s="1"/>
  <c r="N41" i="217"/>
  <c r="N40" i="217"/>
  <c r="N39" i="217"/>
  <c r="N37" i="217"/>
  <c r="M34" i="217"/>
  <c r="M38" i="217" s="1"/>
  <c r="M42" i="217" s="1"/>
  <c r="L34" i="217"/>
  <c r="L38" i="217" s="1"/>
  <c r="L42" i="217" s="1"/>
  <c r="K34" i="217"/>
  <c r="K38" i="217" s="1"/>
  <c r="K42" i="217" s="1"/>
  <c r="J34" i="217"/>
  <c r="J38" i="217" s="1"/>
  <c r="J42" i="217" s="1"/>
  <c r="I34" i="217"/>
  <c r="I38" i="217" s="1"/>
  <c r="I42" i="217" s="1"/>
  <c r="H34" i="217"/>
  <c r="H38" i="217" s="1"/>
  <c r="H42" i="217" s="1"/>
  <c r="G34" i="217"/>
  <c r="G38" i="217" s="1"/>
  <c r="G42" i="217" s="1"/>
  <c r="F34" i="217"/>
  <c r="F38" i="217" s="1"/>
  <c r="F42" i="217" s="1"/>
  <c r="E34" i="217"/>
  <c r="E38" i="217" s="1"/>
  <c r="E42" i="217" s="1"/>
  <c r="D34" i="217"/>
  <c r="D38" i="217" s="1"/>
  <c r="D42" i="217" s="1"/>
  <c r="C34" i="217"/>
  <c r="C38" i="217" s="1"/>
  <c r="C42" i="217" s="1"/>
  <c r="B34" i="217"/>
  <c r="B38" i="217" s="1"/>
  <c r="N33" i="217"/>
  <c r="N32" i="217"/>
  <c r="N31" i="217"/>
  <c r="N30" i="217"/>
  <c r="M26" i="217"/>
  <c r="L26" i="217"/>
  <c r="K26" i="217"/>
  <c r="J26" i="217"/>
  <c r="I26" i="217"/>
  <c r="H26" i="217"/>
  <c r="G26" i="217"/>
  <c r="F26" i="217"/>
  <c r="E26" i="217"/>
  <c r="D26" i="217"/>
  <c r="C26" i="217"/>
  <c r="B26" i="217"/>
  <c r="M25" i="217"/>
  <c r="L25" i="217"/>
  <c r="K25" i="217"/>
  <c r="J25" i="217"/>
  <c r="I25" i="217"/>
  <c r="H25" i="217"/>
  <c r="G25" i="217"/>
  <c r="F25" i="217"/>
  <c r="E25" i="217"/>
  <c r="D25" i="217"/>
  <c r="C25" i="217"/>
  <c r="B25" i="217"/>
  <c r="M24" i="217"/>
  <c r="L24" i="217"/>
  <c r="K24" i="217"/>
  <c r="J24" i="217"/>
  <c r="I24" i="217"/>
  <c r="H24" i="217"/>
  <c r="G24" i="217"/>
  <c r="F24" i="217"/>
  <c r="E24" i="217"/>
  <c r="D24" i="217"/>
  <c r="C24" i="217"/>
  <c r="B24" i="217"/>
  <c r="M23" i="217"/>
  <c r="L23" i="217"/>
  <c r="K23" i="217"/>
  <c r="K27" i="217" s="1"/>
  <c r="J23" i="217"/>
  <c r="J27" i="217" s="1"/>
  <c r="I23" i="217"/>
  <c r="I27" i="217" s="1"/>
  <c r="H23" i="217"/>
  <c r="G23" i="217"/>
  <c r="G27" i="217" s="1"/>
  <c r="F23" i="217"/>
  <c r="F27" i="217" s="1"/>
  <c r="E23" i="217"/>
  <c r="E27" i="217" s="1"/>
  <c r="D23" i="217"/>
  <c r="C23" i="217"/>
  <c r="C27" i="217" s="1"/>
  <c r="B23" i="217"/>
  <c r="B27" i="217" s="1"/>
  <c r="M20" i="217"/>
  <c r="L20" i="217"/>
  <c r="K20" i="217"/>
  <c r="J20" i="217"/>
  <c r="I20" i="217"/>
  <c r="H20" i="217"/>
  <c r="G20" i="217"/>
  <c r="F20" i="217"/>
  <c r="E20" i="217"/>
  <c r="D20" i="217"/>
  <c r="C20" i="217"/>
  <c r="B20" i="217"/>
  <c r="N19" i="217"/>
  <c r="N17" i="217"/>
  <c r="N16" i="217"/>
  <c r="N11" i="217"/>
  <c r="M9" i="217"/>
  <c r="M13" i="217" s="1"/>
  <c r="L9" i="217"/>
  <c r="L13" i="217" s="1"/>
  <c r="K9" i="217"/>
  <c r="K13" i="217" s="1"/>
  <c r="J9" i="217"/>
  <c r="J13" i="217" s="1"/>
  <c r="I9" i="217"/>
  <c r="I13" i="217" s="1"/>
  <c r="H9" i="217"/>
  <c r="H13" i="217" s="1"/>
  <c r="G9" i="217"/>
  <c r="G13" i="217" s="1"/>
  <c r="F9" i="217"/>
  <c r="F13" i="217" s="1"/>
  <c r="E9" i="217"/>
  <c r="E13" i="217" s="1"/>
  <c r="D9" i="217"/>
  <c r="D13" i="217" s="1"/>
  <c r="C9" i="217"/>
  <c r="C13" i="217" s="1"/>
  <c r="B9" i="217"/>
  <c r="B13" i="217" s="1"/>
  <c r="N8" i="217"/>
  <c r="N7" i="217"/>
  <c r="N6" i="217"/>
  <c r="N5" i="217"/>
  <c r="N4" i="217"/>
  <c r="D27" i="217" l="1"/>
  <c r="L27" i="217"/>
  <c r="L28" i="217" s="1"/>
  <c r="H50" i="218"/>
  <c r="L61" i="218"/>
  <c r="L62" i="218" s="1"/>
  <c r="L72" i="218" s="1"/>
  <c r="M61" i="218"/>
  <c r="M62" i="218" s="1"/>
  <c r="M72" i="218" s="1"/>
  <c r="F50" i="218"/>
  <c r="D48" i="217"/>
  <c r="D61" i="217" s="1"/>
  <c r="D62" i="217" s="1"/>
  <c r="D72" i="217" s="1"/>
  <c r="L48" i="217"/>
  <c r="L50" i="217" s="1"/>
  <c r="M48" i="217"/>
  <c r="L64" i="223"/>
  <c r="L74" i="223" s="1"/>
  <c r="M63" i="223"/>
  <c r="L73" i="223"/>
  <c r="F63" i="222"/>
  <c r="E73" i="222"/>
  <c r="E64" i="222"/>
  <c r="E74" i="222" s="1"/>
  <c r="D28" i="217"/>
  <c r="D63" i="221"/>
  <c r="C73" i="221"/>
  <c r="C64" i="221"/>
  <c r="C74" i="221" s="1"/>
  <c r="D63" i="220"/>
  <c r="C73" i="220"/>
  <c r="C64" i="220"/>
  <c r="C74" i="220" s="1"/>
  <c r="N50" i="219"/>
  <c r="O50" i="219" s="1"/>
  <c r="C63" i="219"/>
  <c r="B73" i="219"/>
  <c r="B64" i="219"/>
  <c r="B74" i="219" s="1"/>
  <c r="J50" i="218"/>
  <c r="K50" i="218"/>
  <c r="N48" i="218"/>
  <c r="N61" i="218" s="1"/>
  <c r="N62" i="218" s="1"/>
  <c r="N27" i="218"/>
  <c r="N28" i="218" s="1"/>
  <c r="C50" i="218"/>
  <c r="B61" i="218"/>
  <c r="B62" i="218" s="1"/>
  <c r="G50" i="218"/>
  <c r="N20" i="217"/>
  <c r="B28" i="217"/>
  <c r="F28" i="217"/>
  <c r="M27" i="217"/>
  <c r="M28" i="217" s="1"/>
  <c r="C28" i="217"/>
  <c r="G28" i="217"/>
  <c r="K28" i="217"/>
  <c r="H48" i="217"/>
  <c r="H50" i="217" s="1"/>
  <c r="H27" i="217"/>
  <c r="H28" i="217" s="1"/>
  <c r="N9" i="217"/>
  <c r="N13" i="217" s="1"/>
  <c r="C48" i="217"/>
  <c r="C61" i="217" s="1"/>
  <c r="C62" i="217" s="1"/>
  <c r="C72" i="217" s="1"/>
  <c r="K48" i="217"/>
  <c r="K61" i="217" s="1"/>
  <c r="K62" i="217" s="1"/>
  <c r="K72" i="217" s="1"/>
  <c r="E48" i="217"/>
  <c r="E50" i="217" s="1"/>
  <c r="I48" i="217"/>
  <c r="I61" i="217" s="1"/>
  <c r="I62" i="217" s="1"/>
  <c r="I72" i="217" s="1"/>
  <c r="E28" i="217"/>
  <c r="I28" i="217"/>
  <c r="J28" i="217"/>
  <c r="N24" i="217"/>
  <c r="N25" i="217"/>
  <c r="N26" i="217"/>
  <c r="N34" i="217"/>
  <c r="F48" i="217"/>
  <c r="F50" i="217" s="1"/>
  <c r="J48" i="217"/>
  <c r="J61" i="217" s="1"/>
  <c r="J62" i="217" s="1"/>
  <c r="J72" i="217" s="1"/>
  <c r="N58" i="217"/>
  <c r="D50" i="217"/>
  <c r="M50" i="217"/>
  <c r="B42" i="217"/>
  <c r="B48" i="217" s="1"/>
  <c r="B50" i="217" s="1"/>
  <c r="N38" i="217"/>
  <c r="N42" i="217"/>
  <c r="G48" i="217"/>
  <c r="G61" i="217" s="1"/>
  <c r="G62" i="217" s="1"/>
  <c r="G72" i="217" s="1"/>
  <c r="M61" i="217"/>
  <c r="M62" i="217" s="1"/>
  <c r="M72" i="217" s="1"/>
  <c r="N44" i="217"/>
  <c r="N46" i="217" s="1"/>
  <c r="N23" i="217"/>
  <c r="F85" i="216"/>
  <c r="F84" i="216"/>
  <c r="N73" i="216"/>
  <c r="B68" i="216"/>
  <c r="C68" i="216" s="1"/>
  <c r="D68" i="216" s="1"/>
  <c r="E68" i="216" s="1"/>
  <c r="F68" i="216" s="1"/>
  <c r="G68" i="216" s="1"/>
  <c r="H68" i="216" s="1"/>
  <c r="I68" i="216" s="1"/>
  <c r="J68" i="216" s="1"/>
  <c r="K68" i="216" s="1"/>
  <c r="L68" i="216" s="1"/>
  <c r="M68" i="216" s="1"/>
  <c r="M58" i="216"/>
  <c r="L58" i="216"/>
  <c r="K58" i="216"/>
  <c r="J58" i="216"/>
  <c r="I58" i="216"/>
  <c r="H58" i="216"/>
  <c r="G58" i="216"/>
  <c r="F58" i="216"/>
  <c r="E58" i="216"/>
  <c r="D58" i="216"/>
  <c r="C58" i="216"/>
  <c r="B58" i="216"/>
  <c r="N57" i="216"/>
  <c r="N56" i="216"/>
  <c r="N55" i="216"/>
  <c r="N54" i="216"/>
  <c r="N53" i="216"/>
  <c r="L46" i="216"/>
  <c r="K46" i="216"/>
  <c r="J46" i="216"/>
  <c r="I46" i="216"/>
  <c r="H46" i="216"/>
  <c r="G46" i="216"/>
  <c r="F46" i="216"/>
  <c r="E46" i="216"/>
  <c r="D46" i="216"/>
  <c r="C46" i="216"/>
  <c r="B46" i="216"/>
  <c r="N45" i="216"/>
  <c r="M44" i="216"/>
  <c r="M46" i="216" s="1"/>
  <c r="N41" i="216"/>
  <c r="N40" i="216"/>
  <c r="N39" i="216"/>
  <c r="N37" i="216"/>
  <c r="M34" i="216"/>
  <c r="M38" i="216" s="1"/>
  <c r="M42" i="216" s="1"/>
  <c r="L34" i="216"/>
  <c r="L38" i="216" s="1"/>
  <c r="L42" i="216" s="1"/>
  <c r="K34" i="216"/>
  <c r="K38" i="216" s="1"/>
  <c r="K42" i="216" s="1"/>
  <c r="J34" i="216"/>
  <c r="J38" i="216" s="1"/>
  <c r="J42" i="216" s="1"/>
  <c r="I34" i="216"/>
  <c r="I38" i="216" s="1"/>
  <c r="I42" i="216" s="1"/>
  <c r="H34" i="216"/>
  <c r="H38" i="216" s="1"/>
  <c r="H42" i="216" s="1"/>
  <c r="G34" i="216"/>
  <c r="G38" i="216" s="1"/>
  <c r="G42" i="216" s="1"/>
  <c r="F34" i="216"/>
  <c r="F38" i="216" s="1"/>
  <c r="F42" i="216" s="1"/>
  <c r="E34" i="216"/>
  <c r="E38" i="216" s="1"/>
  <c r="E42" i="216" s="1"/>
  <c r="D34" i="216"/>
  <c r="D38" i="216" s="1"/>
  <c r="D42" i="216" s="1"/>
  <c r="C34" i="216"/>
  <c r="C38" i="216" s="1"/>
  <c r="C42" i="216" s="1"/>
  <c r="B34" i="216"/>
  <c r="B38" i="216" s="1"/>
  <c r="N33" i="216"/>
  <c r="N32" i="216"/>
  <c r="N31" i="216"/>
  <c r="N30" i="216"/>
  <c r="M26" i="216"/>
  <c r="L26" i="216"/>
  <c r="K26" i="216"/>
  <c r="J26" i="216"/>
  <c r="I26" i="216"/>
  <c r="H26" i="216"/>
  <c r="G26" i="216"/>
  <c r="F26" i="216"/>
  <c r="E26" i="216"/>
  <c r="D26" i="216"/>
  <c r="C26" i="216"/>
  <c r="B26" i="216"/>
  <c r="M25" i="216"/>
  <c r="L25" i="216"/>
  <c r="K25" i="216"/>
  <c r="J25" i="216"/>
  <c r="I25" i="216"/>
  <c r="H25" i="216"/>
  <c r="G25" i="216"/>
  <c r="F25" i="216"/>
  <c r="E25" i="216"/>
  <c r="D25" i="216"/>
  <c r="C25" i="216"/>
  <c r="B25" i="216"/>
  <c r="M24" i="216"/>
  <c r="L24" i="216"/>
  <c r="K24" i="216"/>
  <c r="J24" i="216"/>
  <c r="I24" i="216"/>
  <c r="H24" i="216"/>
  <c r="G24" i="216"/>
  <c r="F24" i="216"/>
  <c r="E24" i="216"/>
  <c r="D24" i="216"/>
  <c r="C24" i="216"/>
  <c r="B24" i="216"/>
  <c r="M23" i="216"/>
  <c r="M27" i="216" s="1"/>
  <c r="L23" i="216"/>
  <c r="L27" i="216" s="1"/>
  <c r="K23" i="216"/>
  <c r="K27" i="216" s="1"/>
  <c r="J23" i="216"/>
  <c r="J27" i="216" s="1"/>
  <c r="I23" i="216"/>
  <c r="I27" i="216" s="1"/>
  <c r="H23" i="216"/>
  <c r="G23" i="216"/>
  <c r="G27" i="216" s="1"/>
  <c r="F23" i="216"/>
  <c r="F27" i="216" s="1"/>
  <c r="E23" i="216"/>
  <c r="E27" i="216" s="1"/>
  <c r="D23" i="216"/>
  <c r="D27" i="216" s="1"/>
  <c r="C23" i="216"/>
  <c r="C27" i="216" s="1"/>
  <c r="B23" i="216"/>
  <c r="B27" i="216" s="1"/>
  <c r="M20" i="216"/>
  <c r="M48" i="216" s="1"/>
  <c r="L20" i="216"/>
  <c r="L48" i="216" s="1"/>
  <c r="K20" i="216"/>
  <c r="J20" i="216"/>
  <c r="I20" i="216"/>
  <c r="H20" i="216"/>
  <c r="H48" i="216" s="1"/>
  <c r="G20" i="216"/>
  <c r="F20" i="216"/>
  <c r="E20" i="216"/>
  <c r="D20" i="216"/>
  <c r="D48" i="216" s="1"/>
  <c r="C20" i="216"/>
  <c r="B20" i="216"/>
  <c r="N19" i="216"/>
  <c r="N17" i="216"/>
  <c r="N16" i="216"/>
  <c r="N11" i="216"/>
  <c r="M9" i="216"/>
  <c r="M13" i="216" s="1"/>
  <c r="L9" i="216"/>
  <c r="L13" i="216" s="1"/>
  <c r="K9" i="216"/>
  <c r="K13" i="216" s="1"/>
  <c r="J9" i="216"/>
  <c r="J13" i="216" s="1"/>
  <c r="I9" i="216"/>
  <c r="I13" i="216" s="1"/>
  <c r="H9" i="216"/>
  <c r="H13" i="216" s="1"/>
  <c r="G9" i="216"/>
  <c r="G13" i="216" s="1"/>
  <c r="F9" i="216"/>
  <c r="F13" i="216" s="1"/>
  <c r="E9" i="216"/>
  <c r="E13" i="216" s="1"/>
  <c r="D9" i="216"/>
  <c r="D13" i="216" s="1"/>
  <c r="D50" i="216" s="1"/>
  <c r="C9" i="216"/>
  <c r="C13" i="216" s="1"/>
  <c r="B9" i="216"/>
  <c r="B13" i="216" s="1"/>
  <c r="N8" i="216"/>
  <c r="N7" i="216"/>
  <c r="N6" i="216"/>
  <c r="N5" i="216"/>
  <c r="N4" i="216"/>
  <c r="H27" i="216" l="1"/>
  <c r="E61" i="217"/>
  <c r="E62" i="217" s="1"/>
  <c r="E72" i="217" s="1"/>
  <c r="H61" i="217"/>
  <c r="H62" i="217" s="1"/>
  <c r="H72" i="217" s="1"/>
  <c r="E48" i="216"/>
  <c r="I48" i="216"/>
  <c r="I50" i="216" s="1"/>
  <c r="I50" i="217"/>
  <c r="L61" i="217"/>
  <c r="L62" i="217" s="1"/>
  <c r="L72" i="217" s="1"/>
  <c r="N50" i="218"/>
  <c r="O50" i="218" s="1"/>
  <c r="M64" i="223"/>
  <c r="M74" i="223" s="1"/>
  <c r="M73" i="223"/>
  <c r="G63" i="222"/>
  <c r="F73" i="222"/>
  <c r="F64" i="222"/>
  <c r="F74" i="222" s="1"/>
  <c r="C28" i="216"/>
  <c r="D28" i="216"/>
  <c r="H28" i="216"/>
  <c r="L28" i="216"/>
  <c r="D73" i="221"/>
  <c r="D64" i="221"/>
  <c r="D74" i="221" s="1"/>
  <c r="E63" i="221"/>
  <c r="D73" i="220"/>
  <c r="D64" i="220"/>
  <c r="D74" i="220" s="1"/>
  <c r="E63" i="220"/>
  <c r="D63" i="219"/>
  <c r="C73" i="219"/>
  <c r="C64" i="219"/>
  <c r="C74" i="219" s="1"/>
  <c r="B72" i="218"/>
  <c r="B63" i="218"/>
  <c r="N48" i="217"/>
  <c r="N61" i="217" s="1"/>
  <c r="N62" i="217" s="1"/>
  <c r="B61" i="217"/>
  <c r="B62" i="217" s="1"/>
  <c r="B72" i="217" s="1"/>
  <c r="J50" i="217"/>
  <c r="K50" i="217"/>
  <c r="C50" i="217"/>
  <c r="N27" i="217"/>
  <c r="N28" i="217" s="1"/>
  <c r="F61" i="217"/>
  <c r="F62" i="217" s="1"/>
  <c r="F72" i="217" s="1"/>
  <c r="G50" i="217"/>
  <c r="K48" i="216"/>
  <c r="K61" i="216" s="1"/>
  <c r="K62" i="216" s="1"/>
  <c r="K72" i="216" s="1"/>
  <c r="N20" i="216"/>
  <c r="E28" i="216"/>
  <c r="I28" i="216"/>
  <c r="M28" i="216"/>
  <c r="N9" i="216"/>
  <c r="N13" i="216" s="1"/>
  <c r="C48" i="216"/>
  <c r="C61" i="216" s="1"/>
  <c r="C62" i="216" s="1"/>
  <c r="C72" i="216" s="1"/>
  <c r="B28" i="216"/>
  <c r="F28" i="216"/>
  <c r="J28" i="216"/>
  <c r="N24" i="216"/>
  <c r="N25" i="216"/>
  <c r="N26" i="216"/>
  <c r="N34" i="216"/>
  <c r="F48" i="216"/>
  <c r="F50" i="216" s="1"/>
  <c r="J48" i="216"/>
  <c r="J61" i="216" s="1"/>
  <c r="J62" i="216" s="1"/>
  <c r="J72" i="216" s="1"/>
  <c r="N58" i="216"/>
  <c r="G28" i="216"/>
  <c r="K28" i="216"/>
  <c r="P53" i="216"/>
  <c r="Z53" i="216" s="1"/>
  <c r="H50" i="216"/>
  <c r="L50" i="216"/>
  <c r="B42" i="216"/>
  <c r="B48" i="216" s="1"/>
  <c r="B61" i="216" s="1"/>
  <c r="B62" i="216" s="1"/>
  <c r="N38" i="216"/>
  <c r="N42" i="216" s="1"/>
  <c r="D61" i="216"/>
  <c r="D62" i="216" s="1"/>
  <c r="D72" i="216" s="1"/>
  <c r="H61" i="216"/>
  <c r="H62" i="216" s="1"/>
  <c r="H72" i="216" s="1"/>
  <c r="L61" i="216"/>
  <c r="L62" i="216" s="1"/>
  <c r="L72" i="216" s="1"/>
  <c r="E50" i="216"/>
  <c r="M50" i="216"/>
  <c r="G48" i="216"/>
  <c r="G61" i="216" s="1"/>
  <c r="G62" i="216" s="1"/>
  <c r="G72" i="216" s="1"/>
  <c r="E61" i="216"/>
  <c r="E62" i="216" s="1"/>
  <c r="E72" i="216" s="1"/>
  <c r="I61" i="216"/>
  <c r="I62" i="216" s="1"/>
  <c r="I72" i="216" s="1"/>
  <c r="M61" i="216"/>
  <c r="M62" i="216" s="1"/>
  <c r="M72" i="216" s="1"/>
  <c r="N44" i="216"/>
  <c r="N46" i="216" s="1"/>
  <c r="N23" i="216"/>
  <c r="F85" i="215"/>
  <c r="F84" i="215"/>
  <c r="K50" i="216" l="1"/>
  <c r="C50" i="216"/>
  <c r="H63" i="222"/>
  <c r="G73" i="222"/>
  <c r="G64" i="222"/>
  <c r="G74" i="222" s="1"/>
  <c r="F63" i="221"/>
  <c r="E73" i="221"/>
  <c r="E64" i="221"/>
  <c r="E74" i="221" s="1"/>
  <c r="F63" i="220"/>
  <c r="E73" i="220"/>
  <c r="E64" i="220"/>
  <c r="E74" i="220" s="1"/>
  <c r="D73" i="219"/>
  <c r="D64" i="219"/>
  <c r="D74" i="219" s="1"/>
  <c r="E63" i="219"/>
  <c r="C63" i="218"/>
  <c r="B73" i="218"/>
  <c r="B64" i="218"/>
  <c r="B74" i="218" s="1"/>
  <c r="B63" i="217"/>
  <c r="C63" i="217" s="1"/>
  <c r="N50" i="217"/>
  <c r="O50" i="217" s="1"/>
  <c r="B64" i="217"/>
  <c r="B74" i="217" s="1"/>
  <c r="N48" i="216"/>
  <c r="N61" i="216" s="1"/>
  <c r="N62" i="216" s="1"/>
  <c r="N27" i="216"/>
  <c r="N28" i="216" s="1"/>
  <c r="J50" i="216"/>
  <c r="F61" i="216"/>
  <c r="F62" i="216" s="1"/>
  <c r="F72" i="216" s="1"/>
  <c r="B72" i="216"/>
  <c r="B63" i="216"/>
  <c r="B50" i="216"/>
  <c r="G50" i="216"/>
  <c r="N73" i="215"/>
  <c r="B68" i="215"/>
  <c r="C68" i="215" s="1"/>
  <c r="D68" i="215" s="1"/>
  <c r="E68" i="215" s="1"/>
  <c r="F68" i="215" s="1"/>
  <c r="G68" i="215" s="1"/>
  <c r="H68" i="215" s="1"/>
  <c r="I68" i="215" s="1"/>
  <c r="J68" i="215" s="1"/>
  <c r="K68" i="215" s="1"/>
  <c r="L68" i="215" s="1"/>
  <c r="M68" i="215" s="1"/>
  <c r="M58" i="215"/>
  <c r="L58" i="215"/>
  <c r="K58" i="215"/>
  <c r="J58" i="215"/>
  <c r="I58" i="215"/>
  <c r="H58" i="215"/>
  <c r="G58" i="215"/>
  <c r="F58" i="215"/>
  <c r="E58" i="215"/>
  <c r="D58" i="215"/>
  <c r="C58" i="215"/>
  <c r="B58" i="215"/>
  <c r="N57" i="215"/>
  <c r="N56" i="215"/>
  <c r="N55" i="215"/>
  <c r="N54" i="215"/>
  <c r="N53" i="215"/>
  <c r="L46" i="215"/>
  <c r="K46" i="215"/>
  <c r="J46" i="215"/>
  <c r="I46" i="215"/>
  <c r="H46" i="215"/>
  <c r="G46" i="215"/>
  <c r="F46" i="215"/>
  <c r="E46" i="215"/>
  <c r="D46" i="215"/>
  <c r="C46" i="215"/>
  <c r="B46" i="215"/>
  <c r="N45" i="215"/>
  <c r="M44" i="215"/>
  <c r="N41" i="215"/>
  <c r="N40" i="215"/>
  <c r="N39" i="215"/>
  <c r="N37" i="215"/>
  <c r="M34" i="215"/>
  <c r="M38" i="215" s="1"/>
  <c r="M42" i="215" s="1"/>
  <c r="L34" i="215"/>
  <c r="L38" i="215" s="1"/>
  <c r="L42" i="215" s="1"/>
  <c r="K34" i="215"/>
  <c r="K38" i="215" s="1"/>
  <c r="K42" i="215" s="1"/>
  <c r="J34" i="215"/>
  <c r="J38" i="215" s="1"/>
  <c r="J42" i="215" s="1"/>
  <c r="I34" i="215"/>
  <c r="I38" i="215" s="1"/>
  <c r="I42" i="215" s="1"/>
  <c r="H34" i="215"/>
  <c r="H38" i="215" s="1"/>
  <c r="H42" i="215" s="1"/>
  <c r="G34" i="215"/>
  <c r="G38" i="215" s="1"/>
  <c r="G42" i="215" s="1"/>
  <c r="F34" i="215"/>
  <c r="F38" i="215" s="1"/>
  <c r="F42" i="215" s="1"/>
  <c r="E34" i="215"/>
  <c r="E38" i="215" s="1"/>
  <c r="E42" i="215" s="1"/>
  <c r="D34" i="215"/>
  <c r="D38" i="215" s="1"/>
  <c r="D42" i="215" s="1"/>
  <c r="C34" i="215"/>
  <c r="C38" i="215" s="1"/>
  <c r="C42" i="215" s="1"/>
  <c r="B34" i="215"/>
  <c r="B38" i="215" s="1"/>
  <c r="B42" i="215" s="1"/>
  <c r="N33" i="215"/>
  <c r="N32" i="215"/>
  <c r="N31" i="215"/>
  <c r="N30" i="215"/>
  <c r="M26" i="215"/>
  <c r="L26" i="215"/>
  <c r="K26" i="215"/>
  <c r="J26" i="215"/>
  <c r="I26" i="215"/>
  <c r="H26" i="215"/>
  <c r="G26" i="215"/>
  <c r="F26" i="215"/>
  <c r="E26" i="215"/>
  <c r="D26" i="215"/>
  <c r="C26" i="215"/>
  <c r="B26" i="215"/>
  <c r="M25" i="215"/>
  <c r="L25" i="215"/>
  <c r="K25" i="215"/>
  <c r="J25" i="215"/>
  <c r="I25" i="215"/>
  <c r="H25" i="215"/>
  <c r="G25" i="215"/>
  <c r="F25" i="215"/>
  <c r="E25" i="215"/>
  <c r="D25" i="215"/>
  <c r="C25" i="215"/>
  <c r="B25" i="215"/>
  <c r="M24" i="215"/>
  <c r="L24" i="215"/>
  <c r="K24" i="215"/>
  <c r="J24" i="215"/>
  <c r="I24" i="215"/>
  <c r="H24" i="215"/>
  <c r="G24" i="215"/>
  <c r="F24" i="215"/>
  <c r="E24" i="215"/>
  <c r="D24" i="215"/>
  <c r="C24" i="215"/>
  <c r="B24" i="215"/>
  <c r="M23" i="215"/>
  <c r="M27" i="215" s="1"/>
  <c r="L23" i="215"/>
  <c r="L27" i="215" s="1"/>
  <c r="K23" i="215"/>
  <c r="K27" i="215" s="1"/>
  <c r="J23" i="215"/>
  <c r="J27" i="215" s="1"/>
  <c r="I23" i="215"/>
  <c r="I27" i="215" s="1"/>
  <c r="H23" i="215"/>
  <c r="H27" i="215" s="1"/>
  <c r="G23" i="215"/>
  <c r="G27" i="215" s="1"/>
  <c r="F23" i="215"/>
  <c r="E23" i="215"/>
  <c r="D23" i="215"/>
  <c r="C23" i="215"/>
  <c r="C27" i="215" s="1"/>
  <c r="B23" i="215"/>
  <c r="B27" i="215" s="1"/>
  <c r="M20" i="215"/>
  <c r="L20" i="215"/>
  <c r="K20" i="215"/>
  <c r="J20" i="215"/>
  <c r="I20" i="215"/>
  <c r="H20" i="215"/>
  <c r="G20" i="215"/>
  <c r="F20" i="215"/>
  <c r="E20" i="215"/>
  <c r="D20" i="215"/>
  <c r="C20" i="215"/>
  <c r="B20" i="215"/>
  <c r="N19" i="215"/>
  <c r="N17" i="215"/>
  <c r="N16" i="215"/>
  <c r="N11" i="215"/>
  <c r="M9" i="215"/>
  <c r="M13" i="215" s="1"/>
  <c r="L9" i="215"/>
  <c r="L13" i="215" s="1"/>
  <c r="K9" i="215"/>
  <c r="K13" i="215" s="1"/>
  <c r="J9" i="215"/>
  <c r="J13" i="215" s="1"/>
  <c r="I9" i="215"/>
  <c r="I13" i="215" s="1"/>
  <c r="H9" i="215"/>
  <c r="H13" i="215" s="1"/>
  <c r="G9" i="215"/>
  <c r="G13" i="215" s="1"/>
  <c r="F9" i="215"/>
  <c r="F13" i="215" s="1"/>
  <c r="E9" i="215"/>
  <c r="E13" i="215" s="1"/>
  <c r="D9" i="215"/>
  <c r="D13" i="215" s="1"/>
  <c r="C9" i="215"/>
  <c r="C13" i="215" s="1"/>
  <c r="B9" i="215"/>
  <c r="B13" i="215" s="1"/>
  <c r="N8" i="215"/>
  <c r="N7" i="215"/>
  <c r="N6" i="215"/>
  <c r="N5" i="215"/>
  <c r="N4" i="215"/>
  <c r="F27" i="215" l="1"/>
  <c r="B73" i="217"/>
  <c r="H73" i="222"/>
  <c r="H64" i="222"/>
  <c r="H74" i="222" s="1"/>
  <c r="I63" i="222"/>
  <c r="N44" i="215"/>
  <c r="M46" i="215"/>
  <c r="F73" i="221"/>
  <c r="G63" i="221"/>
  <c r="F64" i="221"/>
  <c r="F74" i="221" s="1"/>
  <c r="G63" i="220"/>
  <c r="F73" i="220"/>
  <c r="F64" i="220"/>
  <c r="F74" i="220" s="1"/>
  <c r="F63" i="219"/>
  <c r="E73" i="219"/>
  <c r="E64" i="219"/>
  <c r="E74" i="219" s="1"/>
  <c r="D63" i="218"/>
  <c r="C73" i="218"/>
  <c r="C64" i="218"/>
  <c r="C74" i="218" s="1"/>
  <c r="D63" i="217"/>
  <c r="C73" i="217"/>
  <c r="C64" i="217"/>
  <c r="C74" i="217" s="1"/>
  <c r="N50" i="216"/>
  <c r="O50" i="216" s="1"/>
  <c r="C63" i="216"/>
  <c r="B73" i="216"/>
  <c r="B64" i="216"/>
  <c r="B74" i="216" s="1"/>
  <c r="C48" i="215"/>
  <c r="G48" i="215"/>
  <c r="G61" i="215" s="1"/>
  <c r="G62" i="215" s="1"/>
  <c r="G72" i="215" s="1"/>
  <c r="K48" i="215"/>
  <c r="K50" i="215" s="1"/>
  <c r="N34" i="215"/>
  <c r="M28" i="215"/>
  <c r="D27" i="215"/>
  <c r="D28" i="215" s="1"/>
  <c r="H28" i="215"/>
  <c r="L28" i="215"/>
  <c r="N58" i="215"/>
  <c r="N20" i="215"/>
  <c r="E48" i="215"/>
  <c r="E61" i="215" s="1"/>
  <c r="E62" i="215" s="1"/>
  <c r="E72" i="215" s="1"/>
  <c r="I48" i="215"/>
  <c r="I61" i="215" s="1"/>
  <c r="I62" i="215" s="1"/>
  <c r="I72" i="215" s="1"/>
  <c r="M48" i="215"/>
  <c r="M61" i="215" s="1"/>
  <c r="M62" i="215" s="1"/>
  <c r="M72" i="215" s="1"/>
  <c r="I28" i="215"/>
  <c r="E27" i="215"/>
  <c r="E28" i="215" s="1"/>
  <c r="D48" i="215"/>
  <c r="D50" i="215" s="1"/>
  <c r="H48" i="215"/>
  <c r="L48" i="215"/>
  <c r="L50" i="215" s="1"/>
  <c r="N46" i="215"/>
  <c r="N9" i="215"/>
  <c r="N13" i="215" s="1"/>
  <c r="B48" i="215"/>
  <c r="B50" i="215" s="1"/>
  <c r="F48" i="215"/>
  <c r="F61" i="215" s="1"/>
  <c r="F62" i="215" s="1"/>
  <c r="F72" i="215" s="1"/>
  <c r="J48" i="215"/>
  <c r="J50" i="215" s="1"/>
  <c r="B28" i="215"/>
  <c r="F28" i="215"/>
  <c r="J28" i="215"/>
  <c r="N24" i="215"/>
  <c r="N25" i="215"/>
  <c r="N26" i="215"/>
  <c r="C50" i="215"/>
  <c r="C28" i="215"/>
  <c r="G28" i="215"/>
  <c r="K28" i="215"/>
  <c r="B61" i="215"/>
  <c r="B62" i="215" s="1"/>
  <c r="H50" i="215"/>
  <c r="M50" i="215"/>
  <c r="C61" i="215"/>
  <c r="C62" i="215" s="1"/>
  <c r="C72" i="215" s="1"/>
  <c r="H61" i="215"/>
  <c r="H62" i="215" s="1"/>
  <c r="H72" i="215" s="1"/>
  <c r="N23" i="215"/>
  <c r="N38" i="215"/>
  <c r="N42" i="215" s="1"/>
  <c r="P53" i="215"/>
  <c r="Z53" i="215" s="1"/>
  <c r="N73" i="214"/>
  <c r="B68" i="214"/>
  <c r="C68" i="214" s="1"/>
  <c r="D68" i="214" s="1"/>
  <c r="E68" i="214" s="1"/>
  <c r="F68" i="214" s="1"/>
  <c r="G68" i="214" s="1"/>
  <c r="H68" i="214" s="1"/>
  <c r="I68" i="214" s="1"/>
  <c r="J68" i="214" s="1"/>
  <c r="K68" i="214" s="1"/>
  <c r="L68" i="214" s="1"/>
  <c r="M68" i="214" s="1"/>
  <c r="M58" i="214"/>
  <c r="L58" i="214"/>
  <c r="K58" i="214"/>
  <c r="J58" i="214"/>
  <c r="I58" i="214"/>
  <c r="H58" i="214"/>
  <c r="G58" i="214"/>
  <c r="F58" i="214"/>
  <c r="E58" i="214"/>
  <c r="D58" i="214"/>
  <c r="C58" i="214"/>
  <c r="B58" i="214"/>
  <c r="N57" i="214"/>
  <c r="N56" i="214"/>
  <c r="N55" i="214"/>
  <c r="N54" i="214"/>
  <c r="N53" i="214"/>
  <c r="P53" i="214" s="1"/>
  <c r="L46" i="214"/>
  <c r="K46" i="214"/>
  <c r="J46" i="214"/>
  <c r="I46" i="214"/>
  <c r="H46" i="214"/>
  <c r="G46" i="214"/>
  <c r="F46" i="214"/>
  <c r="E46" i="214"/>
  <c r="D46" i="214"/>
  <c r="C46" i="214"/>
  <c r="B46" i="214"/>
  <c r="N45" i="214"/>
  <c r="M44" i="214"/>
  <c r="N41" i="214"/>
  <c r="N40" i="214"/>
  <c r="N39" i="214"/>
  <c r="N37" i="214"/>
  <c r="M34" i="214"/>
  <c r="M38" i="214" s="1"/>
  <c r="M42" i="214" s="1"/>
  <c r="L34" i="214"/>
  <c r="L38" i="214" s="1"/>
  <c r="L42" i="214" s="1"/>
  <c r="K34" i="214"/>
  <c r="K38" i="214" s="1"/>
  <c r="K42" i="214" s="1"/>
  <c r="J34" i="214"/>
  <c r="J38" i="214" s="1"/>
  <c r="J42" i="214" s="1"/>
  <c r="I34" i="214"/>
  <c r="I38" i="214" s="1"/>
  <c r="I42" i="214" s="1"/>
  <c r="H34" i="214"/>
  <c r="H38" i="214" s="1"/>
  <c r="H42" i="214" s="1"/>
  <c r="G34" i="214"/>
  <c r="G38" i="214" s="1"/>
  <c r="G42" i="214" s="1"/>
  <c r="F34" i="214"/>
  <c r="F38" i="214" s="1"/>
  <c r="F42" i="214" s="1"/>
  <c r="E34" i="214"/>
  <c r="E38" i="214" s="1"/>
  <c r="E42" i="214" s="1"/>
  <c r="D34" i="214"/>
  <c r="D38" i="214" s="1"/>
  <c r="D42" i="214" s="1"/>
  <c r="C34" i="214"/>
  <c r="C38" i="214" s="1"/>
  <c r="C42" i="214" s="1"/>
  <c r="B34" i="214"/>
  <c r="B38" i="214" s="1"/>
  <c r="N33" i="214"/>
  <c r="N32" i="214"/>
  <c r="N31" i="214"/>
  <c r="N30" i="214"/>
  <c r="M26" i="214"/>
  <c r="L26" i="214"/>
  <c r="K26" i="214"/>
  <c r="J26" i="214"/>
  <c r="I26" i="214"/>
  <c r="H26" i="214"/>
  <c r="G26" i="214"/>
  <c r="F26" i="214"/>
  <c r="E26" i="214"/>
  <c r="D26" i="214"/>
  <c r="C26" i="214"/>
  <c r="B26" i="214"/>
  <c r="M25" i="214"/>
  <c r="L25" i="214"/>
  <c r="K25" i="214"/>
  <c r="J25" i="214"/>
  <c r="I25" i="214"/>
  <c r="H25" i="214"/>
  <c r="G25" i="214"/>
  <c r="F25" i="214"/>
  <c r="E25" i="214"/>
  <c r="D25" i="214"/>
  <c r="C25" i="214"/>
  <c r="B25" i="214"/>
  <c r="M24" i="214"/>
  <c r="L24" i="214"/>
  <c r="K24" i="214"/>
  <c r="J24" i="214"/>
  <c r="I24" i="214"/>
  <c r="H24" i="214"/>
  <c r="G24" i="214"/>
  <c r="F24" i="214"/>
  <c r="E24" i="214"/>
  <c r="D24" i="214"/>
  <c r="C24" i="214"/>
  <c r="B24" i="214"/>
  <c r="M23" i="214"/>
  <c r="M27" i="214" s="1"/>
  <c r="L23" i="214"/>
  <c r="K23" i="214"/>
  <c r="K27" i="214" s="1"/>
  <c r="J23" i="214"/>
  <c r="I23" i="214"/>
  <c r="I27" i="214" s="1"/>
  <c r="H23" i="214"/>
  <c r="G23" i="214"/>
  <c r="G27" i="214" s="1"/>
  <c r="F23" i="214"/>
  <c r="F27" i="214" s="1"/>
  <c r="E23" i="214"/>
  <c r="E27" i="214" s="1"/>
  <c r="D23" i="214"/>
  <c r="D27" i="214" s="1"/>
  <c r="C23" i="214"/>
  <c r="C27" i="214" s="1"/>
  <c r="B23" i="214"/>
  <c r="B27" i="214" s="1"/>
  <c r="M20" i="214"/>
  <c r="L20" i="214"/>
  <c r="K20" i="214"/>
  <c r="J20" i="214"/>
  <c r="I20" i="214"/>
  <c r="H20" i="214"/>
  <c r="G20" i="214"/>
  <c r="F20" i="214"/>
  <c r="E20" i="214"/>
  <c r="D20" i="214"/>
  <c r="C20" i="214"/>
  <c r="B20" i="214"/>
  <c r="N19" i="214"/>
  <c r="N17" i="214"/>
  <c r="N16" i="214"/>
  <c r="N11" i="214"/>
  <c r="M9" i="214"/>
  <c r="M13" i="214" s="1"/>
  <c r="L9" i="214"/>
  <c r="L13" i="214" s="1"/>
  <c r="K9" i="214"/>
  <c r="K13" i="214" s="1"/>
  <c r="J9" i="214"/>
  <c r="J13" i="214" s="1"/>
  <c r="I9" i="214"/>
  <c r="I13" i="214" s="1"/>
  <c r="H9" i="214"/>
  <c r="H13" i="214" s="1"/>
  <c r="G9" i="214"/>
  <c r="G13" i="214" s="1"/>
  <c r="F9" i="214"/>
  <c r="F13" i="214" s="1"/>
  <c r="E9" i="214"/>
  <c r="E13" i="214" s="1"/>
  <c r="D9" i="214"/>
  <c r="D13" i="214" s="1"/>
  <c r="C9" i="214"/>
  <c r="C13" i="214" s="1"/>
  <c r="B9" i="214"/>
  <c r="B13" i="214" s="1"/>
  <c r="N8" i="214"/>
  <c r="N7" i="214"/>
  <c r="N6" i="214"/>
  <c r="N5" i="214"/>
  <c r="N4" i="214"/>
  <c r="H27" i="214" l="1"/>
  <c r="J27" i="214"/>
  <c r="G50" i="215"/>
  <c r="K61" i="215"/>
  <c r="K62" i="215" s="1"/>
  <c r="K72" i="215" s="1"/>
  <c r="I73" i="222"/>
  <c r="I64" i="222"/>
  <c r="I74" i="222" s="1"/>
  <c r="J63" i="222"/>
  <c r="N44" i="214"/>
  <c r="N46" i="214" s="1"/>
  <c r="M46" i="214"/>
  <c r="H63" i="221"/>
  <c r="G73" i="221"/>
  <c r="G64" i="221"/>
  <c r="G74" i="221" s="1"/>
  <c r="H63" i="220"/>
  <c r="G73" i="220"/>
  <c r="G64" i="220"/>
  <c r="G74" i="220" s="1"/>
  <c r="G63" i="219"/>
  <c r="F73" i="219"/>
  <c r="F64" i="219"/>
  <c r="F74" i="219" s="1"/>
  <c r="D73" i="218"/>
  <c r="D64" i="218"/>
  <c r="D74" i="218" s="1"/>
  <c r="E63" i="218"/>
  <c r="D73" i="217"/>
  <c r="D64" i="217"/>
  <c r="D74" i="217" s="1"/>
  <c r="E63" i="217"/>
  <c r="D63" i="216"/>
  <c r="C73" i="216"/>
  <c r="C64" i="216"/>
  <c r="C74" i="216" s="1"/>
  <c r="N48" i="215"/>
  <c r="N61" i="215" s="1"/>
  <c r="N62" i="215" s="1"/>
  <c r="J61" i="215"/>
  <c r="J62" i="215" s="1"/>
  <c r="J72" i="215" s="1"/>
  <c r="L61" i="215"/>
  <c r="L62" i="215" s="1"/>
  <c r="L72" i="215" s="1"/>
  <c r="E50" i="215"/>
  <c r="F50" i="215"/>
  <c r="D61" i="215"/>
  <c r="D62" i="215" s="1"/>
  <c r="D72" i="215" s="1"/>
  <c r="I50" i="215"/>
  <c r="N27" i="215"/>
  <c r="N28" i="215" s="1"/>
  <c r="B72" i="215"/>
  <c r="B63" i="215"/>
  <c r="C48" i="214"/>
  <c r="G48" i="214"/>
  <c r="K48" i="214"/>
  <c r="K50" i="214" s="1"/>
  <c r="I48" i="214"/>
  <c r="I61" i="214" s="1"/>
  <c r="I62" i="214" s="1"/>
  <c r="I72" i="214" s="1"/>
  <c r="N20" i="214"/>
  <c r="D48" i="214"/>
  <c r="H48" i="214"/>
  <c r="H50" i="214" s="1"/>
  <c r="L48" i="214"/>
  <c r="L50" i="214" s="1"/>
  <c r="E48" i="214"/>
  <c r="E61" i="214" s="1"/>
  <c r="E62" i="214" s="1"/>
  <c r="E72" i="214" s="1"/>
  <c r="F48" i="214"/>
  <c r="J48" i="214"/>
  <c r="J50" i="214" s="1"/>
  <c r="E28" i="214"/>
  <c r="I28" i="214"/>
  <c r="M28" i="214"/>
  <c r="N58" i="214"/>
  <c r="M48" i="214"/>
  <c r="M61" i="214" s="1"/>
  <c r="M62" i="214" s="1"/>
  <c r="M72" i="214" s="1"/>
  <c r="D28" i="214"/>
  <c r="H28" i="214"/>
  <c r="L27" i="214"/>
  <c r="L28" i="214" s="1"/>
  <c r="N9" i="214"/>
  <c r="N13" i="214" s="1"/>
  <c r="B28" i="214"/>
  <c r="F28" i="214"/>
  <c r="J28" i="214"/>
  <c r="N24" i="214"/>
  <c r="N25" i="214"/>
  <c r="N26" i="214"/>
  <c r="N34" i="214"/>
  <c r="C28" i="214"/>
  <c r="G28" i="214"/>
  <c r="K28" i="214"/>
  <c r="Z53" i="214"/>
  <c r="I50" i="214"/>
  <c r="B42" i="214"/>
  <c r="B48" i="214" s="1"/>
  <c r="N38" i="214"/>
  <c r="N42" i="214" s="1"/>
  <c r="N23" i="214"/>
  <c r="B9" i="213"/>
  <c r="B13" i="213" s="1"/>
  <c r="B58" i="213"/>
  <c r="B20" i="213"/>
  <c r="B34" i="213"/>
  <c r="B38" i="213" s="1"/>
  <c r="B46" i="213"/>
  <c r="C9" i="213"/>
  <c r="C13" i="213" s="1"/>
  <c r="C58" i="213"/>
  <c r="C20" i="213"/>
  <c r="C34" i="213"/>
  <c r="C38" i="213" s="1"/>
  <c r="C42" i="213" s="1"/>
  <c r="C46" i="213"/>
  <c r="D9" i="213"/>
  <c r="D13" i="213" s="1"/>
  <c r="D58" i="213"/>
  <c r="D20" i="213"/>
  <c r="D34" i="213"/>
  <c r="D38" i="213" s="1"/>
  <c r="D42" i="213" s="1"/>
  <c r="D46" i="213"/>
  <c r="E9" i="213"/>
  <c r="E13" i="213" s="1"/>
  <c r="E58" i="213"/>
  <c r="E20" i="213"/>
  <c r="E34" i="213"/>
  <c r="E38" i="213" s="1"/>
  <c r="E42" i="213" s="1"/>
  <c r="E46" i="213"/>
  <c r="F9" i="213"/>
  <c r="F13" i="213" s="1"/>
  <c r="F58" i="213"/>
  <c r="F20" i="213"/>
  <c r="F34" i="213"/>
  <c r="F38" i="213" s="1"/>
  <c r="F42" i="213" s="1"/>
  <c r="F46" i="213"/>
  <c r="G9" i="213"/>
  <c r="G13" i="213" s="1"/>
  <c r="G58" i="213"/>
  <c r="G20" i="213"/>
  <c r="G34" i="213"/>
  <c r="G38" i="213" s="1"/>
  <c r="G42" i="213" s="1"/>
  <c r="G46" i="213"/>
  <c r="H9" i="213"/>
  <c r="H13" i="213" s="1"/>
  <c r="H58" i="213"/>
  <c r="H20" i="213"/>
  <c r="H34" i="213"/>
  <c r="H38" i="213" s="1"/>
  <c r="H42" i="213" s="1"/>
  <c r="H46" i="213"/>
  <c r="I9" i="213"/>
  <c r="I13" i="213" s="1"/>
  <c r="I58" i="213"/>
  <c r="I20" i="213"/>
  <c r="I34" i="213"/>
  <c r="I38" i="213" s="1"/>
  <c r="I42" i="213" s="1"/>
  <c r="I46" i="213"/>
  <c r="J9" i="213"/>
  <c r="J13" i="213" s="1"/>
  <c r="J58" i="213"/>
  <c r="J20" i="213"/>
  <c r="J34" i="213"/>
  <c r="J38" i="213" s="1"/>
  <c r="J42" i="213" s="1"/>
  <c r="J46" i="213"/>
  <c r="K9" i="213"/>
  <c r="K13" i="213" s="1"/>
  <c r="K58" i="213"/>
  <c r="K20" i="213"/>
  <c r="K34" i="213"/>
  <c r="K38" i="213" s="1"/>
  <c r="K42" i="213" s="1"/>
  <c r="K46" i="213"/>
  <c r="L9" i="213"/>
  <c r="L13" i="213" s="1"/>
  <c r="L58" i="213"/>
  <c r="L20" i="213"/>
  <c r="L34" i="213"/>
  <c r="L38" i="213" s="1"/>
  <c r="L42" i="213" s="1"/>
  <c r="L46" i="213"/>
  <c r="M9" i="213"/>
  <c r="M13" i="213" s="1"/>
  <c r="M58" i="213"/>
  <c r="M20" i="213"/>
  <c r="M34" i="213"/>
  <c r="M38" i="213" s="1"/>
  <c r="M42" i="213" s="1"/>
  <c r="M44" i="213"/>
  <c r="N44" i="213" s="1"/>
  <c r="N73" i="213"/>
  <c r="B68" i="213"/>
  <c r="C68" i="213" s="1"/>
  <c r="D68" i="213" s="1"/>
  <c r="E68" i="213" s="1"/>
  <c r="F68" i="213" s="1"/>
  <c r="G68" i="213" s="1"/>
  <c r="H68" i="213" s="1"/>
  <c r="I68" i="213" s="1"/>
  <c r="J68" i="213" s="1"/>
  <c r="K68" i="213" s="1"/>
  <c r="L68" i="213" s="1"/>
  <c r="M68" i="213" s="1"/>
  <c r="N5" i="213"/>
  <c r="N6" i="213"/>
  <c r="N7" i="213"/>
  <c r="N8" i="213"/>
  <c r="N11" i="213"/>
  <c r="N53" i="213"/>
  <c r="P53" i="213" s="1"/>
  <c r="Z53" i="213" s="1"/>
  <c r="N54" i="213"/>
  <c r="N55" i="213"/>
  <c r="N58" i="213" s="1"/>
  <c r="N56" i="213"/>
  <c r="N57" i="213"/>
  <c r="N16" i="213"/>
  <c r="N17" i="213"/>
  <c r="N19" i="213"/>
  <c r="N30" i="213"/>
  <c r="N31" i="213"/>
  <c r="N32" i="213"/>
  <c r="N33" i="213"/>
  <c r="N37" i="213"/>
  <c r="N39" i="213"/>
  <c r="N40" i="213"/>
  <c r="N41" i="213"/>
  <c r="N45" i="213"/>
  <c r="B23" i="213"/>
  <c r="C23" i="213"/>
  <c r="D23" i="213"/>
  <c r="E23" i="213"/>
  <c r="F23" i="213"/>
  <c r="F27" i="213" s="1"/>
  <c r="F28" i="213" s="1"/>
  <c r="G23" i="213"/>
  <c r="H23" i="213"/>
  <c r="I23" i="213"/>
  <c r="J23" i="213"/>
  <c r="K23" i="213"/>
  <c r="L23" i="213"/>
  <c r="M23" i="213"/>
  <c r="B24" i="213"/>
  <c r="C24" i="213"/>
  <c r="D24" i="213"/>
  <c r="E24" i="213"/>
  <c r="F24" i="213"/>
  <c r="G24" i="213"/>
  <c r="H24" i="213"/>
  <c r="I24" i="213"/>
  <c r="J24" i="213"/>
  <c r="K24" i="213"/>
  <c r="L24" i="213"/>
  <c r="M24" i="213"/>
  <c r="B25" i="213"/>
  <c r="C25" i="213"/>
  <c r="D25" i="213"/>
  <c r="E25" i="213"/>
  <c r="F25" i="213"/>
  <c r="G25" i="213"/>
  <c r="H25" i="213"/>
  <c r="I25" i="213"/>
  <c r="J25" i="213"/>
  <c r="K25" i="213"/>
  <c r="L25" i="213"/>
  <c r="M25" i="213"/>
  <c r="B26" i="213"/>
  <c r="C26" i="213"/>
  <c r="D26" i="213"/>
  <c r="E26" i="213"/>
  <c r="F26" i="213"/>
  <c r="G26" i="213"/>
  <c r="H26" i="213"/>
  <c r="I26" i="213"/>
  <c r="J26" i="213"/>
  <c r="K26" i="213"/>
  <c r="L26" i="213"/>
  <c r="M26" i="213"/>
  <c r="N4" i="213"/>
  <c r="C9" i="212"/>
  <c r="C13" i="212" s="1"/>
  <c r="N73" i="212"/>
  <c r="B68" i="212"/>
  <c r="C68" i="212" s="1"/>
  <c r="D68" i="212" s="1"/>
  <c r="E68" i="212" s="1"/>
  <c r="F68" i="212" s="1"/>
  <c r="G68" i="212" s="1"/>
  <c r="H68" i="212" s="1"/>
  <c r="I68" i="212" s="1"/>
  <c r="J68" i="212" s="1"/>
  <c r="K68" i="212" s="1"/>
  <c r="L68" i="212" s="1"/>
  <c r="M68" i="212" s="1"/>
  <c r="M58" i="212"/>
  <c r="L58" i="212"/>
  <c r="K58" i="212"/>
  <c r="J58" i="212"/>
  <c r="I58" i="212"/>
  <c r="H58" i="212"/>
  <c r="G58" i="212"/>
  <c r="F58" i="212"/>
  <c r="E58" i="212"/>
  <c r="D58" i="212"/>
  <c r="C58" i="212"/>
  <c r="B58" i="212"/>
  <c r="N57" i="212"/>
  <c r="N56" i="212"/>
  <c r="N55" i="212"/>
  <c r="N54" i="212"/>
  <c r="N53" i="212"/>
  <c r="P53" i="212" s="1"/>
  <c r="Z53" i="212" s="1"/>
  <c r="L46" i="212"/>
  <c r="K46" i="212"/>
  <c r="J46" i="212"/>
  <c r="I46" i="212"/>
  <c r="H46" i="212"/>
  <c r="G46" i="212"/>
  <c r="F46" i="212"/>
  <c r="E46" i="212"/>
  <c r="D46" i="212"/>
  <c r="C46" i="212"/>
  <c r="B46" i="212"/>
  <c r="N45" i="212"/>
  <c r="M44" i="212"/>
  <c r="N41" i="212"/>
  <c r="N40" i="212"/>
  <c r="N39" i="212"/>
  <c r="N37" i="212"/>
  <c r="M34" i="212"/>
  <c r="L34" i="212"/>
  <c r="L38" i="212" s="1"/>
  <c r="L42" i="212" s="1"/>
  <c r="K34" i="212"/>
  <c r="K38" i="212" s="1"/>
  <c r="K42" i="212" s="1"/>
  <c r="J34" i="212"/>
  <c r="I34" i="212"/>
  <c r="I38" i="212" s="1"/>
  <c r="I42" i="212" s="1"/>
  <c r="H34" i="212"/>
  <c r="H38" i="212" s="1"/>
  <c r="H42" i="212" s="1"/>
  <c r="G34" i="212"/>
  <c r="G38" i="212" s="1"/>
  <c r="G42" i="212" s="1"/>
  <c r="F34" i="212"/>
  <c r="F38" i="212" s="1"/>
  <c r="F42" i="212" s="1"/>
  <c r="E34" i="212"/>
  <c r="E38" i="212" s="1"/>
  <c r="D34" i="212"/>
  <c r="D38" i="212" s="1"/>
  <c r="D42" i="212" s="1"/>
  <c r="C34" i="212"/>
  <c r="B34" i="212"/>
  <c r="B38" i="212" s="1"/>
  <c r="N33" i="212"/>
  <c r="N32" i="212"/>
  <c r="N31" i="212"/>
  <c r="N30" i="212"/>
  <c r="M26" i="212"/>
  <c r="L26" i="212"/>
  <c r="K26" i="212"/>
  <c r="J26" i="212"/>
  <c r="I26" i="212"/>
  <c r="H26" i="212"/>
  <c r="G26" i="212"/>
  <c r="F26" i="212"/>
  <c r="E26" i="212"/>
  <c r="D26" i="212"/>
  <c r="C26" i="212"/>
  <c r="B26" i="212"/>
  <c r="M25" i="212"/>
  <c r="L25" i="212"/>
  <c r="K25" i="212"/>
  <c r="J25" i="212"/>
  <c r="I25" i="212"/>
  <c r="H25" i="212"/>
  <c r="G25" i="212"/>
  <c r="F25" i="212"/>
  <c r="E25" i="212"/>
  <c r="D25" i="212"/>
  <c r="C25" i="212"/>
  <c r="B25" i="212"/>
  <c r="M24" i="212"/>
  <c r="L24" i="212"/>
  <c r="K24" i="212"/>
  <c r="J24" i="212"/>
  <c r="I24" i="212"/>
  <c r="H24" i="212"/>
  <c r="G24" i="212"/>
  <c r="F24" i="212"/>
  <c r="E24" i="212"/>
  <c r="D24" i="212"/>
  <c r="C24" i="212"/>
  <c r="B24" i="212"/>
  <c r="M23" i="212"/>
  <c r="M27" i="212" s="1"/>
  <c r="L23" i="212"/>
  <c r="K23" i="212"/>
  <c r="K27" i="212" s="1"/>
  <c r="K28" i="212" s="1"/>
  <c r="J23" i="212"/>
  <c r="I23" i="212"/>
  <c r="H23" i="212"/>
  <c r="H27" i="212" s="1"/>
  <c r="G23" i="212"/>
  <c r="F23" i="212"/>
  <c r="E23" i="212"/>
  <c r="D23" i="212"/>
  <c r="C23" i="212"/>
  <c r="B23" i="212"/>
  <c r="B27" i="212" s="1"/>
  <c r="M20" i="212"/>
  <c r="L20" i="212"/>
  <c r="L48" i="212" s="1"/>
  <c r="L61" i="212" s="1"/>
  <c r="K20" i="212"/>
  <c r="K48" i="212" s="1"/>
  <c r="J20" i="212"/>
  <c r="I20" i="212"/>
  <c r="H20" i="212"/>
  <c r="H48" i="212" s="1"/>
  <c r="H61" i="212" s="1"/>
  <c r="G20" i="212"/>
  <c r="F20" i="212"/>
  <c r="E20" i="212"/>
  <c r="D20" i="212"/>
  <c r="C20" i="212"/>
  <c r="B20" i="212"/>
  <c r="N19" i="212"/>
  <c r="N17" i="212"/>
  <c r="N16" i="212"/>
  <c r="N11" i="212"/>
  <c r="M9" i="212"/>
  <c r="M13" i="212"/>
  <c r="L9" i="212"/>
  <c r="L13" i="212" s="1"/>
  <c r="K9" i="212"/>
  <c r="K13" i="212" s="1"/>
  <c r="K50" i="212" s="1"/>
  <c r="J9" i="212"/>
  <c r="J13" i="212" s="1"/>
  <c r="I9" i="212"/>
  <c r="I13" i="212" s="1"/>
  <c r="H9" i="212"/>
  <c r="H13" i="212" s="1"/>
  <c r="G9" i="212"/>
  <c r="G13" i="212" s="1"/>
  <c r="F9" i="212"/>
  <c r="F13" i="212" s="1"/>
  <c r="E9" i="212"/>
  <c r="E13" i="212" s="1"/>
  <c r="D9" i="212"/>
  <c r="D13" i="212" s="1"/>
  <c r="B9" i="212"/>
  <c r="B13" i="212" s="1"/>
  <c r="N8" i="212"/>
  <c r="N7" i="212"/>
  <c r="N6" i="212"/>
  <c r="N5" i="212"/>
  <c r="N4" i="212"/>
  <c r="J27" i="212"/>
  <c r="J28" i="212"/>
  <c r="E42" i="212"/>
  <c r="M38" i="212"/>
  <c r="M42" i="212" s="1"/>
  <c r="N73" i="211"/>
  <c r="B68" i="211"/>
  <c r="C68" i="211" s="1"/>
  <c r="D68" i="211" s="1"/>
  <c r="E68" i="211" s="1"/>
  <c r="F68" i="211" s="1"/>
  <c r="G68" i="211" s="1"/>
  <c r="H68" i="211" s="1"/>
  <c r="I68" i="211" s="1"/>
  <c r="J68" i="211" s="1"/>
  <c r="K68" i="211" s="1"/>
  <c r="L68" i="211" s="1"/>
  <c r="M68" i="211" s="1"/>
  <c r="M58" i="211"/>
  <c r="L58" i="211"/>
  <c r="K58" i="211"/>
  <c r="J58" i="211"/>
  <c r="I58" i="211"/>
  <c r="H58" i="211"/>
  <c r="G58" i="211"/>
  <c r="F58" i="211"/>
  <c r="E58" i="211"/>
  <c r="D58" i="211"/>
  <c r="C58" i="211"/>
  <c r="B58" i="211"/>
  <c r="N57" i="211"/>
  <c r="N56" i="211"/>
  <c r="N55" i="211"/>
  <c r="N54" i="211"/>
  <c r="N53" i="211"/>
  <c r="P53" i="211" s="1"/>
  <c r="Z53" i="211" s="1"/>
  <c r="L46" i="211"/>
  <c r="K46" i="211"/>
  <c r="J46" i="211"/>
  <c r="I46" i="211"/>
  <c r="H46" i="211"/>
  <c r="G46" i="211"/>
  <c r="F46" i="211"/>
  <c r="E46" i="211"/>
  <c r="D46" i="211"/>
  <c r="C46" i="211"/>
  <c r="B46" i="211"/>
  <c r="N45" i="211"/>
  <c r="M44" i="211"/>
  <c r="N44" i="211" s="1"/>
  <c r="N41" i="211"/>
  <c r="N40" i="211"/>
  <c r="N39" i="211"/>
  <c r="N37" i="211"/>
  <c r="M34" i="211"/>
  <c r="L34" i="211"/>
  <c r="L38" i="211" s="1"/>
  <c r="L42" i="211" s="1"/>
  <c r="K34" i="211"/>
  <c r="K38" i="211" s="1"/>
  <c r="K42" i="211" s="1"/>
  <c r="J34" i="211"/>
  <c r="J38" i="211" s="1"/>
  <c r="J42" i="211" s="1"/>
  <c r="I34" i="211"/>
  <c r="H34" i="211"/>
  <c r="G34" i="211"/>
  <c r="G38" i="211" s="1"/>
  <c r="G42" i="211" s="1"/>
  <c r="F34" i="211"/>
  <c r="F38" i="211" s="1"/>
  <c r="F42" i="211" s="1"/>
  <c r="E34" i="211"/>
  <c r="D34" i="211"/>
  <c r="D38" i="211" s="1"/>
  <c r="D42" i="211" s="1"/>
  <c r="C34" i="211"/>
  <c r="C38" i="211" s="1"/>
  <c r="C42" i="211" s="1"/>
  <c r="B34" i="211"/>
  <c r="B38" i="211" s="1"/>
  <c r="N33" i="211"/>
  <c r="N32" i="211"/>
  <c r="N31" i="211"/>
  <c r="N30" i="211"/>
  <c r="M26" i="211"/>
  <c r="L26" i="211"/>
  <c r="K26" i="211"/>
  <c r="J26" i="211"/>
  <c r="I26" i="211"/>
  <c r="H26" i="211"/>
  <c r="G26" i="211"/>
  <c r="F26" i="211"/>
  <c r="E26" i="211"/>
  <c r="D26" i="211"/>
  <c r="C26" i="211"/>
  <c r="B26" i="211"/>
  <c r="M25" i="211"/>
  <c r="L25" i="211"/>
  <c r="K25" i="211"/>
  <c r="J25" i="211"/>
  <c r="I25" i="211"/>
  <c r="H25" i="211"/>
  <c r="G25" i="211"/>
  <c r="F25" i="211"/>
  <c r="E25" i="211"/>
  <c r="D25" i="211"/>
  <c r="C25" i="211"/>
  <c r="B25" i="211"/>
  <c r="M24" i="211"/>
  <c r="L24" i="211"/>
  <c r="K24" i="211"/>
  <c r="J24" i="211"/>
  <c r="I24" i="211"/>
  <c r="H24" i="211"/>
  <c r="G24" i="211"/>
  <c r="F24" i="211"/>
  <c r="E24" i="211"/>
  <c r="E27" i="211" s="1"/>
  <c r="D24" i="211"/>
  <c r="C24" i="211"/>
  <c r="B24" i="211"/>
  <c r="M23" i="211"/>
  <c r="L23" i="211"/>
  <c r="K23" i="211"/>
  <c r="K27" i="211" s="1"/>
  <c r="J23" i="211"/>
  <c r="I23" i="211"/>
  <c r="H23" i="211"/>
  <c r="G23" i="211"/>
  <c r="G27" i="211" s="1"/>
  <c r="F23" i="211"/>
  <c r="E23" i="211"/>
  <c r="D23" i="211"/>
  <c r="C23" i="211"/>
  <c r="B23" i="211"/>
  <c r="M20" i="211"/>
  <c r="L20" i="211"/>
  <c r="K20" i="211"/>
  <c r="J20" i="211"/>
  <c r="I20" i="211"/>
  <c r="H20" i="211"/>
  <c r="G20" i="211"/>
  <c r="F20" i="211"/>
  <c r="E20" i="211"/>
  <c r="D20" i="211"/>
  <c r="D48" i="211" s="1"/>
  <c r="D61" i="211" s="1"/>
  <c r="C20" i="211"/>
  <c r="B20" i="211"/>
  <c r="N19" i="211"/>
  <c r="N17" i="211"/>
  <c r="N16" i="211"/>
  <c r="N11" i="211"/>
  <c r="M9" i="211"/>
  <c r="M13" i="211" s="1"/>
  <c r="L9" i="211"/>
  <c r="L13" i="211" s="1"/>
  <c r="K9" i="211"/>
  <c r="K13" i="211" s="1"/>
  <c r="J9" i="211"/>
  <c r="J13" i="211" s="1"/>
  <c r="I9" i="211"/>
  <c r="I13" i="211" s="1"/>
  <c r="H9" i="211"/>
  <c r="H13" i="211" s="1"/>
  <c r="G9" i="211"/>
  <c r="G13" i="211" s="1"/>
  <c r="F9" i="211"/>
  <c r="F13" i="211" s="1"/>
  <c r="E9" i="211"/>
  <c r="E13" i="211" s="1"/>
  <c r="D9" i="211"/>
  <c r="D13" i="211" s="1"/>
  <c r="D50" i="211" s="1"/>
  <c r="C9" i="211"/>
  <c r="C13" i="211" s="1"/>
  <c r="B9" i="211"/>
  <c r="B13" i="211" s="1"/>
  <c r="N8" i="211"/>
  <c r="N7" i="211"/>
  <c r="N6" i="211"/>
  <c r="N5" i="211"/>
  <c r="N4" i="211"/>
  <c r="M44" i="209"/>
  <c r="M93" i="209"/>
  <c r="L93" i="209"/>
  <c r="K93" i="209"/>
  <c r="J93" i="209"/>
  <c r="I93" i="209"/>
  <c r="H93" i="209"/>
  <c r="G93" i="209"/>
  <c r="F93" i="209"/>
  <c r="E93" i="209"/>
  <c r="D93" i="209"/>
  <c r="C93" i="209"/>
  <c r="B93" i="209"/>
  <c r="M87" i="209"/>
  <c r="K87" i="209"/>
  <c r="J87" i="209"/>
  <c r="I87" i="209"/>
  <c r="H87" i="209"/>
  <c r="G87" i="209"/>
  <c r="F87" i="209"/>
  <c r="E87" i="209"/>
  <c r="D87" i="209"/>
  <c r="C87" i="209"/>
  <c r="B87" i="209"/>
  <c r="J84" i="209"/>
  <c r="F84" i="209"/>
  <c r="D84" i="209"/>
  <c r="C84" i="209"/>
  <c r="B84" i="209"/>
  <c r="B83" i="209"/>
  <c r="C83" i="209" s="1"/>
  <c r="N73" i="209"/>
  <c r="B68" i="209"/>
  <c r="C68" i="209" s="1"/>
  <c r="D68" i="209" s="1"/>
  <c r="E68" i="209" s="1"/>
  <c r="F68" i="209" s="1"/>
  <c r="G68" i="209" s="1"/>
  <c r="H68" i="209" s="1"/>
  <c r="I68" i="209" s="1"/>
  <c r="J68" i="209" s="1"/>
  <c r="K68" i="209" s="1"/>
  <c r="L68" i="209" s="1"/>
  <c r="M68" i="209" s="1"/>
  <c r="K58" i="209"/>
  <c r="J58" i="209"/>
  <c r="I58" i="209"/>
  <c r="H58" i="209"/>
  <c r="G58" i="209"/>
  <c r="F58" i="209"/>
  <c r="D58" i="209"/>
  <c r="C58" i="209"/>
  <c r="B58" i="209"/>
  <c r="N57" i="209"/>
  <c r="L87" i="209"/>
  <c r="N55" i="209"/>
  <c r="N54" i="209"/>
  <c r="N53" i="209"/>
  <c r="M58" i="209"/>
  <c r="M84" i="209"/>
  <c r="L46" i="209"/>
  <c r="K46" i="209"/>
  <c r="J46" i="209"/>
  <c r="I46" i="209"/>
  <c r="H46" i="209"/>
  <c r="G46" i="209"/>
  <c r="F46" i="209"/>
  <c r="E46" i="209"/>
  <c r="D46" i="209"/>
  <c r="C46" i="209"/>
  <c r="B46" i="209"/>
  <c r="M46" i="209"/>
  <c r="N44" i="209"/>
  <c r="N41" i="209"/>
  <c r="N40" i="209"/>
  <c r="N39" i="209"/>
  <c r="N37" i="209"/>
  <c r="M34" i="209"/>
  <c r="M38" i="209" s="1"/>
  <c r="M42" i="209" s="1"/>
  <c r="L34" i="209"/>
  <c r="L38" i="209" s="1"/>
  <c r="L42" i="209" s="1"/>
  <c r="K34" i="209"/>
  <c r="K38" i="209"/>
  <c r="K42" i="209" s="1"/>
  <c r="J34" i="209"/>
  <c r="J38" i="209" s="1"/>
  <c r="J42" i="209" s="1"/>
  <c r="I34" i="209"/>
  <c r="I38" i="209" s="1"/>
  <c r="I42" i="209" s="1"/>
  <c r="H34" i="209"/>
  <c r="H38" i="209" s="1"/>
  <c r="H42" i="209" s="1"/>
  <c r="G34" i="209"/>
  <c r="G38" i="209" s="1"/>
  <c r="G42" i="209" s="1"/>
  <c r="F34" i="209"/>
  <c r="E34" i="209"/>
  <c r="E38" i="209" s="1"/>
  <c r="E42" i="209" s="1"/>
  <c r="D34" i="209"/>
  <c r="D38" i="209" s="1"/>
  <c r="D42" i="209" s="1"/>
  <c r="C34" i="209"/>
  <c r="C38" i="209"/>
  <c r="C42" i="209" s="1"/>
  <c r="B34" i="209"/>
  <c r="N33" i="209"/>
  <c r="N32" i="209"/>
  <c r="N31" i="209"/>
  <c r="N30" i="209"/>
  <c r="M26" i="209"/>
  <c r="L26" i="209"/>
  <c r="K26" i="209"/>
  <c r="J26" i="209"/>
  <c r="I26" i="209"/>
  <c r="H26" i="209"/>
  <c r="G26" i="209"/>
  <c r="F26" i="209"/>
  <c r="E26" i="209"/>
  <c r="D26" i="209"/>
  <c r="C26" i="209"/>
  <c r="B26" i="209"/>
  <c r="M25" i="209"/>
  <c r="L25" i="209"/>
  <c r="K25" i="209"/>
  <c r="J25" i="209"/>
  <c r="I25" i="209"/>
  <c r="H25" i="209"/>
  <c r="G25" i="209"/>
  <c r="F25" i="209"/>
  <c r="E25" i="209"/>
  <c r="D25" i="209"/>
  <c r="C25" i="209"/>
  <c r="B25" i="209"/>
  <c r="M24" i="209"/>
  <c r="L24" i="209"/>
  <c r="K24" i="209"/>
  <c r="J24" i="209"/>
  <c r="I24" i="209"/>
  <c r="H24" i="209"/>
  <c r="G24" i="209"/>
  <c r="F24" i="209"/>
  <c r="E24" i="209"/>
  <c r="D24" i="209"/>
  <c r="C24" i="209"/>
  <c r="B24" i="209"/>
  <c r="M23" i="209"/>
  <c r="M27" i="209" s="1"/>
  <c r="L23" i="209"/>
  <c r="K23" i="209"/>
  <c r="J23" i="209"/>
  <c r="J27" i="209" s="1"/>
  <c r="I23" i="209"/>
  <c r="I27" i="209" s="1"/>
  <c r="H23" i="209"/>
  <c r="G23" i="209"/>
  <c r="F23" i="209"/>
  <c r="E23" i="209"/>
  <c r="D23" i="209"/>
  <c r="C23" i="209"/>
  <c r="B23" i="209"/>
  <c r="M20" i="209"/>
  <c r="L20" i="209"/>
  <c r="K20" i="209"/>
  <c r="J20" i="209"/>
  <c r="I20" i="209"/>
  <c r="H20" i="209"/>
  <c r="G20" i="209"/>
  <c r="F20" i="209"/>
  <c r="E20" i="209"/>
  <c r="D20" i="209"/>
  <c r="C20" i="209"/>
  <c r="B20" i="209"/>
  <c r="N19" i="209"/>
  <c r="N17" i="209"/>
  <c r="N16" i="209"/>
  <c r="N11" i="209"/>
  <c r="M9" i="209"/>
  <c r="M13" i="209" s="1"/>
  <c r="L9" i="209"/>
  <c r="L13" i="209" s="1"/>
  <c r="K9" i="209"/>
  <c r="K13" i="209" s="1"/>
  <c r="J9" i="209"/>
  <c r="J13" i="209" s="1"/>
  <c r="I9" i="209"/>
  <c r="I13" i="209"/>
  <c r="H9" i="209"/>
  <c r="H13" i="209" s="1"/>
  <c r="G9" i="209"/>
  <c r="G13" i="209" s="1"/>
  <c r="F9" i="209"/>
  <c r="F13" i="209" s="1"/>
  <c r="E9" i="209"/>
  <c r="E13" i="209" s="1"/>
  <c r="D9" i="209"/>
  <c r="C9" i="209"/>
  <c r="C13" i="209"/>
  <c r="B9" i="209"/>
  <c r="B13" i="209" s="1"/>
  <c r="N8" i="209"/>
  <c r="N7" i="209"/>
  <c r="N6" i="209"/>
  <c r="N5" i="209"/>
  <c r="N4" i="209"/>
  <c r="P53" i="209"/>
  <c r="Z53" i="209" s="1"/>
  <c r="E27" i="209"/>
  <c r="L27" i="209"/>
  <c r="H27" i="209"/>
  <c r="D27" i="209"/>
  <c r="N20" i="209"/>
  <c r="N45" i="209"/>
  <c r="N56" i="209"/>
  <c r="N87" i="209"/>
  <c r="G84" i="209"/>
  <c r="K84" i="209"/>
  <c r="L58" i="209"/>
  <c r="H84" i="209"/>
  <c r="L84" i="209"/>
  <c r="E58" i="209"/>
  <c r="E84" i="209"/>
  <c r="I84" i="209"/>
  <c r="L57" i="208"/>
  <c r="N57" i="208" s="1"/>
  <c r="L56" i="208"/>
  <c r="M93" i="208"/>
  <c r="L93" i="208"/>
  <c r="K93" i="208"/>
  <c r="J93" i="208"/>
  <c r="I93" i="208"/>
  <c r="H93" i="208"/>
  <c r="G93" i="208"/>
  <c r="F93" i="208"/>
  <c r="E93" i="208"/>
  <c r="D93" i="208"/>
  <c r="C93" i="208"/>
  <c r="B93" i="208"/>
  <c r="K87" i="208"/>
  <c r="J87" i="208"/>
  <c r="I87" i="208"/>
  <c r="H87" i="208"/>
  <c r="G87" i="208"/>
  <c r="F87" i="208"/>
  <c r="E87" i="208"/>
  <c r="D87" i="208"/>
  <c r="C87" i="208"/>
  <c r="B87" i="208"/>
  <c r="D84" i="208"/>
  <c r="C84" i="208"/>
  <c r="B84" i="208"/>
  <c r="B83" i="208"/>
  <c r="N73" i="208"/>
  <c r="B68" i="208"/>
  <c r="C68" i="208" s="1"/>
  <c r="D68" i="208" s="1"/>
  <c r="E68" i="208" s="1"/>
  <c r="F68" i="208" s="1"/>
  <c r="G68" i="208" s="1"/>
  <c r="H68" i="208" s="1"/>
  <c r="I68" i="208" s="1"/>
  <c r="J68" i="208" s="1"/>
  <c r="K68" i="208" s="1"/>
  <c r="L68" i="208" s="1"/>
  <c r="M68" i="208" s="1"/>
  <c r="K58" i="208"/>
  <c r="J58" i="208"/>
  <c r="I58" i="208"/>
  <c r="H58" i="208"/>
  <c r="G58" i="208"/>
  <c r="F58" i="208"/>
  <c r="D58" i="208"/>
  <c r="C58" i="208"/>
  <c r="M87" i="208"/>
  <c r="M55" i="208"/>
  <c r="B55" i="208"/>
  <c r="N54" i="208"/>
  <c r="M53" i="208"/>
  <c r="E53" i="208"/>
  <c r="L46" i="208"/>
  <c r="K46" i="208"/>
  <c r="J46" i="208"/>
  <c r="I46" i="208"/>
  <c r="H46" i="208"/>
  <c r="G46" i="208"/>
  <c r="F46" i="208"/>
  <c r="E46" i="208"/>
  <c r="D46" i="208"/>
  <c r="C46" i="208"/>
  <c r="B46" i="208"/>
  <c r="M45" i="208"/>
  <c r="M46" i="208" s="1"/>
  <c r="N44" i="208"/>
  <c r="N41" i="208"/>
  <c r="N40" i="208"/>
  <c r="N39" i="208"/>
  <c r="N37" i="208"/>
  <c r="M34" i="208"/>
  <c r="L34" i="208"/>
  <c r="L38" i="208" s="1"/>
  <c r="L42" i="208" s="1"/>
  <c r="K34" i="208"/>
  <c r="K38" i="208" s="1"/>
  <c r="K42" i="208" s="1"/>
  <c r="J34" i="208"/>
  <c r="J38" i="208" s="1"/>
  <c r="J42" i="208" s="1"/>
  <c r="I34" i="208"/>
  <c r="H34" i="208"/>
  <c r="H38" i="208" s="1"/>
  <c r="H42" i="208" s="1"/>
  <c r="H48" i="208" s="1"/>
  <c r="H61" i="208" s="1"/>
  <c r="G34" i="208"/>
  <c r="G38" i="208" s="1"/>
  <c r="G42" i="208" s="1"/>
  <c r="F34" i="208"/>
  <c r="F38" i="208" s="1"/>
  <c r="F42" i="208" s="1"/>
  <c r="E34" i="208"/>
  <c r="D34" i="208"/>
  <c r="D38" i="208" s="1"/>
  <c r="D42" i="208" s="1"/>
  <c r="C34" i="208"/>
  <c r="C38" i="208" s="1"/>
  <c r="C42" i="208" s="1"/>
  <c r="B34" i="208"/>
  <c r="B38" i="208" s="1"/>
  <c r="B42" i="208" s="1"/>
  <c r="N33" i="208"/>
  <c r="N32" i="208"/>
  <c r="N31" i="208"/>
  <c r="N30" i="208"/>
  <c r="M26" i="208"/>
  <c r="L26" i="208"/>
  <c r="K26" i="208"/>
  <c r="J26" i="208"/>
  <c r="I26" i="208"/>
  <c r="H26" i="208"/>
  <c r="G26" i="208"/>
  <c r="F26" i="208"/>
  <c r="E26" i="208"/>
  <c r="D26" i="208"/>
  <c r="C26" i="208"/>
  <c r="B26" i="208"/>
  <c r="M25" i="208"/>
  <c r="L25" i="208"/>
  <c r="K25" i="208"/>
  <c r="J25" i="208"/>
  <c r="I25" i="208"/>
  <c r="H25" i="208"/>
  <c r="G25" i="208"/>
  <c r="F25" i="208"/>
  <c r="E25" i="208"/>
  <c r="D25" i="208"/>
  <c r="C25" i="208"/>
  <c r="B25" i="208"/>
  <c r="M24" i="208"/>
  <c r="L24" i="208"/>
  <c r="K24" i="208"/>
  <c r="J24" i="208"/>
  <c r="I24" i="208"/>
  <c r="H24" i="208"/>
  <c r="G24" i="208"/>
  <c r="F24" i="208"/>
  <c r="E24" i="208"/>
  <c r="D24" i="208"/>
  <c r="C24" i="208"/>
  <c r="B24" i="208"/>
  <c r="M23" i="208"/>
  <c r="M27" i="208" s="1"/>
  <c r="L23" i="208"/>
  <c r="L27" i="208" s="1"/>
  <c r="K23" i="208"/>
  <c r="K27" i="208" s="1"/>
  <c r="J23" i="208"/>
  <c r="J27" i="208" s="1"/>
  <c r="I23" i="208"/>
  <c r="H23" i="208"/>
  <c r="G23" i="208"/>
  <c r="F23" i="208"/>
  <c r="F27" i="208" s="1"/>
  <c r="E23" i="208"/>
  <c r="D23" i="208"/>
  <c r="C23" i="208"/>
  <c r="B23" i="208"/>
  <c r="B27" i="208" s="1"/>
  <c r="M20" i="208"/>
  <c r="L20" i="208"/>
  <c r="K20" i="208"/>
  <c r="J20" i="208"/>
  <c r="I20" i="208"/>
  <c r="H20" i="208"/>
  <c r="G20" i="208"/>
  <c r="F20" i="208"/>
  <c r="E20" i="208"/>
  <c r="D20" i="208"/>
  <c r="C20" i="208"/>
  <c r="B20" i="208"/>
  <c r="N19" i="208"/>
  <c r="N17" i="208"/>
  <c r="N16" i="208"/>
  <c r="J11" i="208"/>
  <c r="I11" i="208"/>
  <c r="H11" i="208"/>
  <c r="G11" i="208"/>
  <c r="F11" i="208"/>
  <c r="E11" i="208"/>
  <c r="D11" i="208"/>
  <c r="C11" i="208"/>
  <c r="B11" i="208"/>
  <c r="M9" i="208"/>
  <c r="M13" i="208" s="1"/>
  <c r="L9" i="208"/>
  <c r="K9" i="208"/>
  <c r="K13" i="208"/>
  <c r="J9" i="208"/>
  <c r="I9" i="208"/>
  <c r="H9" i="208"/>
  <c r="G9" i="208"/>
  <c r="F9" i="208"/>
  <c r="E9" i="208"/>
  <c r="D9" i="208"/>
  <c r="C9" i="208"/>
  <c r="B9" i="208"/>
  <c r="N8" i="208"/>
  <c r="N7" i="208"/>
  <c r="N6" i="208"/>
  <c r="N5" i="208"/>
  <c r="N4" i="208"/>
  <c r="N45" i="208"/>
  <c r="N46" i="208" s="1"/>
  <c r="C88" i="208"/>
  <c r="M53" i="207"/>
  <c r="N53" i="207" s="1"/>
  <c r="M55" i="207"/>
  <c r="M45" i="207"/>
  <c r="L56" i="207"/>
  <c r="L58" i="207" s="1"/>
  <c r="M56" i="207"/>
  <c r="M93" i="207"/>
  <c r="L93" i="207"/>
  <c r="K93" i="207"/>
  <c r="J93" i="207"/>
  <c r="I93" i="207"/>
  <c r="H93" i="207"/>
  <c r="G93" i="207"/>
  <c r="F93" i="207"/>
  <c r="E93" i="207"/>
  <c r="D93" i="207"/>
  <c r="C93" i="207"/>
  <c r="B93" i="207"/>
  <c r="L87" i="207"/>
  <c r="K87" i="207"/>
  <c r="J87" i="207"/>
  <c r="I87" i="207"/>
  <c r="H87" i="207"/>
  <c r="G87" i="207"/>
  <c r="F87" i="207"/>
  <c r="E87" i="207"/>
  <c r="D87" i="207"/>
  <c r="C87" i="207"/>
  <c r="B87" i="207"/>
  <c r="D84" i="207"/>
  <c r="C84" i="207"/>
  <c r="B84" i="207"/>
  <c r="B83" i="207"/>
  <c r="N73" i="207"/>
  <c r="B68" i="207"/>
  <c r="C68" i="207" s="1"/>
  <c r="D68" i="207" s="1"/>
  <c r="E68" i="207" s="1"/>
  <c r="F68" i="207" s="1"/>
  <c r="G68" i="207" s="1"/>
  <c r="H68" i="207" s="1"/>
  <c r="I68" i="207" s="1"/>
  <c r="J68" i="207" s="1"/>
  <c r="K68" i="207" s="1"/>
  <c r="L68" i="207" s="1"/>
  <c r="M68" i="207" s="1"/>
  <c r="K58" i="207"/>
  <c r="J58" i="207"/>
  <c r="I58" i="207"/>
  <c r="H58" i="207"/>
  <c r="G58" i="207"/>
  <c r="F58" i="207"/>
  <c r="D58" i="207"/>
  <c r="C58" i="207"/>
  <c r="N57" i="207"/>
  <c r="B55" i="207"/>
  <c r="B58" i="207" s="1"/>
  <c r="N54" i="207"/>
  <c r="E53" i="207"/>
  <c r="M46" i="207"/>
  <c r="L46" i="207"/>
  <c r="K46" i="207"/>
  <c r="J46" i="207"/>
  <c r="I46" i="207"/>
  <c r="H46" i="207"/>
  <c r="G46" i="207"/>
  <c r="F46" i="207"/>
  <c r="E46" i="207"/>
  <c r="D46" i="207"/>
  <c r="C46" i="207"/>
  <c r="B46" i="207"/>
  <c r="N45" i="207"/>
  <c r="N44" i="207"/>
  <c r="N41" i="207"/>
  <c r="N40" i="207"/>
  <c r="N39" i="207"/>
  <c r="N37" i="207"/>
  <c r="M34" i="207"/>
  <c r="M38" i="207" s="1"/>
  <c r="M42" i="207" s="1"/>
  <c r="L34" i="207"/>
  <c r="L38" i="207" s="1"/>
  <c r="L42" i="207" s="1"/>
  <c r="K34" i="207"/>
  <c r="K38" i="207" s="1"/>
  <c r="K42" i="207" s="1"/>
  <c r="J34" i="207"/>
  <c r="J38" i="207" s="1"/>
  <c r="J42" i="207" s="1"/>
  <c r="I34" i="207"/>
  <c r="I38" i="207" s="1"/>
  <c r="I42" i="207" s="1"/>
  <c r="H34" i="207"/>
  <c r="H38" i="207" s="1"/>
  <c r="H42" i="207" s="1"/>
  <c r="G34" i="207"/>
  <c r="F34" i="207"/>
  <c r="F38" i="207" s="1"/>
  <c r="F42" i="207" s="1"/>
  <c r="E34" i="207"/>
  <c r="E38" i="207" s="1"/>
  <c r="E42" i="207" s="1"/>
  <c r="D34" i="207"/>
  <c r="D38" i="207" s="1"/>
  <c r="D42" i="207" s="1"/>
  <c r="C34" i="207"/>
  <c r="B34" i="207"/>
  <c r="B38" i="207" s="1"/>
  <c r="AD33" i="207"/>
  <c r="AR33" i="207" s="1"/>
  <c r="AC33" i="207"/>
  <c r="AQ33" i="207" s="1"/>
  <c r="AA33" i="207"/>
  <c r="AO33" i="207" s="1"/>
  <c r="Z33" i="207"/>
  <c r="AN33" i="207" s="1"/>
  <c r="Y33" i="207"/>
  <c r="AM33" i="207" s="1"/>
  <c r="X33" i="207"/>
  <c r="AL33" i="207" s="1"/>
  <c r="W33" i="207"/>
  <c r="AK33" i="207" s="1"/>
  <c r="V33" i="207"/>
  <c r="AJ33" i="207" s="1"/>
  <c r="U33" i="207"/>
  <c r="AI33" i="207" s="1"/>
  <c r="T33" i="207"/>
  <c r="AH33" i="207" s="1"/>
  <c r="S33" i="207"/>
  <c r="AG33" i="207" s="1"/>
  <c r="R33" i="207"/>
  <c r="AF33" i="207" s="1"/>
  <c r="Q33" i="207"/>
  <c r="AE33" i="207" s="1"/>
  <c r="N33" i="207"/>
  <c r="AB33" i="207" s="1"/>
  <c r="AP33" i="207" s="1"/>
  <c r="AC32" i="207"/>
  <c r="AQ32" i="207" s="1"/>
  <c r="AA32" i="207"/>
  <c r="AO32" i="207" s="1"/>
  <c r="Z32" i="207"/>
  <c r="AN32" i="207" s="1"/>
  <c r="Y32" i="207"/>
  <c r="AM32" i="207" s="1"/>
  <c r="X32" i="207"/>
  <c r="AL32" i="207" s="1"/>
  <c r="W32" i="207"/>
  <c r="AK32" i="207" s="1"/>
  <c r="V32" i="207"/>
  <c r="AJ32" i="207" s="1"/>
  <c r="U32" i="207"/>
  <c r="AI32" i="207" s="1"/>
  <c r="T32" i="207"/>
  <c r="AH32" i="207" s="1"/>
  <c r="S32" i="207"/>
  <c r="AG32" i="207" s="1"/>
  <c r="R32" i="207"/>
  <c r="AF32" i="207" s="1"/>
  <c r="Q32" i="207"/>
  <c r="AE32" i="207" s="1"/>
  <c r="P32" i="207"/>
  <c r="AD32" i="207" s="1"/>
  <c r="AR32" i="207" s="1"/>
  <c r="N32" i="207"/>
  <c r="AB32" i="207" s="1"/>
  <c r="AP32" i="207" s="1"/>
  <c r="N31" i="207"/>
  <c r="N30" i="207"/>
  <c r="M26" i="207"/>
  <c r="L26" i="207"/>
  <c r="K26" i="207"/>
  <c r="J26" i="207"/>
  <c r="I26" i="207"/>
  <c r="H26" i="207"/>
  <c r="G26" i="207"/>
  <c r="F26" i="207"/>
  <c r="E26" i="207"/>
  <c r="D26" i="207"/>
  <c r="C26" i="207"/>
  <c r="B26" i="207"/>
  <c r="M25" i="207"/>
  <c r="L25" i="207"/>
  <c r="K25" i="207"/>
  <c r="J25" i="207"/>
  <c r="I25" i="207"/>
  <c r="H25" i="207"/>
  <c r="G25" i="207"/>
  <c r="F25" i="207"/>
  <c r="E25" i="207"/>
  <c r="D25" i="207"/>
  <c r="C25" i="207"/>
  <c r="B25" i="207"/>
  <c r="M24" i="207"/>
  <c r="L24" i="207"/>
  <c r="K24" i="207"/>
  <c r="J24" i="207"/>
  <c r="I24" i="207"/>
  <c r="H24" i="207"/>
  <c r="G24" i="207"/>
  <c r="F24" i="207"/>
  <c r="E24" i="207"/>
  <c r="D24" i="207"/>
  <c r="C24" i="207"/>
  <c r="B24" i="207"/>
  <c r="M23" i="207"/>
  <c r="M27" i="207" s="1"/>
  <c r="L23" i="207"/>
  <c r="L27" i="207" s="1"/>
  <c r="K23" i="207"/>
  <c r="J23" i="207"/>
  <c r="J27" i="207" s="1"/>
  <c r="I23" i="207"/>
  <c r="I27" i="207" s="1"/>
  <c r="H23" i="207"/>
  <c r="G23" i="207"/>
  <c r="F23" i="207"/>
  <c r="F27" i="207" s="1"/>
  <c r="E23" i="207"/>
  <c r="E27" i="207" s="1"/>
  <c r="D23" i="207"/>
  <c r="C23" i="207"/>
  <c r="B23" i="207"/>
  <c r="B27" i="207" s="1"/>
  <c r="M20" i="207"/>
  <c r="L20" i="207"/>
  <c r="K20" i="207"/>
  <c r="J20" i="207"/>
  <c r="I20" i="207"/>
  <c r="H20" i="207"/>
  <c r="G20" i="207"/>
  <c r="F20" i="207"/>
  <c r="E20" i="207"/>
  <c r="D20" i="207"/>
  <c r="C20" i="207"/>
  <c r="B20" i="207"/>
  <c r="N19" i="207"/>
  <c r="N17" i="207"/>
  <c r="N16" i="207"/>
  <c r="N20" i="207" s="1"/>
  <c r="J11" i="207"/>
  <c r="I11" i="207"/>
  <c r="H11" i="207"/>
  <c r="G11" i="207"/>
  <c r="F11" i="207"/>
  <c r="E11" i="207"/>
  <c r="D11" i="207"/>
  <c r="C11" i="207"/>
  <c r="B11" i="207"/>
  <c r="M9" i="207"/>
  <c r="M13" i="207" s="1"/>
  <c r="L9" i="207"/>
  <c r="L13" i="207"/>
  <c r="K9" i="207"/>
  <c r="K13" i="207" s="1"/>
  <c r="J9" i="207"/>
  <c r="J13" i="207" s="1"/>
  <c r="I9" i="207"/>
  <c r="I13" i="207" s="1"/>
  <c r="H9" i="207"/>
  <c r="G9" i="207"/>
  <c r="F9" i="207"/>
  <c r="F13" i="207" s="1"/>
  <c r="E9" i="207"/>
  <c r="E13" i="207" s="1"/>
  <c r="D9" i="207"/>
  <c r="D13" i="207" s="1"/>
  <c r="C9" i="207"/>
  <c r="B9" i="207"/>
  <c r="B13" i="207"/>
  <c r="N8" i="207"/>
  <c r="N7" i="207"/>
  <c r="N6" i="207"/>
  <c r="N5" i="207"/>
  <c r="N9" i="207" s="1"/>
  <c r="N4" i="207"/>
  <c r="N46" i="207"/>
  <c r="G84" i="207"/>
  <c r="J84" i="207"/>
  <c r="E58" i="207"/>
  <c r="H84" i="207"/>
  <c r="F84" i="207"/>
  <c r="E84" i="207"/>
  <c r="I84" i="207"/>
  <c r="M93" i="206"/>
  <c r="L93" i="206"/>
  <c r="K93" i="206"/>
  <c r="J93" i="206"/>
  <c r="I93" i="206"/>
  <c r="H93" i="206"/>
  <c r="G93" i="206"/>
  <c r="F93" i="206"/>
  <c r="E93" i="206"/>
  <c r="D93" i="206"/>
  <c r="C93" i="206"/>
  <c r="B93" i="206"/>
  <c r="M87" i="206"/>
  <c r="L87" i="206"/>
  <c r="K87" i="206"/>
  <c r="J87" i="206"/>
  <c r="I87" i="206"/>
  <c r="H87" i="206"/>
  <c r="G87" i="206"/>
  <c r="F87" i="206"/>
  <c r="E87" i="206"/>
  <c r="D87" i="206"/>
  <c r="C87" i="206"/>
  <c r="B87" i="206"/>
  <c r="C88" i="206" s="1"/>
  <c r="D84" i="206"/>
  <c r="C84" i="206"/>
  <c r="B84" i="206"/>
  <c r="B85" i="206" s="1"/>
  <c r="B83" i="206"/>
  <c r="C83" i="206" s="1"/>
  <c r="N73" i="206"/>
  <c r="B68" i="206"/>
  <c r="C68" i="206" s="1"/>
  <c r="D68" i="206" s="1"/>
  <c r="E68" i="206" s="1"/>
  <c r="F68" i="206" s="1"/>
  <c r="G68" i="206" s="1"/>
  <c r="H68" i="206" s="1"/>
  <c r="I68" i="206" s="1"/>
  <c r="J68" i="206" s="1"/>
  <c r="K68" i="206" s="1"/>
  <c r="L68" i="206" s="1"/>
  <c r="M68" i="206" s="1"/>
  <c r="M58" i="206"/>
  <c r="L58" i="206"/>
  <c r="K58" i="206"/>
  <c r="J58" i="206"/>
  <c r="I58" i="206"/>
  <c r="H58" i="206"/>
  <c r="G58" i="206"/>
  <c r="F58" i="206"/>
  <c r="D58" i="206"/>
  <c r="C58" i="206"/>
  <c r="N57" i="206"/>
  <c r="N56" i="206"/>
  <c r="B55" i="206"/>
  <c r="N55" i="206" s="1"/>
  <c r="N54" i="206"/>
  <c r="E53" i="206"/>
  <c r="F84" i="206" s="1"/>
  <c r="M46" i="206"/>
  <c r="L46" i="206"/>
  <c r="K46" i="206"/>
  <c r="J46" i="206"/>
  <c r="I46" i="206"/>
  <c r="H46" i="206"/>
  <c r="G46" i="206"/>
  <c r="F46" i="206"/>
  <c r="E46" i="206"/>
  <c r="D46" i="206"/>
  <c r="C46" i="206"/>
  <c r="B46" i="206"/>
  <c r="N45" i="206"/>
  <c r="N44" i="206"/>
  <c r="N41" i="206"/>
  <c r="N40" i="206"/>
  <c r="N39" i="206"/>
  <c r="N37" i="206"/>
  <c r="M34" i="206"/>
  <c r="M38" i="206" s="1"/>
  <c r="M42" i="206" s="1"/>
  <c r="L34" i="206"/>
  <c r="L38" i="206" s="1"/>
  <c r="L42" i="206" s="1"/>
  <c r="K34" i="206"/>
  <c r="K38" i="206" s="1"/>
  <c r="K42" i="206"/>
  <c r="J34" i="206"/>
  <c r="J38" i="206" s="1"/>
  <c r="J42" i="206" s="1"/>
  <c r="I34" i="206"/>
  <c r="I38" i="206" s="1"/>
  <c r="I42" i="206" s="1"/>
  <c r="H34" i="206"/>
  <c r="H38" i="206" s="1"/>
  <c r="H42" i="206" s="1"/>
  <c r="G34" i="206"/>
  <c r="G38" i="206" s="1"/>
  <c r="G42" i="206" s="1"/>
  <c r="F34" i="206"/>
  <c r="F38" i="206" s="1"/>
  <c r="F42" i="206" s="1"/>
  <c r="E34" i="206"/>
  <c r="E38" i="206" s="1"/>
  <c r="E42" i="206" s="1"/>
  <c r="D34" i="206"/>
  <c r="D38" i="206" s="1"/>
  <c r="D42" i="206" s="1"/>
  <c r="C34" i="206"/>
  <c r="C38" i="206" s="1"/>
  <c r="C42" i="206" s="1"/>
  <c r="B34" i="206"/>
  <c r="B38" i="206" s="1"/>
  <c r="B42" i="206" s="1"/>
  <c r="AD33" i="206"/>
  <c r="AR33" i="206" s="1"/>
  <c r="AC33" i="206"/>
  <c r="AQ33" i="206" s="1"/>
  <c r="AA33" i="206"/>
  <c r="AO33" i="206" s="1"/>
  <c r="Z33" i="206"/>
  <c r="AN33" i="206" s="1"/>
  <c r="Y33" i="206"/>
  <c r="AM33" i="206" s="1"/>
  <c r="X33" i="206"/>
  <c r="AL33" i="206" s="1"/>
  <c r="W33" i="206"/>
  <c r="AK33" i="206" s="1"/>
  <c r="V33" i="206"/>
  <c r="AJ33" i="206" s="1"/>
  <c r="U33" i="206"/>
  <c r="AI33" i="206" s="1"/>
  <c r="T33" i="206"/>
  <c r="AH33" i="206" s="1"/>
  <c r="S33" i="206"/>
  <c r="AG33" i="206" s="1"/>
  <c r="R33" i="206"/>
  <c r="AF33" i="206" s="1"/>
  <c r="Q33" i="206"/>
  <c r="AE33" i="206" s="1"/>
  <c r="N33" i="206"/>
  <c r="AB33" i="206" s="1"/>
  <c r="AP33" i="206" s="1"/>
  <c r="AC32" i="206"/>
  <c r="AQ32" i="206" s="1"/>
  <c r="AA32" i="206"/>
  <c r="AO32" i="206" s="1"/>
  <c r="Z32" i="206"/>
  <c r="AN32" i="206"/>
  <c r="Y32" i="206"/>
  <c r="AM32" i="206"/>
  <c r="X32" i="206"/>
  <c r="AL32" i="206" s="1"/>
  <c r="W32" i="206"/>
  <c r="AK32" i="206" s="1"/>
  <c r="V32" i="206"/>
  <c r="AJ32" i="206"/>
  <c r="U32" i="206"/>
  <c r="AI32" i="206"/>
  <c r="T32" i="206"/>
  <c r="AH32" i="206" s="1"/>
  <c r="S32" i="206"/>
  <c r="AG32" i="206" s="1"/>
  <c r="R32" i="206"/>
  <c r="AF32" i="206"/>
  <c r="Q32" i="206"/>
  <c r="AE32" i="206"/>
  <c r="P32" i="206"/>
  <c r="AD32" i="206" s="1"/>
  <c r="AR32" i="206" s="1"/>
  <c r="N32" i="206"/>
  <c r="AB32" i="206" s="1"/>
  <c r="AP32" i="206" s="1"/>
  <c r="N31" i="206"/>
  <c r="N30" i="206"/>
  <c r="M26" i="206"/>
  <c r="L26" i="206"/>
  <c r="K26" i="206"/>
  <c r="J26" i="206"/>
  <c r="I26" i="206"/>
  <c r="H26" i="206"/>
  <c r="G26" i="206"/>
  <c r="F26" i="206"/>
  <c r="E26" i="206"/>
  <c r="D26" i="206"/>
  <c r="C26" i="206"/>
  <c r="B26" i="206"/>
  <c r="M25" i="206"/>
  <c r="L25" i="206"/>
  <c r="K25" i="206"/>
  <c r="J25" i="206"/>
  <c r="I25" i="206"/>
  <c r="H25" i="206"/>
  <c r="G25" i="206"/>
  <c r="F25" i="206"/>
  <c r="E25" i="206"/>
  <c r="D25" i="206"/>
  <c r="C25" i="206"/>
  <c r="B25" i="206"/>
  <c r="M24" i="206"/>
  <c r="L24" i="206"/>
  <c r="L27" i="206" s="1"/>
  <c r="K24" i="206"/>
  <c r="J24" i="206"/>
  <c r="I24" i="206"/>
  <c r="H24" i="206"/>
  <c r="G24" i="206"/>
  <c r="F24" i="206"/>
  <c r="E24" i="206"/>
  <c r="D24" i="206"/>
  <c r="C24" i="206"/>
  <c r="B24" i="206"/>
  <c r="M23" i="206"/>
  <c r="M27" i="206"/>
  <c r="L23" i="206"/>
  <c r="K23" i="206"/>
  <c r="K27" i="206" s="1"/>
  <c r="J23" i="206"/>
  <c r="I23" i="206"/>
  <c r="I27" i="206" s="1"/>
  <c r="I28" i="206" s="1"/>
  <c r="H23" i="206"/>
  <c r="G23" i="206"/>
  <c r="G27" i="206" s="1"/>
  <c r="F23" i="206"/>
  <c r="E23" i="206"/>
  <c r="E27" i="206" s="1"/>
  <c r="D23" i="206"/>
  <c r="C23" i="206"/>
  <c r="B23" i="206"/>
  <c r="M20" i="206"/>
  <c r="L20" i="206"/>
  <c r="K20" i="206"/>
  <c r="J20" i="206"/>
  <c r="I20" i="206"/>
  <c r="H20" i="206"/>
  <c r="G20" i="206"/>
  <c r="F20" i="206"/>
  <c r="E20" i="206"/>
  <c r="D20" i="206"/>
  <c r="C20" i="206"/>
  <c r="B20" i="206"/>
  <c r="N19" i="206"/>
  <c r="N17" i="206"/>
  <c r="N16" i="206"/>
  <c r="J11" i="206"/>
  <c r="I11" i="206"/>
  <c r="H11" i="206"/>
  <c r="G11" i="206"/>
  <c r="F11" i="206"/>
  <c r="E11" i="206"/>
  <c r="D11" i="206"/>
  <c r="C11" i="206"/>
  <c r="B11" i="206"/>
  <c r="M9" i="206"/>
  <c r="M13" i="206" s="1"/>
  <c r="L9" i="206"/>
  <c r="L13" i="206" s="1"/>
  <c r="K9" i="206"/>
  <c r="K13" i="206" s="1"/>
  <c r="J9" i="206"/>
  <c r="I9" i="206"/>
  <c r="H9" i="206"/>
  <c r="H13" i="206" s="1"/>
  <c r="G9" i="206"/>
  <c r="F9" i="206"/>
  <c r="E9" i="206"/>
  <c r="D9" i="206"/>
  <c r="D13" i="206" s="1"/>
  <c r="C9" i="206"/>
  <c r="B9" i="206"/>
  <c r="N8" i="206"/>
  <c r="N7" i="206"/>
  <c r="N6" i="206"/>
  <c r="N5" i="206"/>
  <c r="N4" i="206"/>
  <c r="E28" i="206"/>
  <c r="G84" i="206"/>
  <c r="L84" i="206"/>
  <c r="M93" i="205"/>
  <c r="L93" i="205"/>
  <c r="K93" i="205"/>
  <c r="J93" i="205"/>
  <c r="I93" i="205"/>
  <c r="H93" i="205"/>
  <c r="G93" i="205"/>
  <c r="F93" i="205"/>
  <c r="E93" i="205"/>
  <c r="D93" i="205"/>
  <c r="C93" i="205"/>
  <c r="B93" i="205"/>
  <c r="M87" i="205"/>
  <c r="L87" i="205"/>
  <c r="K87" i="205"/>
  <c r="J87" i="205"/>
  <c r="I87" i="205"/>
  <c r="H87" i="205"/>
  <c r="G87" i="205"/>
  <c r="F87" i="205"/>
  <c r="E87" i="205"/>
  <c r="D87" i="205"/>
  <c r="C87" i="205"/>
  <c r="B87" i="205"/>
  <c r="D84" i="205"/>
  <c r="C84" i="205"/>
  <c r="B84" i="205"/>
  <c r="B83" i="205"/>
  <c r="N73" i="205"/>
  <c r="B68" i="205"/>
  <c r="C68" i="205" s="1"/>
  <c r="D68" i="205" s="1"/>
  <c r="E68" i="205" s="1"/>
  <c r="F68" i="205" s="1"/>
  <c r="G68" i="205" s="1"/>
  <c r="H68" i="205" s="1"/>
  <c r="I68" i="205" s="1"/>
  <c r="J68" i="205" s="1"/>
  <c r="K68" i="205" s="1"/>
  <c r="L68" i="205" s="1"/>
  <c r="M68" i="205" s="1"/>
  <c r="M58" i="205"/>
  <c r="L58" i="205"/>
  <c r="K58" i="205"/>
  <c r="J58" i="205"/>
  <c r="I58" i="205"/>
  <c r="H58" i="205"/>
  <c r="G58" i="205"/>
  <c r="F58" i="205"/>
  <c r="D58" i="205"/>
  <c r="C58" i="205"/>
  <c r="N57" i="205"/>
  <c r="N56" i="205"/>
  <c r="B55" i="205"/>
  <c r="B58" i="205" s="1"/>
  <c r="N54" i="205"/>
  <c r="E53" i="205"/>
  <c r="L84" i="205" s="1"/>
  <c r="M46" i="205"/>
  <c r="L46" i="205"/>
  <c r="K46" i="205"/>
  <c r="J46" i="205"/>
  <c r="I46" i="205"/>
  <c r="H46" i="205"/>
  <c r="G46" i="205"/>
  <c r="F46" i="205"/>
  <c r="E46" i="205"/>
  <c r="D46" i="205"/>
  <c r="C46" i="205"/>
  <c r="B46" i="205"/>
  <c r="N45" i="205"/>
  <c r="N44" i="205"/>
  <c r="N41" i="205"/>
  <c r="N40" i="205"/>
  <c r="N39" i="205"/>
  <c r="N37" i="205"/>
  <c r="M34" i="205"/>
  <c r="M38" i="205" s="1"/>
  <c r="M42" i="205" s="1"/>
  <c r="L34" i="205"/>
  <c r="L38" i="205" s="1"/>
  <c r="L42" i="205" s="1"/>
  <c r="K34" i="205"/>
  <c r="J34" i="205"/>
  <c r="J38" i="205" s="1"/>
  <c r="J42" i="205" s="1"/>
  <c r="I34" i="205"/>
  <c r="I38" i="205" s="1"/>
  <c r="I42" i="205" s="1"/>
  <c r="H34" i="205"/>
  <c r="H38" i="205" s="1"/>
  <c r="H42" i="205" s="1"/>
  <c r="G34" i="205"/>
  <c r="G38" i="205" s="1"/>
  <c r="G42" i="205" s="1"/>
  <c r="F34" i="205"/>
  <c r="F38" i="205" s="1"/>
  <c r="F42" i="205" s="1"/>
  <c r="E34" i="205"/>
  <c r="E38" i="205" s="1"/>
  <c r="E42" i="205" s="1"/>
  <c r="D34" i="205"/>
  <c r="D38" i="205" s="1"/>
  <c r="D42" i="205" s="1"/>
  <c r="C34" i="205"/>
  <c r="C38" i="205" s="1"/>
  <c r="B34" i="205"/>
  <c r="B38" i="205" s="1"/>
  <c r="AD33" i="205"/>
  <c r="AR33" i="205" s="1"/>
  <c r="AC33" i="205"/>
  <c r="AQ33" i="205" s="1"/>
  <c r="AA33" i="205"/>
  <c r="AO33" i="205" s="1"/>
  <c r="Z33" i="205"/>
  <c r="AN33" i="205" s="1"/>
  <c r="Y33" i="205"/>
  <c r="AM33" i="205" s="1"/>
  <c r="X33" i="205"/>
  <c r="AL33" i="205" s="1"/>
  <c r="W33" i="205"/>
  <c r="AK33" i="205" s="1"/>
  <c r="V33" i="205"/>
  <c r="AJ33" i="205" s="1"/>
  <c r="U33" i="205"/>
  <c r="AI33" i="205" s="1"/>
  <c r="T33" i="205"/>
  <c r="AH33" i="205" s="1"/>
  <c r="S33" i="205"/>
  <c r="AG33" i="205" s="1"/>
  <c r="R33" i="205"/>
  <c r="AF33" i="205" s="1"/>
  <c r="Q33" i="205"/>
  <c r="AE33" i="205" s="1"/>
  <c r="N33" i="205"/>
  <c r="AB33" i="205" s="1"/>
  <c r="AP33" i="205" s="1"/>
  <c r="AC32" i="205"/>
  <c r="AQ32" i="205" s="1"/>
  <c r="AA32" i="205"/>
  <c r="AO32" i="205" s="1"/>
  <c r="Z32" i="205"/>
  <c r="AN32" i="205" s="1"/>
  <c r="Y32" i="205"/>
  <c r="AM32" i="205"/>
  <c r="X32" i="205"/>
  <c r="AL32" i="205" s="1"/>
  <c r="W32" i="205"/>
  <c r="AK32" i="205" s="1"/>
  <c r="V32" i="205"/>
  <c r="AJ32" i="205" s="1"/>
  <c r="U32" i="205"/>
  <c r="AI32" i="205" s="1"/>
  <c r="T32" i="205"/>
  <c r="AH32" i="205" s="1"/>
  <c r="S32" i="205"/>
  <c r="AG32" i="205" s="1"/>
  <c r="R32" i="205"/>
  <c r="AF32" i="205" s="1"/>
  <c r="Q32" i="205"/>
  <c r="AE32" i="205" s="1"/>
  <c r="P32" i="205"/>
  <c r="AD32" i="205" s="1"/>
  <c r="AR32" i="205" s="1"/>
  <c r="N32" i="205"/>
  <c r="AB32" i="205" s="1"/>
  <c r="AP32" i="205" s="1"/>
  <c r="N31" i="205"/>
  <c r="N30" i="205"/>
  <c r="M26" i="205"/>
  <c r="L26" i="205"/>
  <c r="K26" i="205"/>
  <c r="J26" i="205"/>
  <c r="I26" i="205"/>
  <c r="H26" i="205"/>
  <c r="G26" i="205"/>
  <c r="F26" i="205"/>
  <c r="E26" i="205"/>
  <c r="D26" i="205"/>
  <c r="C26" i="205"/>
  <c r="B26" i="205"/>
  <c r="M25" i="205"/>
  <c r="L25" i="205"/>
  <c r="K25" i="205"/>
  <c r="J25" i="205"/>
  <c r="I25" i="205"/>
  <c r="H25" i="205"/>
  <c r="G25" i="205"/>
  <c r="F25" i="205"/>
  <c r="E25" i="205"/>
  <c r="D25" i="205"/>
  <c r="C25" i="205"/>
  <c r="B25" i="205"/>
  <c r="M24" i="205"/>
  <c r="L24" i="205"/>
  <c r="K24" i="205"/>
  <c r="J24" i="205"/>
  <c r="I24" i="205"/>
  <c r="H24" i="205"/>
  <c r="G24" i="205"/>
  <c r="F24" i="205"/>
  <c r="E24" i="205"/>
  <c r="D24" i="205"/>
  <c r="C24" i="205"/>
  <c r="B24" i="205"/>
  <c r="M23" i="205"/>
  <c r="M27" i="205" s="1"/>
  <c r="L23" i="205"/>
  <c r="K23" i="205"/>
  <c r="J23" i="205"/>
  <c r="I23" i="205"/>
  <c r="H23" i="205"/>
  <c r="G23" i="205"/>
  <c r="G27" i="205" s="1"/>
  <c r="F23" i="205"/>
  <c r="E23" i="205"/>
  <c r="D23" i="205"/>
  <c r="D27" i="205" s="1"/>
  <c r="C23" i="205"/>
  <c r="C27" i="205" s="1"/>
  <c r="B23" i="205"/>
  <c r="M20" i="205"/>
  <c r="L20" i="205"/>
  <c r="K20" i="205"/>
  <c r="J20" i="205"/>
  <c r="I20" i="205"/>
  <c r="H20" i="205"/>
  <c r="G20" i="205"/>
  <c r="F20" i="205"/>
  <c r="E20" i="205"/>
  <c r="D20" i="205"/>
  <c r="C20" i="205"/>
  <c r="B20" i="205"/>
  <c r="B48" i="205" s="1"/>
  <c r="B61" i="205" s="1"/>
  <c r="N19" i="205"/>
  <c r="N17" i="205"/>
  <c r="N16" i="205"/>
  <c r="J11" i="205"/>
  <c r="I11" i="205"/>
  <c r="H11" i="205"/>
  <c r="G11" i="205"/>
  <c r="F11" i="205"/>
  <c r="E11" i="205"/>
  <c r="D11" i="205"/>
  <c r="C11" i="205"/>
  <c r="B11" i="205"/>
  <c r="M9" i="205"/>
  <c r="M13" i="205" s="1"/>
  <c r="L9" i="205"/>
  <c r="L13" i="205" s="1"/>
  <c r="K9" i="205"/>
  <c r="K13" i="205" s="1"/>
  <c r="J9" i="205"/>
  <c r="J13" i="205" s="1"/>
  <c r="I9" i="205"/>
  <c r="H9" i="205"/>
  <c r="G9" i="205"/>
  <c r="F9" i="205"/>
  <c r="E9" i="205"/>
  <c r="D9" i="205"/>
  <c r="D13" i="205" s="1"/>
  <c r="C9" i="205"/>
  <c r="C13" i="205" s="1"/>
  <c r="B9" i="205"/>
  <c r="B13" i="205" s="1"/>
  <c r="N8" i="205"/>
  <c r="N7" i="205"/>
  <c r="N6" i="205"/>
  <c r="N5" i="205"/>
  <c r="N4" i="205"/>
  <c r="B42" i="205"/>
  <c r="F84" i="205"/>
  <c r="J84" i="205"/>
  <c r="G84" i="205"/>
  <c r="K84" i="205"/>
  <c r="E58" i="205"/>
  <c r="H84" i="205"/>
  <c r="J11" i="204"/>
  <c r="M93" i="204"/>
  <c r="L93" i="204"/>
  <c r="K93" i="204"/>
  <c r="J93" i="204"/>
  <c r="I93" i="204"/>
  <c r="H93" i="204"/>
  <c r="G93" i="204"/>
  <c r="F93" i="204"/>
  <c r="E93" i="204"/>
  <c r="D93" i="204"/>
  <c r="C93" i="204"/>
  <c r="B93" i="204"/>
  <c r="M87" i="204"/>
  <c r="L87" i="204"/>
  <c r="K87" i="204"/>
  <c r="J87" i="204"/>
  <c r="I87" i="204"/>
  <c r="H87" i="204"/>
  <c r="G87" i="204"/>
  <c r="F87" i="204"/>
  <c r="E87" i="204"/>
  <c r="D87" i="204"/>
  <c r="C87" i="204"/>
  <c r="B87" i="204"/>
  <c r="D84" i="204"/>
  <c r="C84" i="204"/>
  <c r="B84" i="204"/>
  <c r="B83" i="204"/>
  <c r="N73" i="204"/>
  <c r="B68" i="204"/>
  <c r="C68" i="204" s="1"/>
  <c r="D68" i="204" s="1"/>
  <c r="E68" i="204" s="1"/>
  <c r="F68" i="204" s="1"/>
  <c r="G68" i="204" s="1"/>
  <c r="H68" i="204" s="1"/>
  <c r="I68" i="204" s="1"/>
  <c r="J68" i="204" s="1"/>
  <c r="K68" i="204" s="1"/>
  <c r="L68" i="204" s="1"/>
  <c r="M68" i="204" s="1"/>
  <c r="M58" i="204"/>
  <c r="L58" i="204"/>
  <c r="K58" i="204"/>
  <c r="J58" i="204"/>
  <c r="I58" i="204"/>
  <c r="H58" i="204"/>
  <c r="G58" i="204"/>
  <c r="F58" i="204"/>
  <c r="D58" i="204"/>
  <c r="C58" i="204"/>
  <c r="N57" i="204"/>
  <c r="N56" i="204"/>
  <c r="N87" i="204" s="1"/>
  <c r="B55" i="204"/>
  <c r="N55" i="204" s="1"/>
  <c r="N54" i="204"/>
  <c r="E53" i="204"/>
  <c r="N53" i="204" s="1"/>
  <c r="M46" i="204"/>
  <c r="L46" i="204"/>
  <c r="K46" i="204"/>
  <c r="J46" i="204"/>
  <c r="I46" i="204"/>
  <c r="H46" i="204"/>
  <c r="G46" i="204"/>
  <c r="F46" i="204"/>
  <c r="E46" i="204"/>
  <c r="D46" i="204"/>
  <c r="C46" i="204"/>
  <c r="B46" i="204"/>
  <c r="N45" i="204"/>
  <c r="N44" i="204"/>
  <c r="N41" i="204"/>
  <c r="N40" i="204"/>
  <c r="N39" i="204"/>
  <c r="N37" i="204"/>
  <c r="M34" i="204"/>
  <c r="M38" i="204" s="1"/>
  <c r="M42" i="204" s="1"/>
  <c r="L34" i="204"/>
  <c r="L38" i="204" s="1"/>
  <c r="L42" i="204" s="1"/>
  <c r="K34" i="204"/>
  <c r="K38" i="204" s="1"/>
  <c r="K42" i="204" s="1"/>
  <c r="J34" i="204"/>
  <c r="J38" i="204" s="1"/>
  <c r="J42" i="204" s="1"/>
  <c r="I34" i="204"/>
  <c r="I38" i="204" s="1"/>
  <c r="I42" i="204" s="1"/>
  <c r="H34" i="204"/>
  <c r="H38" i="204" s="1"/>
  <c r="H42" i="204" s="1"/>
  <c r="G34" i="204"/>
  <c r="F34" i="204"/>
  <c r="F38" i="204" s="1"/>
  <c r="F42" i="204" s="1"/>
  <c r="E34" i="204"/>
  <c r="E38" i="204" s="1"/>
  <c r="E42" i="204" s="1"/>
  <c r="D34" i="204"/>
  <c r="D38" i="204" s="1"/>
  <c r="D42" i="204" s="1"/>
  <c r="C34" i="204"/>
  <c r="B34" i="204"/>
  <c r="B38" i="204" s="1"/>
  <c r="AD33" i="204"/>
  <c r="AR33" i="204" s="1"/>
  <c r="AC33" i="204"/>
  <c r="AQ33" i="204" s="1"/>
  <c r="AA33" i="204"/>
  <c r="AO33" i="204" s="1"/>
  <c r="Z33" i="204"/>
  <c r="AN33" i="204" s="1"/>
  <c r="Y33" i="204"/>
  <c r="AM33" i="204" s="1"/>
  <c r="X33" i="204"/>
  <c r="AL33" i="204" s="1"/>
  <c r="W33" i="204"/>
  <c r="AK33" i="204" s="1"/>
  <c r="V33" i="204"/>
  <c r="AJ33" i="204" s="1"/>
  <c r="U33" i="204"/>
  <c r="AI33" i="204" s="1"/>
  <c r="T33" i="204"/>
  <c r="AH33" i="204" s="1"/>
  <c r="S33" i="204"/>
  <c r="AG33" i="204" s="1"/>
  <c r="R33" i="204"/>
  <c r="AF33" i="204" s="1"/>
  <c r="Q33" i="204"/>
  <c r="AE33" i="204" s="1"/>
  <c r="N33" i="204"/>
  <c r="AB33" i="204" s="1"/>
  <c r="AP33" i="204" s="1"/>
  <c r="AC32" i="204"/>
  <c r="AQ32" i="204" s="1"/>
  <c r="AA32" i="204"/>
  <c r="AO32" i="204" s="1"/>
  <c r="Z32" i="204"/>
  <c r="AN32" i="204" s="1"/>
  <c r="Y32" i="204"/>
  <c r="AM32" i="204" s="1"/>
  <c r="X32" i="204"/>
  <c r="AL32" i="204" s="1"/>
  <c r="W32" i="204"/>
  <c r="AK32" i="204" s="1"/>
  <c r="V32" i="204"/>
  <c r="AJ32" i="204" s="1"/>
  <c r="U32" i="204"/>
  <c r="AI32" i="204" s="1"/>
  <c r="T32" i="204"/>
  <c r="AH32" i="204" s="1"/>
  <c r="S32" i="204"/>
  <c r="AG32" i="204" s="1"/>
  <c r="R32" i="204"/>
  <c r="AF32" i="204" s="1"/>
  <c r="Q32" i="204"/>
  <c r="AE32" i="204" s="1"/>
  <c r="P32" i="204"/>
  <c r="AD32" i="204" s="1"/>
  <c r="AR32" i="204" s="1"/>
  <c r="N32" i="204"/>
  <c r="AB32" i="204" s="1"/>
  <c r="AP32" i="204" s="1"/>
  <c r="N31" i="204"/>
  <c r="N30" i="204"/>
  <c r="M26" i="204"/>
  <c r="L26" i="204"/>
  <c r="K26" i="204"/>
  <c r="J26" i="204"/>
  <c r="I26" i="204"/>
  <c r="H26" i="204"/>
  <c r="G26" i="204"/>
  <c r="N26" i="204" s="1"/>
  <c r="F26" i="204"/>
  <c r="E26" i="204"/>
  <c r="D26" i="204"/>
  <c r="C26" i="204"/>
  <c r="B26" i="204"/>
  <c r="M25" i="204"/>
  <c r="L25" i="204"/>
  <c r="K25" i="204"/>
  <c r="J25" i="204"/>
  <c r="I25" i="204"/>
  <c r="H25" i="204"/>
  <c r="G25" i="204"/>
  <c r="F25" i="204"/>
  <c r="E25" i="204"/>
  <c r="D25" i="204"/>
  <c r="C25" i="204"/>
  <c r="B25" i="204"/>
  <c r="M24" i="204"/>
  <c r="L24" i="204"/>
  <c r="K24" i="204"/>
  <c r="J24" i="204"/>
  <c r="I24" i="204"/>
  <c r="H24" i="204"/>
  <c r="G24" i="204"/>
  <c r="F24" i="204"/>
  <c r="E24" i="204"/>
  <c r="D24" i="204"/>
  <c r="C24" i="204"/>
  <c r="B24" i="204"/>
  <c r="M23" i="204"/>
  <c r="M27" i="204" s="1"/>
  <c r="L23" i="204"/>
  <c r="K23" i="204"/>
  <c r="J23" i="204"/>
  <c r="I23" i="204"/>
  <c r="I27" i="204" s="1"/>
  <c r="H23" i="204"/>
  <c r="G23" i="204"/>
  <c r="F23" i="204"/>
  <c r="E23" i="204"/>
  <c r="D23" i="204"/>
  <c r="D27" i="204" s="1"/>
  <c r="C23" i="204"/>
  <c r="B23" i="204"/>
  <c r="M20" i="204"/>
  <c r="L20" i="204"/>
  <c r="K20" i="204"/>
  <c r="J20" i="204"/>
  <c r="I20" i="204"/>
  <c r="H20" i="204"/>
  <c r="G20" i="204"/>
  <c r="F20" i="204"/>
  <c r="E20" i="204"/>
  <c r="D20" i="204"/>
  <c r="C20" i="204"/>
  <c r="B20" i="204"/>
  <c r="N19" i="204"/>
  <c r="N17" i="204"/>
  <c r="N16" i="204"/>
  <c r="I11" i="204"/>
  <c r="H11" i="204"/>
  <c r="G11" i="204"/>
  <c r="F11" i="204"/>
  <c r="E11" i="204"/>
  <c r="D11" i="204"/>
  <c r="C11" i="204"/>
  <c r="B11" i="204"/>
  <c r="M9" i="204"/>
  <c r="M13" i="204"/>
  <c r="L9" i="204"/>
  <c r="L13" i="204" s="1"/>
  <c r="K9" i="204"/>
  <c r="K13" i="204" s="1"/>
  <c r="J9" i="204"/>
  <c r="I9" i="204"/>
  <c r="I13" i="204" s="1"/>
  <c r="H9" i="204"/>
  <c r="G9" i="204"/>
  <c r="F9" i="204"/>
  <c r="F13" i="204" s="1"/>
  <c r="E9" i="204"/>
  <c r="E13" i="204" s="1"/>
  <c r="D9" i="204"/>
  <c r="C9" i="204"/>
  <c r="B9" i="204"/>
  <c r="B13" i="204" s="1"/>
  <c r="N8" i="204"/>
  <c r="N7" i="204"/>
  <c r="N6" i="204"/>
  <c r="N5" i="204"/>
  <c r="N4" i="204"/>
  <c r="F84" i="204"/>
  <c r="I11" i="203"/>
  <c r="M93" i="203"/>
  <c r="L93" i="203"/>
  <c r="K93" i="203"/>
  <c r="J93" i="203"/>
  <c r="I93" i="203"/>
  <c r="H93" i="203"/>
  <c r="G93" i="203"/>
  <c r="F93" i="203"/>
  <c r="E93" i="203"/>
  <c r="D93" i="203"/>
  <c r="C93" i="203"/>
  <c r="B93" i="203"/>
  <c r="M87" i="203"/>
  <c r="L87" i="203"/>
  <c r="K87" i="203"/>
  <c r="J87" i="203"/>
  <c r="I87" i="203"/>
  <c r="H87" i="203"/>
  <c r="G87" i="203"/>
  <c r="F87" i="203"/>
  <c r="E87" i="203"/>
  <c r="D87" i="203"/>
  <c r="C87" i="203"/>
  <c r="B87" i="203"/>
  <c r="D84" i="203"/>
  <c r="C84" i="203"/>
  <c r="B84" i="203"/>
  <c r="B85" i="203" s="1"/>
  <c r="B83" i="203"/>
  <c r="C83" i="203"/>
  <c r="N73" i="203"/>
  <c r="B68" i="203"/>
  <c r="C68" i="203" s="1"/>
  <c r="D68" i="203" s="1"/>
  <c r="E68" i="203" s="1"/>
  <c r="F68" i="203" s="1"/>
  <c r="G68" i="203" s="1"/>
  <c r="H68" i="203" s="1"/>
  <c r="I68" i="203" s="1"/>
  <c r="J68" i="203" s="1"/>
  <c r="K68" i="203" s="1"/>
  <c r="L68" i="203" s="1"/>
  <c r="M68" i="203" s="1"/>
  <c r="M58" i="203"/>
  <c r="L58" i="203"/>
  <c r="K58" i="203"/>
  <c r="J58" i="203"/>
  <c r="I58" i="203"/>
  <c r="H58" i="203"/>
  <c r="G58" i="203"/>
  <c r="F58" i="203"/>
  <c r="D58" i="203"/>
  <c r="C58" i="203"/>
  <c r="N57" i="203"/>
  <c r="N56" i="203"/>
  <c r="B55" i="203"/>
  <c r="N55" i="203" s="1"/>
  <c r="N54" i="203"/>
  <c r="E53" i="203"/>
  <c r="M46" i="203"/>
  <c r="L46" i="203"/>
  <c r="K46" i="203"/>
  <c r="J46" i="203"/>
  <c r="I46" i="203"/>
  <c r="H46" i="203"/>
  <c r="G46" i="203"/>
  <c r="F46" i="203"/>
  <c r="E46" i="203"/>
  <c r="D46" i="203"/>
  <c r="C46" i="203"/>
  <c r="B46" i="203"/>
  <c r="N45" i="203"/>
  <c r="N44" i="203"/>
  <c r="N41" i="203"/>
  <c r="N40" i="203"/>
  <c r="N39" i="203"/>
  <c r="N37" i="203"/>
  <c r="M34" i="203"/>
  <c r="M38" i="203" s="1"/>
  <c r="M42" i="203" s="1"/>
  <c r="L34" i="203"/>
  <c r="L38" i="203" s="1"/>
  <c r="L42" i="203" s="1"/>
  <c r="K34" i="203"/>
  <c r="K38" i="203" s="1"/>
  <c r="K42" i="203" s="1"/>
  <c r="J34" i="203"/>
  <c r="I34" i="203"/>
  <c r="I38" i="203" s="1"/>
  <c r="I42" i="203" s="1"/>
  <c r="H34" i="203"/>
  <c r="H38" i="203" s="1"/>
  <c r="H42" i="203" s="1"/>
  <c r="G34" i="203"/>
  <c r="F34" i="203"/>
  <c r="E34" i="203"/>
  <c r="E38" i="203"/>
  <c r="E42" i="203" s="1"/>
  <c r="D34" i="203"/>
  <c r="D38" i="203" s="1"/>
  <c r="D42" i="203" s="1"/>
  <c r="C34" i="203"/>
  <c r="C38" i="203" s="1"/>
  <c r="C42" i="203" s="1"/>
  <c r="B34" i="203"/>
  <c r="B38" i="203" s="1"/>
  <c r="B42" i="203" s="1"/>
  <c r="AD33" i="203"/>
  <c r="AR33" i="203" s="1"/>
  <c r="AC33" i="203"/>
  <c r="AQ33" i="203" s="1"/>
  <c r="AA33" i="203"/>
  <c r="AO33" i="203" s="1"/>
  <c r="Z33" i="203"/>
  <c r="AN33" i="203" s="1"/>
  <c r="Y33" i="203"/>
  <c r="AM33" i="203" s="1"/>
  <c r="X33" i="203"/>
  <c r="AL33" i="203" s="1"/>
  <c r="W33" i="203"/>
  <c r="AK33" i="203" s="1"/>
  <c r="V33" i="203"/>
  <c r="AJ33" i="203" s="1"/>
  <c r="U33" i="203"/>
  <c r="AI33" i="203" s="1"/>
  <c r="T33" i="203"/>
  <c r="AH33" i="203" s="1"/>
  <c r="S33" i="203"/>
  <c r="AG33" i="203" s="1"/>
  <c r="R33" i="203"/>
  <c r="AF33" i="203" s="1"/>
  <c r="Q33" i="203"/>
  <c r="AE33" i="203" s="1"/>
  <c r="N33" i="203"/>
  <c r="AB33" i="203" s="1"/>
  <c r="AP33" i="203" s="1"/>
  <c r="AC32" i="203"/>
  <c r="AQ32" i="203" s="1"/>
  <c r="AA32" i="203"/>
  <c r="AO32" i="203" s="1"/>
  <c r="Z32" i="203"/>
  <c r="AN32" i="203" s="1"/>
  <c r="Y32" i="203"/>
  <c r="AM32" i="203" s="1"/>
  <c r="X32" i="203"/>
  <c r="AL32" i="203"/>
  <c r="W32" i="203"/>
  <c r="AK32" i="203" s="1"/>
  <c r="V32" i="203"/>
  <c r="AJ32" i="203" s="1"/>
  <c r="U32" i="203"/>
  <c r="AI32" i="203" s="1"/>
  <c r="T32" i="203"/>
  <c r="AH32" i="203" s="1"/>
  <c r="S32" i="203"/>
  <c r="AG32" i="203" s="1"/>
  <c r="R32" i="203"/>
  <c r="AF32" i="203" s="1"/>
  <c r="Q32" i="203"/>
  <c r="AE32" i="203" s="1"/>
  <c r="P32" i="203"/>
  <c r="AD32" i="203" s="1"/>
  <c r="AR32" i="203" s="1"/>
  <c r="N32" i="203"/>
  <c r="AB32" i="203" s="1"/>
  <c r="AP32" i="203" s="1"/>
  <c r="N31" i="203"/>
  <c r="N30" i="203"/>
  <c r="M26" i="203"/>
  <c r="L26" i="203"/>
  <c r="K26" i="203"/>
  <c r="J26" i="203"/>
  <c r="I26" i="203"/>
  <c r="H26" i="203"/>
  <c r="G26" i="203"/>
  <c r="F26" i="203"/>
  <c r="E26" i="203"/>
  <c r="D26" i="203"/>
  <c r="C26" i="203"/>
  <c r="B26" i="203"/>
  <c r="M25" i="203"/>
  <c r="L25" i="203"/>
  <c r="K25" i="203"/>
  <c r="J25" i="203"/>
  <c r="I25" i="203"/>
  <c r="H25" i="203"/>
  <c r="G25" i="203"/>
  <c r="F25" i="203"/>
  <c r="E25" i="203"/>
  <c r="D25" i="203"/>
  <c r="C25" i="203"/>
  <c r="B25" i="203"/>
  <c r="M24" i="203"/>
  <c r="L24" i="203"/>
  <c r="K24" i="203"/>
  <c r="J24" i="203"/>
  <c r="I24" i="203"/>
  <c r="H24" i="203"/>
  <c r="G24" i="203"/>
  <c r="F24" i="203"/>
  <c r="E24" i="203"/>
  <c r="D24" i="203"/>
  <c r="C24" i="203"/>
  <c r="B24" i="203"/>
  <c r="M23" i="203"/>
  <c r="M27" i="203" s="1"/>
  <c r="L23" i="203"/>
  <c r="L27" i="203" s="1"/>
  <c r="K23" i="203"/>
  <c r="J23" i="203"/>
  <c r="I23" i="203"/>
  <c r="H23" i="203"/>
  <c r="G23" i="203"/>
  <c r="F23" i="203"/>
  <c r="E23" i="203"/>
  <c r="D23" i="203"/>
  <c r="C23" i="203"/>
  <c r="B23" i="203"/>
  <c r="M20" i="203"/>
  <c r="L20" i="203"/>
  <c r="K20" i="203"/>
  <c r="J20" i="203"/>
  <c r="I20" i="203"/>
  <c r="H20" i="203"/>
  <c r="G20" i="203"/>
  <c r="F20" i="203"/>
  <c r="E20" i="203"/>
  <c r="D20" i="203"/>
  <c r="C20" i="203"/>
  <c r="C48" i="203" s="1"/>
  <c r="C61" i="203" s="1"/>
  <c r="B20" i="203"/>
  <c r="B48" i="203" s="1"/>
  <c r="N19" i="203"/>
  <c r="N17" i="203"/>
  <c r="N16" i="203"/>
  <c r="H11" i="203"/>
  <c r="G11" i="203"/>
  <c r="F11" i="203"/>
  <c r="E11" i="203"/>
  <c r="D11" i="203"/>
  <c r="C11" i="203"/>
  <c r="B11" i="203"/>
  <c r="M9" i="203"/>
  <c r="M13" i="203" s="1"/>
  <c r="L9" i="203"/>
  <c r="L13" i="203" s="1"/>
  <c r="K9" i="203"/>
  <c r="K13" i="203" s="1"/>
  <c r="J9" i="203"/>
  <c r="J13" i="203" s="1"/>
  <c r="I9" i="203"/>
  <c r="I13" i="203" s="1"/>
  <c r="H9" i="203"/>
  <c r="G9" i="203"/>
  <c r="F9" i="203"/>
  <c r="E9" i="203"/>
  <c r="D9" i="203"/>
  <c r="C9" i="203"/>
  <c r="B9" i="203"/>
  <c r="N8" i="203"/>
  <c r="N7" i="203"/>
  <c r="N6" i="203"/>
  <c r="N5" i="203"/>
  <c r="N4" i="203"/>
  <c r="K84" i="203"/>
  <c r="H84" i="203"/>
  <c r="H11" i="202"/>
  <c r="M93" i="202"/>
  <c r="L93" i="202"/>
  <c r="K93" i="202"/>
  <c r="J93" i="202"/>
  <c r="I93" i="202"/>
  <c r="H93" i="202"/>
  <c r="G93" i="202"/>
  <c r="F93" i="202"/>
  <c r="E93" i="202"/>
  <c r="D93" i="202"/>
  <c r="C93" i="202"/>
  <c r="B93" i="202"/>
  <c r="M87" i="202"/>
  <c r="L87" i="202"/>
  <c r="K87" i="202"/>
  <c r="J87" i="202"/>
  <c r="I87" i="202"/>
  <c r="H87" i="202"/>
  <c r="G87" i="202"/>
  <c r="F87" i="202"/>
  <c r="E87" i="202"/>
  <c r="D87" i="202"/>
  <c r="C87" i="202"/>
  <c r="B87" i="202"/>
  <c r="D84" i="202"/>
  <c r="C84" i="202"/>
  <c r="B84" i="202"/>
  <c r="B83" i="202"/>
  <c r="C83" i="202" s="1"/>
  <c r="N73" i="202"/>
  <c r="B68" i="202"/>
  <c r="C68" i="202" s="1"/>
  <c r="D68" i="202" s="1"/>
  <c r="E68" i="202" s="1"/>
  <c r="F68" i="202" s="1"/>
  <c r="G68" i="202" s="1"/>
  <c r="H68" i="202" s="1"/>
  <c r="I68" i="202" s="1"/>
  <c r="J68" i="202" s="1"/>
  <c r="K68" i="202" s="1"/>
  <c r="L68" i="202" s="1"/>
  <c r="M68" i="202" s="1"/>
  <c r="M58" i="202"/>
  <c r="L58" i="202"/>
  <c r="K58" i="202"/>
  <c r="J58" i="202"/>
  <c r="I58" i="202"/>
  <c r="H58" i="202"/>
  <c r="G58" i="202"/>
  <c r="F58" i="202"/>
  <c r="D58" i="202"/>
  <c r="C58" i="202"/>
  <c r="N57" i="202"/>
  <c r="N56" i="202"/>
  <c r="B55" i="202"/>
  <c r="N54" i="202"/>
  <c r="E53" i="202"/>
  <c r="M46" i="202"/>
  <c r="L46" i="202"/>
  <c r="K46" i="202"/>
  <c r="J46" i="202"/>
  <c r="I46" i="202"/>
  <c r="H46" i="202"/>
  <c r="G46" i="202"/>
  <c r="F46" i="202"/>
  <c r="E46" i="202"/>
  <c r="D46" i="202"/>
  <c r="C46" i="202"/>
  <c r="B46" i="202"/>
  <c r="N45" i="202"/>
  <c r="N44" i="202"/>
  <c r="N41" i="202"/>
  <c r="N40" i="202"/>
  <c r="N39" i="202"/>
  <c r="N37" i="202"/>
  <c r="M34" i="202"/>
  <c r="M38" i="202" s="1"/>
  <c r="M42" i="202" s="1"/>
  <c r="L34" i="202"/>
  <c r="L38" i="202" s="1"/>
  <c r="L42" i="202" s="1"/>
  <c r="K34" i="202"/>
  <c r="K38" i="202" s="1"/>
  <c r="K42" i="202" s="1"/>
  <c r="J34" i="202"/>
  <c r="J38" i="202" s="1"/>
  <c r="J42" i="202" s="1"/>
  <c r="I34" i="202"/>
  <c r="H34" i="202"/>
  <c r="H38" i="202" s="1"/>
  <c r="H42" i="202" s="1"/>
  <c r="G34" i="202"/>
  <c r="G38" i="202" s="1"/>
  <c r="G42" i="202" s="1"/>
  <c r="F34" i="202"/>
  <c r="F38" i="202" s="1"/>
  <c r="F42" i="202" s="1"/>
  <c r="E34" i="202"/>
  <c r="E38" i="202" s="1"/>
  <c r="E42" i="202" s="1"/>
  <c r="D34" i="202"/>
  <c r="D38" i="202" s="1"/>
  <c r="D42" i="202" s="1"/>
  <c r="C34" i="202"/>
  <c r="C38" i="202" s="1"/>
  <c r="B34" i="202"/>
  <c r="B38" i="202" s="1"/>
  <c r="B42" i="202" s="1"/>
  <c r="AD33" i="202"/>
  <c r="AR33" i="202" s="1"/>
  <c r="AC33" i="202"/>
  <c r="AQ33" i="202" s="1"/>
  <c r="AA33" i="202"/>
  <c r="AO33" i="202" s="1"/>
  <c r="Z33" i="202"/>
  <c r="AN33" i="202" s="1"/>
  <c r="Y33" i="202"/>
  <c r="AM33" i="202" s="1"/>
  <c r="X33" i="202"/>
  <c r="AL33" i="202" s="1"/>
  <c r="W33" i="202"/>
  <c r="AK33" i="202" s="1"/>
  <c r="V33" i="202"/>
  <c r="AJ33" i="202" s="1"/>
  <c r="U33" i="202"/>
  <c r="AI33" i="202"/>
  <c r="T33" i="202"/>
  <c r="AH33" i="202" s="1"/>
  <c r="S33" i="202"/>
  <c r="AG33" i="202" s="1"/>
  <c r="R33" i="202"/>
  <c r="AF33" i="202" s="1"/>
  <c r="Q33" i="202"/>
  <c r="AE33" i="202" s="1"/>
  <c r="N33" i="202"/>
  <c r="AB33" i="202" s="1"/>
  <c r="AP33" i="202" s="1"/>
  <c r="AC32" i="202"/>
  <c r="AQ32" i="202" s="1"/>
  <c r="AA32" i="202"/>
  <c r="AO32" i="202" s="1"/>
  <c r="Z32" i="202"/>
  <c r="AN32" i="202" s="1"/>
  <c r="Y32" i="202"/>
  <c r="AM32" i="202" s="1"/>
  <c r="X32" i="202"/>
  <c r="AL32" i="202" s="1"/>
  <c r="W32" i="202"/>
  <c r="AK32" i="202" s="1"/>
  <c r="V32" i="202"/>
  <c r="AJ32" i="202" s="1"/>
  <c r="U32" i="202"/>
  <c r="AI32" i="202" s="1"/>
  <c r="T32" i="202"/>
  <c r="AH32" i="202" s="1"/>
  <c r="S32" i="202"/>
  <c r="AG32" i="202" s="1"/>
  <c r="R32" i="202"/>
  <c r="AF32" i="202" s="1"/>
  <c r="Q32" i="202"/>
  <c r="AE32" i="202" s="1"/>
  <c r="P32" i="202"/>
  <c r="AD32" i="202" s="1"/>
  <c r="AR32" i="202" s="1"/>
  <c r="N32" i="202"/>
  <c r="AB32" i="202" s="1"/>
  <c r="AP32" i="202" s="1"/>
  <c r="N31" i="202"/>
  <c r="N30" i="202"/>
  <c r="M26" i="202"/>
  <c r="L26" i="202"/>
  <c r="K26" i="202"/>
  <c r="J26" i="202"/>
  <c r="I26" i="202"/>
  <c r="H26" i="202"/>
  <c r="G26" i="202"/>
  <c r="F26" i="202"/>
  <c r="E26" i="202"/>
  <c r="D26" i="202"/>
  <c r="C26" i="202"/>
  <c r="B26" i="202"/>
  <c r="M25" i="202"/>
  <c r="L25" i="202"/>
  <c r="K25" i="202"/>
  <c r="J25" i="202"/>
  <c r="I25" i="202"/>
  <c r="H25" i="202"/>
  <c r="G25" i="202"/>
  <c r="F25" i="202"/>
  <c r="E25" i="202"/>
  <c r="D25" i="202"/>
  <c r="C25" i="202"/>
  <c r="B25" i="202"/>
  <c r="M24" i="202"/>
  <c r="L24" i="202"/>
  <c r="K24" i="202"/>
  <c r="J24" i="202"/>
  <c r="I24" i="202"/>
  <c r="H24" i="202"/>
  <c r="G24" i="202"/>
  <c r="F24" i="202"/>
  <c r="E24" i="202"/>
  <c r="D24" i="202"/>
  <c r="C24" i="202"/>
  <c r="B24" i="202"/>
  <c r="M23" i="202"/>
  <c r="L23" i="202"/>
  <c r="K23" i="202"/>
  <c r="K27" i="202" s="1"/>
  <c r="J23" i="202"/>
  <c r="J27" i="202" s="1"/>
  <c r="I23" i="202"/>
  <c r="I27" i="202" s="1"/>
  <c r="H23" i="202"/>
  <c r="G23" i="202"/>
  <c r="F23" i="202"/>
  <c r="E23" i="202"/>
  <c r="D23" i="202"/>
  <c r="C23" i="202"/>
  <c r="B23" i="202"/>
  <c r="M20" i="202"/>
  <c r="M48" i="202" s="1"/>
  <c r="L20" i="202"/>
  <c r="K20" i="202"/>
  <c r="J20" i="202"/>
  <c r="I20" i="202"/>
  <c r="H20" i="202"/>
  <c r="G20" i="202"/>
  <c r="F20" i="202"/>
  <c r="E20" i="202"/>
  <c r="D20" i="202"/>
  <c r="C20" i="202"/>
  <c r="B20" i="202"/>
  <c r="N19" i="202"/>
  <c r="N17" i="202"/>
  <c r="N16" i="202"/>
  <c r="G11" i="202"/>
  <c r="F11" i="202"/>
  <c r="E11" i="202"/>
  <c r="D11" i="202"/>
  <c r="C11" i="202"/>
  <c r="B11" i="202"/>
  <c r="M9" i="202"/>
  <c r="M13" i="202" s="1"/>
  <c r="L9" i="202"/>
  <c r="L13" i="202" s="1"/>
  <c r="K9" i="202"/>
  <c r="K13" i="202" s="1"/>
  <c r="J9" i="202"/>
  <c r="I9" i="202"/>
  <c r="H9" i="202"/>
  <c r="G9" i="202"/>
  <c r="F9" i="202"/>
  <c r="E9" i="202"/>
  <c r="E13" i="202" s="1"/>
  <c r="D9" i="202"/>
  <c r="C9" i="202"/>
  <c r="B9" i="202"/>
  <c r="N8" i="202"/>
  <c r="N7" i="202"/>
  <c r="N6" i="202"/>
  <c r="N5" i="202"/>
  <c r="N4" i="202"/>
  <c r="J84" i="202"/>
  <c r="H84" i="202"/>
  <c r="E84" i="202"/>
  <c r="I84" i="202"/>
  <c r="G11" i="201"/>
  <c r="M93" i="201"/>
  <c r="L93" i="201"/>
  <c r="K93" i="201"/>
  <c r="J93" i="201"/>
  <c r="I93" i="201"/>
  <c r="H93" i="201"/>
  <c r="G93" i="201"/>
  <c r="F93" i="201"/>
  <c r="E93" i="201"/>
  <c r="D93" i="201"/>
  <c r="C93" i="201"/>
  <c r="B93" i="201"/>
  <c r="M87" i="201"/>
  <c r="L87" i="201"/>
  <c r="K87" i="201"/>
  <c r="J87" i="201"/>
  <c r="I87" i="201"/>
  <c r="H87" i="201"/>
  <c r="G87" i="201"/>
  <c r="F87" i="201"/>
  <c r="E87" i="201"/>
  <c r="D87" i="201"/>
  <c r="C87" i="201"/>
  <c r="B87" i="201"/>
  <c r="D84" i="201"/>
  <c r="C84" i="201"/>
  <c r="B84" i="201"/>
  <c r="B83" i="201"/>
  <c r="N73" i="201"/>
  <c r="B68" i="201"/>
  <c r="C68" i="201" s="1"/>
  <c r="D68" i="201" s="1"/>
  <c r="E68" i="201" s="1"/>
  <c r="F68" i="201" s="1"/>
  <c r="G68" i="201" s="1"/>
  <c r="H68" i="201" s="1"/>
  <c r="I68" i="201" s="1"/>
  <c r="J68" i="201" s="1"/>
  <c r="K68" i="201" s="1"/>
  <c r="L68" i="201" s="1"/>
  <c r="M68" i="201" s="1"/>
  <c r="M58" i="201"/>
  <c r="L58" i="201"/>
  <c r="K58" i="201"/>
  <c r="J58" i="201"/>
  <c r="I58" i="201"/>
  <c r="H58" i="201"/>
  <c r="G58" i="201"/>
  <c r="F58" i="201"/>
  <c r="D58" i="201"/>
  <c r="C58" i="201"/>
  <c r="N57" i="201"/>
  <c r="N56" i="201"/>
  <c r="B55" i="201"/>
  <c r="N55" i="201"/>
  <c r="N54" i="201"/>
  <c r="E53" i="201"/>
  <c r="G84" i="201" s="1"/>
  <c r="M46" i="201"/>
  <c r="L46" i="201"/>
  <c r="K46" i="201"/>
  <c r="J46" i="201"/>
  <c r="I46" i="201"/>
  <c r="H46" i="201"/>
  <c r="G46" i="201"/>
  <c r="F46" i="201"/>
  <c r="E46" i="201"/>
  <c r="D46" i="201"/>
  <c r="C46" i="201"/>
  <c r="B46" i="201"/>
  <c r="N45" i="201"/>
  <c r="N44" i="201"/>
  <c r="N41" i="201"/>
  <c r="N40" i="201"/>
  <c r="N39" i="201"/>
  <c r="N37" i="201"/>
  <c r="M34" i="201"/>
  <c r="M38" i="201" s="1"/>
  <c r="M42" i="201" s="1"/>
  <c r="L34" i="201"/>
  <c r="L38" i="201" s="1"/>
  <c r="L42" i="201" s="1"/>
  <c r="K34" i="201"/>
  <c r="K38" i="201" s="1"/>
  <c r="K42" i="201" s="1"/>
  <c r="J34" i="201"/>
  <c r="J38" i="201" s="1"/>
  <c r="J42" i="201" s="1"/>
  <c r="I34" i="201"/>
  <c r="I38" i="201" s="1"/>
  <c r="I42" i="201" s="1"/>
  <c r="H34" i="201"/>
  <c r="G34" i="201"/>
  <c r="G38" i="201" s="1"/>
  <c r="G42" i="201" s="1"/>
  <c r="F34" i="201"/>
  <c r="F38" i="201" s="1"/>
  <c r="F42" i="201" s="1"/>
  <c r="E34" i="201"/>
  <c r="E38" i="201" s="1"/>
  <c r="E42" i="201" s="1"/>
  <c r="D34" i="201"/>
  <c r="C34" i="201"/>
  <c r="C38" i="201" s="1"/>
  <c r="B34" i="201"/>
  <c r="B38" i="201" s="1"/>
  <c r="B42" i="201" s="1"/>
  <c r="AD33" i="201"/>
  <c r="AR33" i="201" s="1"/>
  <c r="AC33" i="201"/>
  <c r="AQ33" i="201" s="1"/>
  <c r="AA33" i="201"/>
  <c r="AO33" i="201" s="1"/>
  <c r="Z33" i="201"/>
  <c r="AN33" i="201" s="1"/>
  <c r="Y33" i="201"/>
  <c r="AM33" i="201" s="1"/>
  <c r="X33" i="201"/>
  <c r="AL33" i="201" s="1"/>
  <c r="W33" i="201"/>
  <c r="AK33" i="201" s="1"/>
  <c r="V33" i="201"/>
  <c r="AJ33" i="201" s="1"/>
  <c r="U33" i="201"/>
  <c r="AI33" i="201" s="1"/>
  <c r="T33" i="201"/>
  <c r="AH33" i="201" s="1"/>
  <c r="S33" i="201"/>
  <c r="AG33" i="201" s="1"/>
  <c r="R33" i="201"/>
  <c r="AF33" i="201" s="1"/>
  <c r="Q33" i="201"/>
  <c r="AE33" i="201" s="1"/>
  <c r="N33" i="201"/>
  <c r="AB33" i="201" s="1"/>
  <c r="AP33" i="201" s="1"/>
  <c r="AC32" i="201"/>
  <c r="AQ32" i="201" s="1"/>
  <c r="AA32" i="201"/>
  <c r="AO32" i="201" s="1"/>
  <c r="Z32" i="201"/>
  <c r="AN32" i="201" s="1"/>
  <c r="Y32" i="201"/>
  <c r="AM32" i="201" s="1"/>
  <c r="X32" i="201"/>
  <c r="AL32" i="201" s="1"/>
  <c r="W32" i="201"/>
  <c r="AK32" i="201" s="1"/>
  <c r="V32" i="201"/>
  <c r="AJ32" i="201" s="1"/>
  <c r="U32" i="201"/>
  <c r="AI32" i="201" s="1"/>
  <c r="T32" i="201"/>
  <c r="AH32" i="201" s="1"/>
  <c r="S32" i="201"/>
  <c r="AG32" i="201" s="1"/>
  <c r="R32" i="201"/>
  <c r="AF32" i="201" s="1"/>
  <c r="Q32" i="201"/>
  <c r="AE32" i="201" s="1"/>
  <c r="P32" i="201"/>
  <c r="AD32" i="201" s="1"/>
  <c r="AR32" i="201" s="1"/>
  <c r="N32" i="201"/>
  <c r="AB32" i="201" s="1"/>
  <c r="AP32" i="201" s="1"/>
  <c r="N31" i="201"/>
  <c r="N30" i="201"/>
  <c r="M26" i="201"/>
  <c r="L26" i="201"/>
  <c r="K26" i="201"/>
  <c r="J26" i="201"/>
  <c r="I26" i="201"/>
  <c r="H26" i="201"/>
  <c r="G26" i="201"/>
  <c r="F26" i="201"/>
  <c r="E26" i="201"/>
  <c r="D26" i="201"/>
  <c r="C26" i="201"/>
  <c r="B26" i="201"/>
  <c r="M25" i="201"/>
  <c r="L25" i="201"/>
  <c r="K25" i="201"/>
  <c r="J25" i="201"/>
  <c r="I25" i="201"/>
  <c r="H25" i="201"/>
  <c r="G25" i="201"/>
  <c r="F25" i="201"/>
  <c r="E25" i="201"/>
  <c r="D25" i="201"/>
  <c r="C25" i="201"/>
  <c r="B25" i="201"/>
  <c r="M24" i="201"/>
  <c r="L24" i="201"/>
  <c r="K24" i="201"/>
  <c r="J24" i="201"/>
  <c r="I24" i="201"/>
  <c r="H24" i="201"/>
  <c r="G24" i="201"/>
  <c r="F24" i="201"/>
  <c r="E24" i="201"/>
  <c r="D24" i="201"/>
  <c r="C24" i="201"/>
  <c r="B24" i="201"/>
  <c r="M23" i="201"/>
  <c r="L23" i="201"/>
  <c r="K23" i="201"/>
  <c r="K27" i="201" s="1"/>
  <c r="J23" i="201"/>
  <c r="J27" i="201" s="1"/>
  <c r="I23" i="201"/>
  <c r="H23" i="201"/>
  <c r="G23" i="201"/>
  <c r="F23" i="201"/>
  <c r="F27" i="201" s="1"/>
  <c r="E23" i="201"/>
  <c r="D23" i="201"/>
  <c r="C23" i="201"/>
  <c r="B23" i="201"/>
  <c r="B27" i="201" s="1"/>
  <c r="M20" i="201"/>
  <c r="L20" i="201"/>
  <c r="K20" i="201"/>
  <c r="J20" i="201"/>
  <c r="I20" i="201"/>
  <c r="H20" i="201"/>
  <c r="G20" i="201"/>
  <c r="F20" i="201"/>
  <c r="E20" i="201"/>
  <c r="D20" i="201"/>
  <c r="C20" i="201"/>
  <c r="B20" i="201"/>
  <c r="N19" i="201"/>
  <c r="N17" i="201"/>
  <c r="N16" i="201"/>
  <c r="F11" i="201"/>
  <c r="E11" i="201"/>
  <c r="D11" i="201"/>
  <c r="C11" i="201"/>
  <c r="B11" i="201"/>
  <c r="M9" i="201"/>
  <c r="M13" i="201" s="1"/>
  <c r="L9" i="201"/>
  <c r="L13" i="201" s="1"/>
  <c r="K9" i="201"/>
  <c r="K13" i="201" s="1"/>
  <c r="J9" i="201"/>
  <c r="J13" i="201" s="1"/>
  <c r="I9" i="201"/>
  <c r="I13" i="201" s="1"/>
  <c r="H9" i="201"/>
  <c r="H13" i="201" s="1"/>
  <c r="G9" i="201"/>
  <c r="G13" i="201" s="1"/>
  <c r="F9" i="201"/>
  <c r="E9" i="201"/>
  <c r="E13" i="201" s="1"/>
  <c r="D9" i="201"/>
  <c r="C9" i="201"/>
  <c r="C13" i="201" s="1"/>
  <c r="B9" i="201"/>
  <c r="N8" i="201"/>
  <c r="N7" i="201"/>
  <c r="N6" i="201"/>
  <c r="N5" i="201"/>
  <c r="N4" i="201"/>
  <c r="B58" i="201"/>
  <c r="L84" i="201"/>
  <c r="F11" i="200"/>
  <c r="M93" i="200"/>
  <c r="L93" i="200"/>
  <c r="K93" i="200"/>
  <c r="J93" i="200"/>
  <c r="I93" i="200"/>
  <c r="H93" i="200"/>
  <c r="G93" i="200"/>
  <c r="F93" i="200"/>
  <c r="E93" i="200"/>
  <c r="D93" i="200"/>
  <c r="C93" i="200"/>
  <c r="B93" i="200"/>
  <c r="M87" i="200"/>
  <c r="L87" i="200"/>
  <c r="K87" i="200"/>
  <c r="J87" i="200"/>
  <c r="I87" i="200"/>
  <c r="H87" i="200"/>
  <c r="G87" i="200"/>
  <c r="F87" i="200"/>
  <c r="E87" i="200"/>
  <c r="D87" i="200"/>
  <c r="C87" i="200"/>
  <c r="B87" i="200"/>
  <c r="C88" i="200" s="1"/>
  <c r="D88" i="200" s="1"/>
  <c r="E88" i="200" s="1"/>
  <c r="F88" i="200" s="1"/>
  <c r="G88" i="200" s="1"/>
  <c r="D84" i="200"/>
  <c r="C84" i="200"/>
  <c r="B84" i="200"/>
  <c r="B83" i="200"/>
  <c r="N73" i="200"/>
  <c r="B68" i="200"/>
  <c r="C68" i="200" s="1"/>
  <c r="D68" i="200" s="1"/>
  <c r="E68" i="200" s="1"/>
  <c r="F68" i="200" s="1"/>
  <c r="G68" i="200" s="1"/>
  <c r="H68" i="200" s="1"/>
  <c r="I68" i="200" s="1"/>
  <c r="J68" i="200" s="1"/>
  <c r="K68" i="200" s="1"/>
  <c r="L68" i="200" s="1"/>
  <c r="M68" i="200" s="1"/>
  <c r="M58" i="200"/>
  <c r="L58" i="200"/>
  <c r="K58" i="200"/>
  <c r="J58" i="200"/>
  <c r="I58" i="200"/>
  <c r="H58" i="200"/>
  <c r="G58" i="200"/>
  <c r="F58" i="200"/>
  <c r="D58" i="200"/>
  <c r="C58" i="200"/>
  <c r="N57" i="200"/>
  <c r="N56" i="200"/>
  <c r="N87" i="200" s="1"/>
  <c r="B55" i="200"/>
  <c r="N54" i="200"/>
  <c r="E53" i="200"/>
  <c r="M84" i="200"/>
  <c r="M46" i="200"/>
  <c r="L46" i="200"/>
  <c r="K46" i="200"/>
  <c r="J46" i="200"/>
  <c r="I46" i="200"/>
  <c r="H46" i="200"/>
  <c r="G46" i="200"/>
  <c r="F46" i="200"/>
  <c r="E46" i="200"/>
  <c r="D46" i="200"/>
  <c r="C46" i="200"/>
  <c r="B46" i="200"/>
  <c r="N45" i="200"/>
  <c r="N44" i="200"/>
  <c r="N41" i="200"/>
  <c r="N40" i="200"/>
  <c r="N39" i="200"/>
  <c r="N37" i="200"/>
  <c r="M34" i="200"/>
  <c r="M38" i="200"/>
  <c r="M42" i="200" s="1"/>
  <c r="L34" i="200"/>
  <c r="L38" i="200" s="1"/>
  <c r="L42" i="200" s="1"/>
  <c r="K34" i="200"/>
  <c r="K38" i="200" s="1"/>
  <c r="K42" i="200" s="1"/>
  <c r="J34" i="200"/>
  <c r="J38" i="200" s="1"/>
  <c r="J42" i="200" s="1"/>
  <c r="I34" i="200"/>
  <c r="I38" i="200" s="1"/>
  <c r="I42" i="200" s="1"/>
  <c r="H34" i="200"/>
  <c r="H38" i="200" s="1"/>
  <c r="H42" i="200" s="1"/>
  <c r="G34" i="200"/>
  <c r="G38" i="200" s="1"/>
  <c r="G42" i="200" s="1"/>
  <c r="F34" i="200"/>
  <c r="E34" i="200"/>
  <c r="E38" i="200" s="1"/>
  <c r="E42" i="200" s="1"/>
  <c r="D34" i="200"/>
  <c r="D38" i="200" s="1"/>
  <c r="D42" i="200" s="1"/>
  <c r="C34" i="200"/>
  <c r="C38" i="200" s="1"/>
  <c r="C42" i="200" s="1"/>
  <c r="B34" i="200"/>
  <c r="B38" i="200" s="1"/>
  <c r="B42" i="200" s="1"/>
  <c r="AD33" i="200"/>
  <c r="AR33" i="200" s="1"/>
  <c r="AC33" i="200"/>
  <c r="AQ33" i="200" s="1"/>
  <c r="AA33" i="200"/>
  <c r="AO33" i="200" s="1"/>
  <c r="Z33" i="200"/>
  <c r="AN33" i="200" s="1"/>
  <c r="Y33" i="200"/>
  <c r="AM33" i="200" s="1"/>
  <c r="X33" i="200"/>
  <c r="AL33" i="200" s="1"/>
  <c r="W33" i="200"/>
  <c r="AK33" i="200" s="1"/>
  <c r="V33" i="200"/>
  <c r="AJ33" i="200" s="1"/>
  <c r="U33" i="200"/>
  <c r="AI33" i="200" s="1"/>
  <c r="T33" i="200"/>
  <c r="AH33" i="200" s="1"/>
  <c r="S33" i="200"/>
  <c r="AG33" i="200" s="1"/>
  <c r="R33" i="200"/>
  <c r="AF33" i="200" s="1"/>
  <c r="Q33" i="200"/>
  <c r="AE33" i="200" s="1"/>
  <c r="N33" i="200"/>
  <c r="AB33" i="200" s="1"/>
  <c r="AP33" i="200" s="1"/>
  <c r="AC32" i="200"/>
  <c r="AQ32" i="200" s="1"/>
  <c r="AA32" i="200"/>
  <c r="AO32" i="200" s="1"/>
  <c r="Z32" i="200"/>
  <c r="AN32" i="200" s="1"/>
  <c r="Y32" i="200"/>
  <c r="AM32" i="200" s="1"/>
  <c r="X32" i="200"/>
  <c r="AL32" i="200" s="1"/>
  <c r="W32" i="200"/>
  <c r="AK32" i="200" s="1"/>
  <c r="V32" i="200"/>
  <c r="AJ32" i="200" s="1"/>
  <c r="U32" i="200"/>
  <c r="AI32" i="200" s="1"/>
  <c r="T32" i="200"/>
  <c r="AH32" i="200" s="1"/>
  <c r="S32" i="200"/>
  <c r="AG32" i="200" s="1"/>
  <c r="R32" i="200"/>
  <c r="AF32" i="200" s="1"/>
  <c r="Q32" i="200"/>
  <c r="AE32" i="200" s="1"/>
  <c r="P32" i="200"/>
  <c r="AD32" i="200" s="1"/>
  <c r="AR32" i="200" s="1"/>
  <c r="N32" i="200"/>
  <c r="AB32" i="200"/>
  <c r="AP32" i="200" s="1"/>
  <c r="N31" i="200"/>
  <c r="N30" i="200"/>
  <c r="M26" i="200"/>
  <c r="L26" i="200"/>
  <c r="K26" i="200"/>
  <c r="J26" i="200"/>
  <c r="I26" i="200"/>
  <c r="H26" i="200"/>
  <c r="G26" i="200"/>
  <c r="F26" i="200"/>
  <c r="E26" i="200"/>
  <c r="D26" i="200"/>
  <c r="C26" i="200"/>
  <c r="B26" i="200"/>
  <c r="M25" i="200"/>
  <c r="L25" i="200"/>
  <c r="K25" i="200"/>
  <c r="J25" i="200"/>
  <c r="I25" i="200"/>
  <c r="H25" i="200"/>
  <c r="G25" i="200"/>
  <c r="F25" i="200"/>
  <c r="E25" i="200"/>
  <c r="D25" i="200"/>
  <c r="C25" i="200"/>
  <c r="B25" i="200"/>
  <c r="M24" i="200"/>
  <c r="L24" i="200"/>
  <c r="K24" i="200"/>
  <c r="J24" i="200"/>
  <c r="I24" i="200"/>
  <c r="H24" i="200"/>
  <c r="G24" i="200"/>
  <c r="F24" i="200"/>
  <c r="E24" i="200"/>
  <c r="D24" i="200"/>
  <c r="C24" i="200"/>
  <c r="B24" i="200"/>
  <c r="M23" i="200"/>
  <c r="M27" i="200" s="1"/>
  <c r="L23" i="200"/>
  <c r="K23" i="200"/>
  <c r="J23" i="200"/>
  <c r="J27" i="200" s="1"/>
  <c r="I23" i="200"/>
  <c r="H23" i="200"/>
  <c r="G23" i="200"/>
  <c r="F23" i="200"/>
  <c r="E23" i="200"/>
  <c r="D23" i="200"/>
  <c r="C23" i="200"/>
  <c r="B23" i="200"/>
  <c r="B27" i="200" s="1"/>
  <c r="M20" i="200"/>
  <c r="L20" i="200"/>
  <c r="K20" i="200"/>
  <c r="J20" i="200"/>
  <c r="I20" i="200"/>
  <c r="H20" i="200"/>
  <c r="H48" i="200" s="1"/>
  <c r="G20" i="200"/>
  <c r="F20" i="200"/>
  <c r="E20" i="200"/>
  <c r="D20" i="200"/>
  <c r="C20" i="200"/>
  <c r="C48" i="200" s="1"/>
  <c r="C61" i="200" s="1"/>
  <c r="B20" i="200"/>
  <c r="N19" i="200"/>
  <c r="N17" i="200"/>
  <c r="N16" i="200"/>
  <c r="E11" i="200"/>
  <c r="D11" i="200"/>
  <c r="C11" i="200"/>
  <c r="B11" i="200"/>
  <c r="M9" i="200"/>
  <c r="M13" i="200" s="1"/>
  <c r="L9" i="200"/>
  <c r="L13" i="200" s="1"/>
  <c r="K9" i="200"/>
  <c r="K13" i="200" s="1"/>
  <c r="J9" i="200"/>
  <c r="J13" i="200"/>
  <c r="I9" i="200"/>
  <c r="I13" i="200" s="1"/>
  <c r="H9" i="200"/>
  <c r="H13" i="200" s="1"/>
  <c r="G9" i="200"/>
  <c r="G13" i="200" s="1"/>
  <c r="F9" i="200"/>
  <c r="E9" i="200"/>
  <c r="E13" i="200" s="1"/>
  <c r="D9" i="200"/>
  <c r="C9" i="200"/>
  <c r="B9" i="200"/>
  <c r="N8" i="200"/>
  <c r="N7" i="200"/>
  <c r="N6" i="200"/>
  <c r="N5" i="200"/>
  <c r="N4" i="200"/>
  <c r="F13" i="200"/>
  <c r="F27" i="200"/>
  <c r="F28" i="200" s="1"/>
  <c r="G84" i="200"/>
  <c r="K84" i="200"/>
  <c r="H84" i="200"/>
  <c r="L84" i="200"/>
  <c r="N53" i="200"/>
  <c r="E84" i="200"/>
  <c r="I84" i="200"/>
  <c r="E53" i="199"/>
  <c r="I84" i="199" s="1"/>
  <c r="L84" i="199"/>
  <c r="E11" i="199"/>
  <c r="M93" i="199"/>
  <c r="L93" i="199"/>
  <c r="K93" i="199"/>
  <c r="J93" i="199"/>
  <c r="I93" i="199"/>
  <c r="H93" i="199"/>
  <c r="G93" i="199"/>
  <c r="F93" i="199"/>
  <c r="E93" i="199"/>
  <c r="D93" i="199"/>
  <c r="C93" i="199"/>
  <c r="B93" i="199"/>
  <c r="M87" i="199"/>
  <c r="L87" i="199"/>
  <c r="K87" i="199"/>
  <c r="J87" i="199"/>
  <c r="I87" i="199"/>
  <c r="H87" i="199"/>
  <c r="G87" i="199"/>
  <c r="F87" i="199"/>
  <c r="E87" i="199"/>
  <c r="D87" i="199"/>
  <c r="C87" i="199"/>
  <c r="B87" i="199"/>
  <c r="K84" i="199"/>
  <c r="J84" i="199"/>
  <c r="G84" i="199"/>
  <c r="E84" i="199"/>
  <c r="D84" i="199"/>
  <c r="C84" i="199"/>
  <c r="B84" i="199"/>
  <c r="B83" i="199"/>
  <c r="N73" i="199"/>
  <c r="B68" i="199"/>
  <c r="C68" i="199" s="1"/>
  <c r="D68" i="199" s="1"/>
  <c r="E68" i="199" s="1"/>
  <c r="F68" i="199" s="1"/>
  <c r="G68" i="199" s="1"/>
  <c r="H68" i="199" s="1"/>
  <c r="I68" i="199" s="1"/>
  <c r="J68" i="199" s="1"/>
  <c r="K68" i="199" s="1"/>
  <c r="L68" i="199" s="1"/>
  <c r="M68" i="199" s="1"/>
  <c r="M58" i="199"/>
  <c r="L58" i="199"/>
  <c r="K58" i="199"/>
  <c r="J58" i="199"/>
  <c r="I58" i="199"/>
  <c r="H58" i="199"/>
  <c r="G58" i="199"/>
  <c r="F58" i="199"/>
  <c r="E58" i="199"/>
  <c r="D58" i="199"/>
  <c r="C58" i="199"/>
  <c r="N57" i="199"/>
  <c r="N56" i="199"/>
  <c r="N87" i="199" s="1"/>
  <c r="B55" i="199"/>
  <c r="N55" i="199" s="1"/>
  <c r="N54" i="199"/>
  <c r="M46" i="199"/>
  <c r="L46" i="199"/>
  <c r="K46" i="199"/>
  <c r="J46" i="199"/>
  <c r="I46" i="199"/>
  <c r="H46" i="199"/>
  <c r="G46" i="199"/>
  <c r="F46" i="199"/>
  <c r="E46" i="199"/>
  <c r="D46" i="199"/>
  <c r="C46" i="199"/>
  <c r="B46" i="199"/>
  <c r="N45" i="199"/>
  <c r="N44" i="199"/>
  <c r="N41" i="199"/>
  <c r="N40" i="199"/>
  <c r="N39" i="199"/>
  <c r="N37" i="199"/>
  <c r="M34" i="199"/>
  <c r="M38" i="199" s="1"/>
  <c r="M42" i="199" s="1"/>
  <c r="L34" i="199"/>
  <c r="L38" i="199" s="1"/>
  <c r="L42" i="199" s="1"/>
  <c r="K34" i="199"/>
  <c r="K38" i="199" s="1"/>
  <c r="K42" i="199" s="1"/>
  <c r="J34" i="199"/>
  <c r="J38" i="199" s="1"/>
  <c r="J42" i="199" s="1"/>
  <c r="I34" i="199"/>
  <c r="I38" i="199" s="1"/>
  <c r="I42" i="199"/>
  <c r="H34" i="199"/>
  <c r="H38" i="199" s="1"/>
  <c r="H42" i="199" s="1"/>
  <c r="G34" i="199"/>
  <c r="G38" i="199" s="1"/>
  <c r="G42" i="199" s="1"/>
  <c r="F34" i="199"/>
  <c r="F38" i="199" s="1"/>
  <c r="F42" i="199" s="1"/>
  <c r="E34" i="199"/>
  <c r="E38" i="199" s="1"/>
  <c r="E42" i="199" s="1"/>
  <c r="D34" i="199"/>
  <c r="D38" i="199" s="1"/>
  <c r="D42" i="199" s="1"/>
  <c r="C34" i="199"/>
  <c r="B34" i="199"/>
  <c r="B38" i="199" s="1"/>
  <c r="AD33" i="199"/>
  <c r="AR33" i="199" s="1"/>
  <c r="AC33" i="199"/>
  <c r="AQ33" i="199" s="1"/>
  <c r="AA33" i="199"/>
  <c r="AO33" i="199" s="1"/>
  <c r="Z33" i="199"/>
  <c r="AN33" i="199" s="1"/>
  <c r="Y33" i="199"/>
  <c r="AM33" i="199" s="1"/>
  <c r="X33" i="199"/>
  <c r="AL33" i="199" s="1"/>
  <c r="W33" i="199"/>
  <c r="AK33" i="199" s="1"/>
  <c r="V33" i="199"/>
  <c r="AJ33" i="199" s="1"/>
  <c r="U33" i="199"/>
  <c r="AI33" i="199" s="1"/>
  <c r="T33" i="199"/>
  <c r="AH33" i="199" s="1"/>
  <c r="S33" i="199"/>
  <c r="AG33" i="199" s="1"/>
  <c r="R33" i="199"/>
  <c r="AF33" i="199" s="1"/>
  <c r="Q33" i="199"/>
  <c r="AE33" i="199" s="1"/>
  <c r="N33" i="199"/>
  <c r="AC32" i="199"/>
  <c r="AQ32" i="199" s="1"/>
  <c r="AA32" i="199"/>
  <c r="AO32" i="199" s="1"/>
  <c r="Z32" i="199"/>
  <c r="AN32" i="199" s="1"/>
  <c r="Y32" i="199"/>
  <c r="AM32" i="199" s="1"/>
  <c r="X32" i="199"/>
  <c r="AL32" i="199" s="1"/>
  <c r="W32" i="199"/>
  <c r="AK32" i="199" s="1"/>
  <c r="V32" i="199"/>
  <c r="AJ32" i="199" s="1"/>
  <c r="U32" i="199"/>
  <c r="AI32" i="199" s="1"/>
  <c r="T32" i="199"/>
  <c r="AH32" i="199" s="1"/>
  <c r="S32" i="199"/>
  <c r="AG32" i="199" s="1"/>
  <c r="R32" i="199"/>
  <c r="AF32" i="199" s="1"/>
  <c r="Q32" i="199"/>
  <c r="AE32" i="199" s="1"/>
  <c r="P32" i="199"/>
  <c r="AD32" i="199" s="1"/>
  <c r="AR32" i="199" s="1"/>
  <c r="N32" i="199"/>
  <c r="AB32" i="199" s="1"/>
  <c r="AP32" i="199" s="1"/>
  <c r="N31" i="199"/>
  <c r="N30" i="199"/>
  <c r="M26" i="199"/>
  <c r="L26" i="199"/>
  <c r="K26" i="199"/>
  <c r="J26" i="199"/>
  <c r="I26" i="199"/>
  <c r="H26" i="199"/>
  <c r="G26" i="199"/>
  <c r="F26" i="199"/>
  <c r="E26" i="199"/>
  <c r="D26" i="199"/>
  <c r="C26" i="199"/>
  <c r="B26" i="199"/>
  <c r="M25" i="199"/>
  <c r="L25" i="199"/>
  <c r="K25" i="199"/>
  <c r="J25" i="199"/>
  <c r="I25" i="199"/>
  <c r="H25" i="199"/>
  <c r="G25" i="199"/>
  <c r="F25" i="199"/>
  <c r="E25" i="199"/>
  <c r="D25" i="199"/>
  <c r="C25" i="199"/>
  <c r="B25" i="199"/>
  <c r="M24" i="199"/>
  <c r="L24" i="199"/>
  <c r="K24" i="199"/>
  <c r="J24" i="199"/>
  <c r="I24" i="199"/>
  <c r="H24" i="199"/>
  <c r="G24" i="199"/>
  <c r="F24" i="199"/>
  <c r="E24" i="199"/>
  <c r="D24" i="199"/>
  <c r="C24" i="199"/>
  <c r="B24" i="199"/>
  <c r="M23" i="199"/>
  <c r="M27" i="199" s="1"/>
  <c r="L23" i="199"/>
  <c r="K23" i="199"/>
  <c r="J23" i="199"/>
  <c r="I23" i="199"/>
  <c r="I27" i="199" s="1"/>
  <c r="H23" i="199"/>
  <c r="G23" i="199"/>
  <c r="F23" i="199"/>
  <c r="E23" i="199"/>
  <c r="E27" i="199" s="1"/>
  <c r="D23" i="199"/>
  <c r="C23" i="199"/>
  <c r="B23" i="199"/>
  <c r="M20" i="199"/>
  <c r="L20" i="199"/>
  <c r="K20" i="199"/>
  <c r="J20" i="199"/>
  <c r="I20" i="199"/>
  <c r="H20" i="199"/>
  <c r="G20" i="199"/>
  <c r="F20" i="199"/>
  <c r="E20" i="199"/>
  <c r="D20" i="199"/>
  <c r="C20" i="199"/>
  <c r="B20" i="199"/>
  <c r="N19" i="199"/>
  <c r="N17" i="199"/>
  <c r="N16" i="199"/>
  <c r="D11" i="199"/>
  <c r="C11" i="199"/>
  <c r="B11" i="199"/>
  <c r="M9" i="199"/>
  <c r="M13" i="199" s="1"/>
  <c r="L9" i="199"/>
  <c r="L13" i="199" s="1"/>
  <c r="K9" i="199"/>
  <c r="K13" i="199" s="1"/>
  <c r="J9" i="199"/>
  <c r="J13" i="199" s="1"/>
  <c r="I9" i="199"/>
  <c r="I13" i="199" s="1"/>
  <c r="H9" i="199"/>
  <c r="H13" i="199" s="1"/>
  <c r="G9" i="199"/>
  <c r="G13" i="199" s="1"/>
  <c r="F9" i="199"/>
  <c r="F13" i="199" s="1"/>
  <c r="E9" i="199"/>
  <c r="D9" i="199"/>
  <c r="D13" i="199"/>
  <c r="C9" i="199"/>
  <c r="B9" i="199"/>
  <c r="N8" i="199"/>
  <c r="N7" i="199"/>
  <c r="N6" i="199"/>
  <c r="N5" i="199"/>
  <c r="N4" i="199"/>
  <c r="H84" i="199"/>
  <c r="B58" i="199"/>
  <c r="D11" i="198"/>
  <c r="M93" i="198"/>
  <c r="L93" i="198"/>
  <c r="K93" i="198"/>
  <c r="J93" i="198"/>
  <c r="I93" i="198"/>
  <c r="H93" i="198"/>
  <c r="G93" i="198"/>
  <c r="F93" i="198"/>
  <c r="E93" i="198"/>
  <c r="D93" i="198"/>
  <c r="C93" i="198"/>
  <c r="B93" i="198"/>
  <c r="M87" i="198"/>
  <c r="L87" i="198"/>
  <c r="K87" i="198"/>
  <c r="J87" i="198"/>
  <c r="I87" i="198"/>
  <c r="H87" i="198"/>
  <c r="G87" i="198"/>
  <c r="F87" i="198"/>
  <c r="E87" i="198"/>
  <c r="D87" i="198"/>
  <c r="C87" i="198"/>
  <c r="B87" i="198"/>
  <c r="M84" i="198"/>
  <c r="L84" i="198"/>
  <c r="K84" i="198"/>
  <c r="J84" i="198"/>
  <c r="I84" i="198"/>
  <c r="H84" i="198"/>
  <c r="G84" i="198"/>
  <c r="F84" i="198"/>
  <c r="E84" i="198"/>
  <c r="D84" i="198"/>
  <c r="C84" i="198"/>
  <c r="B84" i="198"/>
  <c r="B83" i="198"/>
  <c r="N73" i="198"/>
  <c r="B68" i="198"/>
  <c r="C68" i="198" s="1"/>
  <c r="D68" i="198" s="1"/>
  <c r="E68" i="198" s="1"/>
  <c r="F68" i="198" s="1"/>
  <c r="G68" i="198" s="1"/>
  <c r="H68" i="198" s="1"/>
  <c r="I68" i="198" s="1"/>
  <c r="J68" i="198" s="1"/>
  <c r="K68" i="198" s="1"/>
  <c r="L68" i="198" s="1"/>
  <c r="M68" i="198" s="1"/>
  <c r="M58" i="198"/>
  <c r="L58" i="198"/>
  <c r="K58" i="198"/>
  <c r="J58" i="198"/>
  <c r="I58" i="198"/>
  <c r="H58" i="198"/>
  <c r="G58" i="198"/>
  <c r="F58" i="198"/>
  <c r="E58" i="198"/>
  <c r="D58" i="198"/>
  <c r="C58" i="198"/>
  <c r="N57" i="198"/>
  <c r="N87" i="198" s="1"/>
  <c r="N56" i="198"/>
  <c r="B55" i="198"/>
  <c r="N54" i="198"/>
  <c r="N53" i="198"/>
  <c r="M46" i="198"/>
  <c r="L46" i="198"/>
  <c r="K46" i="198"/>
  <c r="J46" i="198"/>
  <c r="I46" i="198"/>
  <c r="H46" i="198"/>
  <c r="G46" i="198"/>
  <c r="F46" i="198"/>
  <c r="E46" i="198"/>
  <c r="D46" i="198"/>
  <c r="C46" i="198"/>
  <c r="B46" i="198"/>
  <c r="N45" i="198"/>
  <c r="N44" i="198"/>
  <c r="N41" i="198"/>
  <c r="N40" i="198"/>
  <c r="N39" i="198"/>
  <c r="N37" i="198"/>
  <c r="M34" i="198"/>
  <c r="M38" i="198" s="1"/>
  <c r="M42" i="198" s="1"/>
  <c r="L34" i="198"/>
  <c r="L38" i="198" s="1"/>
  <c r="L42" i="198" s="1"/>
  <c r="K34" i="198"/>
  <c r="K38" i="198" s="1"/>
  <c r="K42" i="198" s="1"/>
  <c r="J34" i="198"/>
  <c r="I34" i="198"/>
  <c r="I38" i="198" s="1"/>
  <c r="I42" i="198" s="1"/>
  <c r="H34" i="198"/>
  <c r="G34" i="198"/>
  <c r="G38" i="198" s="1"/>
  <c r="G42" i="198" s="1"/>
  <c r="F34" i="198"/>
  <c r="F38" i="198" s="1"/>
  <c r="F42" i="198"/>
  <c r="E34" i="198"/>
  <c r="E38" i="198" s="1"/>
  <c r="E42" i="198" s="1"/>
  <c r="D34" i="198"/>
  <c r="D38" i="198" s="1"/>
  <c r="D42" i="198" s="1"/>
  <c r="C34" i="198"/>
  <c r="C38" i="198"/>
  <c r="C42" i="198" s="1"/>
  <c r="B34" i="198"/>
  <c r="AD33" i="198"/>
  <c r="AR33" i="198" s="1"/>
  <c r="AC33" i="198"/>
  <c r="AQ33" i="198" s="1"/>
  <c r="AA33" i="198"/>
  <c r="AO33" i="198" s="1"/>
  <c r="Z33" i="198"/>
  <c r="AN33" i="198" s="1"/>
  <c r="Y33" i="198"/>
  <c r="AM33" i="198" s="1"/>
  <c r="X33" i="198"/>
  <c r="AL33" i="198" s="1"/>
  <c r="W33" i="198"/>
  <c r="AK33" i="198" s="1"/>
  <c r="V33" i="198"/>
  <c r="AJ33" i="198" s="1"/>
  <c r="U33" i="198"/>
  <c r="AI33" i="198" s="1"/>
  <c r="T33" i="198"/>
  <c r="AH33" i="198" s="1"/>
  <c r="S33" i="198"/>
  <c r="AG33" i="198" s="1"/>
  <c r="R33" i="198"/>
  <c r="AF33" i="198" s="1"/>
  <c r="Q33" i="198"/>
  <c r="AE33" i="198" s="1"/>
  <c r="N33" i="198"/>
  <c r="AC32" i="198"/>
  <c r="AQ32" i="198" s="1"/>
  <c r="AA32" i="198"/>
  <c r="AO32" i="198" s="1"/>
  <c r="Z32" i="198"/>
  <c r="AN32" i="198" s="1"/>
  <c r="Y32" i="198"/>
  <c r="AM32" i="198" s="1"/>
  <c r="X32" i="198"/>
  <c r="AL32" i="198" s="1"/>
  <c r="W32" i="198"/>
  <c r="AK32" i="198" s="1"/>
  <c r="V32" i="198"/>
  <c r="AJ32" i="198" s="1"/>
  <c r="U32" i="198"/>
  <c r="AI32" i="198" s="1"/>
  <c r="T32" i="198"/>
  <c r="AH32" i="198" s="1"/>
  <c r="S32" i="198"/>
  <c r="AG32" i="198" s="1"/>
  <c r="R32" i="198"/>
  <c r="AF32" i="198" s="1"/>
  <c r="Q32" i="198"/>
  <c r="AE32" i="198" s="1"/>
  <c r="P32" i="198"/>
  <c r="AD32" i="198" s="1"/>
  <c r="AR32" i="198" s="1"/>
  <c r="N32" i="198"/>
  <c r="AB32" i="198" s="1"/>
  <c r="AP32" i="198" s="1"/>
  <c r="N31" i="198"/>
  <c r="N30" i="198"/>
  <c r="M26" i="198"/>
  <c r="L26" i="198"/>
  <c r="K26" i="198"/>
  <c r="J26" i="198"/>
  <c r="I26" i="198"/>
  <c r="H26" i="198"/>
  <c r="G26" i="198"/>
  <c r="F26" i="198"/>
  <c r="E26" i="198"/>
  <c r="D26" i="198"/>
  <c r="C26" i="198"/>
  <c r="B26" i="198"/>
  <c r="M25" i="198"/>
  <c r="L25" i="198"/>
  <c r="K25" i="198"/>
  <c r="J25" i="198"/>
  <c r="I25" i="198"/>
  <c r="H25" i="198"/>
  <c r="G25" i="198"/>
  <c r="F25" i="198"/>
  <c r="E25" i="198"/>
  <c r="D25" i="198"/>
  <c r="C25" i="198"/>
  <c r="B25" i="198"/>
  <c r="M24" i="198"/>
  <c r="L24" i="198"/>
  <c r="K24" i="198"/>
  <c r="J24" i="198"/>
  <c r="I24" i="198"/>
  <c r="H24" i="198"/>
  <c r="G24" i="198"/>
  <c r="F24" i="198"/>
  <c r="E24" i="198"/>
  <c r="D24" i="198"/>
  <c r="C24" i="198"/>
  <c r="B24" i="198"/>
  <c r="M23" i="198"/>
  <c r="M27" i="198" s="1"/>
  <c r="L23" i="198"/>
  <c r="K23" i="198"/>
  <c r="J23" i="198"/>
  <c r="J27" i="198"/>
  <c r="I23" i="198"/>
  <c r="I27" i="198" s="1"/>
  <c r="H23" i="198"/>
  <c r="G23" i="198"/>
  <c r="F23" i="198"/>
  <c r="F27" i="198" s="1"/>
  <c r="E23" i="198"/>
  <c r="E27" i="198" s="1"/>
  <c r="E28" i="198" s="1"/>
  <c r="D23" i="198"/>
  <c r="C23" i="198"/>
  <c r="B23" i="198"/>
  <c r="M20" i="198"/>
  <c r="L20" i="198"/>
  <c r="K20" i="198"/>
  <c r="J20" i="198"/>
  <c r="I20" i="198"/>
  <c r="I48" i="198" s="1"/>
  <c r="I61" i="198" s="1"/>
  <c r="H20" i="198"/>
  <c r="G20" i="198"/>
  <c r="F20" i="198"/>
  <c r="E20" i="198"/>
  <c r="D20" i="198"/>
  <c r="C20" i="198"/>
  <c r="B20" i="198"/>
  <c r="N19" i="198"/>
  <c r="N17" i="198"/>
  <c r="N16" i="198"/>
  <c r="C11" i="198"/>
  <c r="N11" i="198" s="1"/>
  <c r="B11" i="198"/>
  <c r="M9" i="198"/>
  <c r="M13" i="198" s="1"/>
  <c r="L9" i="198"/>
  <c r="L13" i="198" s="1"/>
  <c r="K9" i="198"/>
  <c r="K13" i="198" s="1"/>
  <c r="J9" i="198"/>
  <c r="J13" i="198" s="1"/>
  <c r="I9" i="198"/>
  <c r="I13" i="198" s="1"/>
  <c r="H9" i="198"/>
  <c r="H13" i="198" s="1"/>
  <c r="G9" i="198"/>
  <c r="G13" i="198" s="1"/>
  <c r="F9" i="198"/>
  <c r="F13" i="198" s="1"/>
  <c r="E9" i="198"/>
  <c r="E13" i="198" s="1"/>
  <c r="D9" i="198"/>
  <c r="D13" i="198" s="1"/>
  <c r="C9" i="198"/>
  <c r="C13" i="198" s="1"/>
  <c r="B9" i="198"/>
  <c r="B13" i="198" s="1"/>
  <c r="N8" i="198"/>
  <c r="N7" i="198"/>
  <c r="N6" i="198"/>
  <c r="N5" i="198"/>
  <c r="N4" i="198"/>
  <c r="C83" i="198"/>
  <c r="D83" i="198" s="1"/>
  <c r="E83" i="198" s="1"/>
  <c r="E85" i="198" s="1"/>
  <c r="C11" i="197"/>
  <c r="M93" i="197"/>
  <c r="L93" i="197"/>
  <c r="K93" i="197"/>
  <c r="J93" i="197"/>
  <c r="I93" i="197"/>
  <c r="H93" i="197"/>
  <c r="G93" i="197"/>
  <c r="F93" i="197"/>
  <c r="E93" i="197"/>
  <c r="D93" i="197"/>
  <c r="C93" i="197"/>
  <c r="B93" i="197"/>
  <c r="M87" i="197"/>
  <c r="L87" i="197"/>
  <c r="K87" i="197"/>
  <c r="J87" i="197"/>
  <c r="I87" i="197"/>
  <c r="H87" i="197"/>
  <c r="G87" i="197"/>
  <c r="F87" i="197"/>
  <c r="E87" i="197"/>
  <c r="D87" i="197"/>
  <c r="C87" i="197"/>
  <c r="B87" i="197"/>
  <c r="M84" i="197"/>
  <c r="L84" i="197"/>
  <c r="K84" i="197"/>
  <c r="J84" i="197"/>
  <c r="I84" i="197"/>
  <c r="H84" i="197"/>
  <c r="G84" i="197"/>
  <c r="F84" i="197"/>
  <c r="E84" i="197"/>
  <c r="D84" i="197"/>
  <c r="C84" i="197"/>
  <c r="B84" i="197"/>
  <c r="B83" i="197"/>
  <c r="N73" i="197"/>
  <c r="B68" i="197"/>
  <c r="C68" i="197" s="1"/>
  <c r="D68" i="197" s="1"/>
  <c r="E68" i="197" s="1"/>
  <c r="F68" i="197" s="1"/>
  <c r="G68" i="197" s="1"/>
  <c r="H68" i="197" s="1"/>
  <c r="I68" i="197" s="1"/>
  <c r="J68" i="197" s="1"/>
  <c r="K68" i="197" s="1"/>
  <c r="L68" i="197" s="1"/>
  <c r="M68" i="197" s="1"/>
  <c r="M58" i="197"/>
  <c r="L58" i="197"/>
  <c r="K58" i="197"/>
  <c r="J58" i="197"/>
  <c r="I58" i="197"/>
  <c r="H58" i="197"/>
  <c r="G58" i="197"/>
  <c r="F58" i="197"/>
  <c r="E58" i="197"/>
  <c r="D58" i="197"/>
  <c r="C58" i="197"/>
  <c r="N57" i="197"/>
  <c r="N56" i="197"/>
  <c r="N87" i="197" s="1"/>
  <c r="B55" i="197"/>
  <c r="N54" i="197"/>
  <c r="N53" i="197"/>
  <c r="M46" i="197"/>
  <c r="L46" i="197"/>
  <c r="K46" i="197"/>
  <c r="J46" i="197"/>
  <c r="I46" i="197"/>
  <c r="H46" i="197"/>
  <c r="G46" i="197"/>
  <c r="F46" i="197"/>
  <c r="E46" i="197"/>
  <c r="D46" i="197"/>
  <c r="C46" i="197"/>
  <c r="B46" i="197"/>
  <c r="N45" i="197"/>
  <c r="N44" i="197"/>
  <c r="N41" i="197"/>
  <c r="N40" i="197"/>
  <c r="N39" i="197"/>
  <c r="N37" i="197"/>
  <c r="M34" i="197"/>
  <c r="M38" i="197" s="1"/>
  <c r="M42" i="197" s="1"/>
  <c r="L34" i="197"/>
  <c r="L38" i="197" s="1"/>
  <c r="L42" i="197" s="1"/>
  <c r="K34" i="197"/>
  <c r="K38" i="197" s="1"/>
  <c r="K42" i="197" s="1"/>
  <c r="J34" i="197"/>
  <c r="I34" i="197"/>
  <c r="I38" i="197"/>
  <c r="I42" i="197" s="1"/>
  <c r="H34" i="197"/>
  <c r="H38" i="197" s="1"/>
  <c r="H42" i="197" s="1"/>
  <c r="G34" i="197"/>
  <c r="G38" i="197" s="1"/>
  <c r="G42" i="197" s="1"/>
  <c r="F34" i="197"/>
  <c r="E34" i="197"/>
  <c r="E38" i="197" s="1"/>
  <c r="E42" i="197" s="1"/>
  <c r="D34" i="197"/>
  <c r="D38" i="197" s="1"/>
  <c r="D42" i="197"/>
  <c r="C34" i="197"/>
  <c r="C38" i="197" s="1"/>
  <c r="C42" i="197" s="1"/>
  <c r="B34" i="197"/>
  <c r="AD33" i="197"/>
  <c r="AR33" i="197" s="1"/>
  <c r="AC33" i="197"/>
  <c r="AQ33" i="197" s="1"/>
  <c r="AA33" i="197"/>
  <c r="AO33" i="197" s="1"/>
  <c r="Z33" i="197"/>
  <c r="AN33" i="197" s="1"/>
  <c r="Y33" i="197"/>
  <c r="AM33" i="197" s="1"/>
  <c r="X33" i="197"/>
  <c r="AL33" i="197" s="1"/>
  <c r="W33" i="197"/>
  <c r="AK33" i="197" s="1"/>
  <c r="V33" i="197"/>
  <c r="AJ33" i="197" s="1"/>
  <c r="U33" i="197"/>
  <c r="AI33" i="197" s="1"/>
  <c r="T33" i="197"/>
  <c r="AH33" i="197" s="1"/>
  <c r="S33" i="197"/>
  <c r="AG33" i="197" s="1"/>
  <c r="R33" i="197"/>
  <c r="AF33" i="197" s="1"/>
  <c r="Q33" i="197"/>
  <c r="AE33" i="197" s="1"/>
  <c r="N33" i="197"/>
  <c r="AB33" i="197" s="1"/>
  <c r="AP33" i="197" s="1"/>
  <c r="AC32" i="197"/>
  <c r="AQ32" i="197" s="1"/>
  <c r="AA32" i="197"/>
  <c r="AO32" i="197" s="1"/>
  <c r="Z32" i="197"/>
  <c r="AN32" i="197" s="1"/>
  <c r="Y32" i="197"/>
  <c r="AM32" i="197" s="1"/>
  <c r="X32" i="197"/>
  <c r="AL32" i="197" s="1"/>
  <c r="W32" i="197"/>
  <c r="AK32" i="197" s="1"/>
  <c r="V32" i="197"/>
  <c r="AJ32" i="197" s="1"/>
  <c r="U32" i="197"/>
  <c r="AI32" i="197"/>
  <c r="T32" i="197"/>
  <c r="AH32" i="197" s="1"/>
  <c r="S32" i="197"/>
  <c r="AG32" i="197" s="1"/>
  <c r="R32" i="197"/>
  <c r="AF32" i="197" s="1"/>
  <c r="Q32" i="197"/>
  <c r="AE32" i="197"/>
  <c r="P32" i="197"/>
  <c r="AD32" i="197" s="1"/>
  <c r="AR32" i="197" s="1"/>
  <c r="N32" i="197"/>
  <c r="AB32" i="197" s="1"/>
  <c r="AP32" i="197" s="1"/>
  <c r="N31" i="197"/>
  <c r="N30" i="197"/>
  <c r="M26" i="197"/>
  <c r="L26" i="197"/>
  <c r="K26" i="197"/>
  <c r="J26" i="197"/>
  <c r="I26" i="197"/>
  <c r="H26" i="197"/>
  <c r="G26" i="197"/>
  <c r="F26" i="197"/>
  <c r="E26" i="197"/>
  <c r="D26" i="197"/>
  <c r="C26" i="197"/>
  <c r="B26" i="197"/>
  <c r="M25" i="197"/>
  <c r="L25" i="197"/>
  <c r="K25" i="197"/>
  <c r="J25" i="197"/>
  <c r="I25" i="197"/>
  <c r="H25" i="197"/>
  <c r="G25" i="197"/>
  <c r="F25" i="197"/>
  <c r="E25" i="197"/>
  <c r="D25" i="197"/>
  <c r="C25" i="197"/>
  <c r="B25" i="197"/>
  <c r="M24" i="197"/>
  <c r="L24" i="197"/>
  <c r="K24" i="197"/>
  <c r="J24" i="197"/>
  <c r="I24" i="197"/>
  <c r="H24" i="197"/>
  <c r="G24" i="197"/>
  <c r="F24" i="197"/>
  <c r="E24" i="197"/>
  <c r="D24" i="197"/>
  <c r="C24" i="197"/>
  <c r="B24" i="197"/>
  <c r="M23" i="197"/>
  <c r="M27" i="197" s="1"/>
  <c r="L23" i="197"/>
  <c r="L27" i="197" s="1"/>
  <c r="K23" i="197"/>
  <c r="K27" i="197" s="1"/>
  <c r="J23" i="197"/>
  <c r="I23" i="197"/>
  <c r="I27" i="197" s="1"/>
  <c r="H23" i="197"/>
  <c r="H27" i="197" s="1"/>
  <c r="G23" i="197"/>
  <c r="G27" i="197" s="1"/>
  <c r="F23" i="197"/>
  <c r="F27" i="197" s="1"/>
  <c r="E23" i="197"/>
  <c r="E27" i="197" s="1"/>
  <c r="D23" i="197"/>
  <c r="D27" i="197" s="1"/>
  <c r="C23" i="197"/>
  <c r="B23" i="197"/>
  <c r="M20" i="197"/>
  <c r="L20" i="197"/>
  <c r="K20" i="197"/>
  <c r="J20" i="197"/>
  <c r="I20" i="197"/>
  <c r="H20" i="197"/>
  <c r="G20" i="197"/>
  <c r="F20" i="197"/>
  <c r="E20" i="197"/>
  <c r="D20" i="197"/>
  <c r="C20" i="197"/>
  <c r="B20" i="197"/>
  <c r="N19" i="197"/>
  <c r="N17" i="197"/>
  <c r="N16" i="197"/>
  <c r="B11" i="197"/>
  <c r="N11" i="197" s="1"/>
  <c r="M9" i="197"/>
  <c r="M13" i="197"/>
  <c r="L9" i="197"/>
  <c r="L13" i="197" s="1"/>
  <c r="K9" i="197"/>
  <c r="K13" i="197" s="1"/>
  <c r="J9" i="197"/>
  <c r="J13" i="197" s="1"/>
  <c r="I9" i="197"/>
  <c r="I13" i="197"/>
  <c r="H9" i="197"/>
  <c r="H13" i="197" s="1"/>
  <c r="G9" i="197"/>
  <c r="G13" i="197" s="1"/>
  <c r="F9" i="197"/>
  <c r="F13" i="197" s="1"/>
  <c r="E9" i="197"/>
  <c r="E13" i="197"/>
  <c r="D9" i="197"/>
  <c r="D13" i="197" s="1"/>
  <c r="C9" i="197"/>
  <c r="C13" i="197" s="1"/>
  <c r="B9" i="197"/>
  <c r="B13" i="197" s="1"/>
  <c r="N8" i="197"/>
  <c r="N7" i="197"/>
  <c r="N6" i="197"/>
  <c r="N5" i="197"/>
  <c r="N4" i="197"/>
  <c r="B55" i="196"/>
  <c r="B11" i="196"/>
  <c r="M93" i="196"/>
  <c r="L93" i="196"/>
  <c r="K93" i="196"/>
  <c r="J93" i="196"/>
  <c r="I93" i="196"/>
  <c r="H93" i="196"/>
  <c r="G93" i="196"/>
  <c r="F93" i="196"/>
  <c r="E93" i="196"/>
  <c r="D93" i="196"/>
  <c r="C93" i="196"/>
  <c r="B93" i="196"/>
  <c r="M87" i="196"/>
  <c r="L87" i="196"/>
  <c r="K87" i="196"/>
  <c r="J87" i="196"/>
  <c r="I87" i="196"/>
  <c r="H87" i="196"/>
  <c r="G87" i="196"/>
  <c r="F87" i="196"/>
  <c r="E87" i="196"/>
  <c r="D87" i="196"/>
  <c r="C87" i="196"/>
  <c r="B87" i="196"/>
  <c r="C88" i="196" s="1"/>
  <c r="M84" i="196"/>
  <c r="L84" i="196"/>
  <c r="K84" i="196"/>
  <c r="J84" i="196"/>
  <c r="I84" i="196"/>
  <c r="H84" i="196"/>
  <c r="G84" i="196"/>
  <c r="F84" i="196"/>
  <c r="E84" i="196"/>
  <c r="D84" i="196"/>
  <c r="C84" i="196"/>
  <c r="B84" i="196"/>
  <c r="B83" i="196"/>
  <c r="N73" i="196"/>
  <c r="B68" i="196"/>
  <c r="C68" i="196"/>
  <c r="D68" i="196" s="1"/>
  <c r="E68" i="196" s="1"/>
  <c r="F68" i="196" s="1"/>
  <c r="G68" i="196" s="1"/>
  <c r="H68" i="196" s="1"/>
  <c r="I68" i="196" s="1"/>
  <c r="J68" i="196" s="1"/>
  <c r="K68" i="196" s="1"/>
  <c r="L68" i="196" s="1"/>
  <c r="M68" i="196" s="1"/>
  <c r="M58" i="196"/>
  <c r="L58" i="196"/>
  <c r="K58" i="196"/>
  <c r="J58" i="196"/>
  <c r="I58" i="196"/>
  <c r="H58" i="196"/>
  <c r="G58" i="196"/>
  <c r="F58" i="196"/>
  <c r="E58" i="196"/>
  <c r="D58" i="196"/>
  <c r="C58" i="196"/>
  <c r="N57" i="196"/>
  <c r="N56" i="196"/>
  <c r="N87" i="196" s="1"/>
  <c r="N54" i="196"/>
  <c r="N53" i="196"/>
  <c r="M46" i="196"/>
  <c r="L46" i="196"/>
  <c r="K46" i="196"/>
  <c r="J46" i="196"/>
  <c r="I46" i="196"/>
  <c r="H46" i="196"/>
  <c r="G46" i="196"/>
  <c r="F46" i="196"/>
  <c r="E46" i="196"/>
  <c r="D46" i="196"/>
  <c r="C46" i="196"/>
  <c r="B46" i="196"/>
  <c r="N45" i="196"/>
  <c r="N44" i="196"/>
  <c r="N41" i="196"/>
  <c r="N40" i="196"/>
  <c r="N39" i="196"/>
  <c r="N37" i="196"/>
  <c r="M34" i="196"/>
  <c r="M38" i="196" s="1"/>
  <c r="M42" i="196" s="1"/>
  <c r="L34" i="196"/>
  <c r="L38" i="196" s="1"/>
  <c r="L42" i="196" s="1"/>
  <c r="K34" i="196"/>
  <c r="K38" i="196" s="1"/>
  <c r="K42" i="196" s="1"/>
  <c r="J34" i="196"/>
  <c r="I34" i="196"/>
  <c r="I38" i="196"/>
  <c r="I42" i="196" s="1"/>
  <c r="H34" i="196"/>
  <c r="H38" i="196" s="1"/>
  <c r="H42" i="196" s="1"/>
  <c r="G34" i="196"/>
  <c r="G38" i="196" s="1"/>
  <c r="G42" i="196" s="1"/>
  <c r="F34" i="196"/>
  <c r="E34" i="196"/>
  <c r="E38" i="196" s="1"/>
  <c r="E42" i="196" s="1"/>
  <c r="D34" i="196"/>
  <c r="D38" i="196" s="1"/>
  <c r="D42" i="196" s="1"/>
  <c r="C34" i="196"/>
  <c r="C38" i="196" s="1"/>
  <c r="C42" i="196" s="1"/>
  <c r="B34" i="196"/>
  <c r="AD33" i="196"/>
  <c r="AR33" i="196" s="1"/>
  <c r="AC33" i="196"/>
  <c r="AQ33" i="196" s="1"/>
  <c r="AA33" i="196"/>
  <c r="AO33" i="196" s="1"/>
  <c r="Z33" i="196"/>
  <c r="AN33" i="196" s="1"/>
  <c r="Y33" i="196"/>
  <c r="AM33" i="196" s="1"/>
  <c r="X33" i="196"/>
  <c r="AL33" i="196" s="1"/>
  <c r="W33" i="196"/>
  <c r="AK33" i="196" s="1"/>
  <c r="V33" i="196"/>
  <c r="AJ33" i="196" s="1"/>
  <c r="U33" i="196"/>
  <c r="AI33" i="196" s="1"/>
  <c r="T33" i="196"/>
  <c r="AH33" i="196" s="1"/>
  <c r="S33" i="196"/>
  <c r="AG33" i="196" s="1"/>
  <c r="R33" i="196"/>
  <c r="AF33" i="196" s="1"/>
  <c r="Q33" i="196"/>
  <c r="AE33" i="196" s="1"/>
  <c r="N33" i="196"/>
  <c r="AB33" i="196" s="1"/>
  <c r="AP33" i="196" s="1"/>
  <c r="AC32" i="196"/>
  <c r="AQ32" i="196" s="1"/>
  <c r="AA32" i="196"/>
  <c r="AO32" i="196" s="1"/>
  <c r="Z32" i="196"/>
  <c r="AN32" i="196" s="1"/>
  <c r="Y32" i="196"/>
  <c r="AM32" i="196" s="1"/>
  <c r="X32" i="196"/>
  <c r="AL32" i="196" s="1"/>
  <c r="W32" i="196"/>
  <c r="AK32" i="196" s="1"/>
  <c r="V32" i="196"/>
  <c r="AJ32" i="196" s="1"/>
  <c r="U32" i="196"/>
  <c r="AI32" i="196" s="1"/>
  <c r="T32" i="196"/>
  <c r="AH32" i="196" s="1"/>
  <c r="S32" i="196"/>
  <c r="AG32" i="196" s="1"/>
  <c r="R32" i="196"/>
  <c r="AF32" i="196" s="1"/>
  <c r="Q32" i="196"/>
  <c r="AE32" i="196" s="1"/>
  <c r="P32" i="196"/>
  <c r="AD32" i="196" s="1"/>
  <c r="AR32" i="196" s="1"/>
  <c r="N32" i="196"/>
  <c r="AB32" i="196" s="1"/>
  <c r="AP32" i="196" s="1"/>
  <c r="N31" i="196"/>
  <c r="N30" i="196"/>
  <c r="M26" i="196"/>
  <c r="L26" i="196"/>
  <c r="K26" i="196"/>
  <c r="J26" i="196"/>
  <c r="I26" i="196"/>
  <c r="H26" i="196"/>
  <c r="G26" i="196"/>
  <c r="F26" i="196"/>
  <c r="E26" i="196"/>
  <c r="D26" i="196"/>
  <c r="C26" i="196"/>
  <c r="B26" i="196"/>
  <c r="M25" i="196"/>
  <c r="L25" i="196"/>
  <c r="K25" i="196"/>
  <c r="J25" i="196"/>
  <c r="I25" i="196"/>
  <c r="H25" i="196"/>
  <c r="G25" i="196"/>
  <c r="F25" i="196"/>
  <c r="E25" i="196"/>
  <c r="D25" i="196"/>
  <c r="C25" i="196"/>
  <c r="B25" i="196"/>
  <c r="M24" i="196"/>
  <c r="L24" i="196"/>
  <c r="K24" i="196"/>
  <c r="K27" i="196" s="1"/>
  <c r="J24" i="196"/>
  <c r="I24" i="196"/>
  <c r="H24" i="196"/>
  <c r="G24" i="196"/>
  <c r="F24" i="196"/>
  <c r="E24" i="196"/>
  <c r="D24" i="196"/>
  <c r="C24" i="196"/>
  <c r="N24" i="196" s="1"/>
  <c r="B24" i="196"/>
  <c r="M23" i="196"/>
  <c r="M27" i="196"/>
  <c r="L23" i="196"/>
  <c r="K23" i="196"/>
  <c r="J23" i="196"/>
  <c r="I23" i="196"/>
  <c r="I27" i="196" s="1"/>
  <c r="H23" i="196"/>
  <c r="G23" i="196"/>
  <c r="F23" i="196"/>
  <c r="E23" i="196"/>
  <c r="E27" i="196" s="1"/>
  <c r="D23" i="196"/>
  <c r="C23" i="196"/>
  <c r="B23" i="196"/>
  <c r="M20" i="196"/>
  <c r="L20" i="196"/>
  <c r="K20" i="196"/>
  <c r="J20" i="196"/>
  <c r="I20" i="196"/>
  <c r="H20" i="196"/>
  <c r="G20" i="196"/>
  <c r="F20" i="196"/>
  <c r="E20" i="196"/>
  <c r="D20" i="196"/>
  <c r="C20" i="196"/>
  <c r="B20" i="196"/>
  <c r="N19" i="196"/>
  <c r="N17" i="196"/>
  <c r="N16" i="196"/>
  <c r="N11" i="196"/>
  <c r="M9" i="196"/>
  <c r="M13" i="196"/>
  <c r="L9" i="196"/>
  <c r="L13" i="196" s="1"/>
  <c r="K9" i="196"/>
  <c r="K13" i="196" s="1"/>
  <c r="J9" i="196"/>
  <c r="J13" i="196" s="1"/>
  <c r="I9" i="196"/>
  <c r="I13" i="196"/>
  <c r="H9" i="196"/>
  <c r="H13" i="196" s="1"/>
  <c r="G9" i="196"/>
  <c r="G13" i="196" s="1"/>
  <c r="F9" i="196"/>
  <c r="F13" i="196" s="1"/>
  <c r="E9" i="196"/>
  <c r="E13" i="196"/>
  <c r="D9" i="196"/>
  <c r="D13" i="196" s="1"/>
  <c r="C9" i="196"/>
  <c r="C13" i="196" s="1"/>
  <c r="B9" i="196"/>
  <c r="B13" i="196" s="1"/>
  <c r="N8" i="196"/>
  <c r="N7" i="196"/>
  <c r="N6" i="196"/>
  <c r="N5" i="196"/>
  <c r="N4" i="196"/>
  <c r="B68" i="195"/>
  <c r="C68" i="195" s="1"/>
  <c r="D68" i="195" s="1"/>
  <c r="E68" i="195" s="1"/>
  <c r="F68" i="195" s="1"/>
  <c r="G68" i="195" s="1"/>
  <c r="H68" i="195" s="1"/>
  <c r="I68" i="195" s="1"/>
  <c r="J68" i="195" s="1"/>
  <c r="K68" i="195" s="1"/>
  <c r="L68" i="195" s="1"/>
  <c r="M68" i="195" s="1"/>
  <c r="M93" i="195"/>
  <c r="L93" i="195"/>
  <c r="K93" i="195"/>
  <c r="J93" i="195"/>
  <c r="I93" i="195"/>
  <c r="H93" i="195"/>
  <c r="G93" i="195"/>
  <c r="F93" i="195"/>
  <c r="E93" i="195"/>
  <c r="D93" i="195"/>
  <c r="C93" i="195"/>
  <c r="B93" i="195"/>
  <c r="N53" i="195"/>
  <c r="M87" i="195"/>
  <c r="L87" i="195"/>
  <c r="K87" i="195"/>
  <c r="J87" i="195"/>
  <c r="I87" i="195"/>
  <c r="H87" i="195"/>
  <c r="G87" i="195"/>
  <c r="B87" i="195"/>
  <c r="M84" i="195"/>
  <c r="L84" i="195"/>
  <c r="K84" i="195"/>
  <c r="J84" i="195"/>
  <c r="I84" i="195"/>
  <c r="H84" i="195"/>
  <c r="G84" i="195"/>
  <c r="F84" i="195"/>
  <c r="E84" i="195"/>
  <c r="D84" i="195"/>
  <c r="C84" i="195"/>
  <c r="B84" i="195"/>
  <c r="B83" i="195"/>
  <c r="C83" i="195"/>
  <c r="N73" i="195"/>
  <c r="L58" i="195"/>
  <c r="K58" i="195"/>
  <c r="J58" i="195"/>
  <c r="I58" i="195"/>
  <c r="H58" i="195"/>
  <c r="G58" i="195"/>
  <c r="N57" i="195"/>
  <c r="F58" i="195"/>
  <c r="E87" i="195"/>
  <c r="D87" i="195"/>
  <c r="C58" i="195"/>
  <c r="B58" i="195"/>
  <c r="N54" i="195"/>
  <c r="M58" i="195"/>
  <c r="L46" i="195"/>
  <c r="K46" i="195"/>
  <c r="J46" i="195"/>
  <c r="I46" i="195"/>
  <c r="H46" i="195"/>
  <c r="G46" i="195"/>
  <c r="F46" i="195"/>
  <c r="E46" i="195"/>
  <c r="D46" i="195"/>
  <c r="C46" i="195"/>
  <c r="B46" i="195"/>
  <c r="M46" i="195"/>
  <c r="N44" i="195"/>
  <c r="N41" i="195"/>
  <c r="N40" i="195"/>
  <c r="N39" i="195"/>
  <c r="N37" i="195"/>
  <c r="M34" i="195"/>
  <c r="M38" i="195" s="1"/>
  <c r="M42" i="195" s="1"/>
  <c r="L34" i="195"/>
  <c r="L38" i="195" s="1"/>
  <c r="L42" i="195" s="1"/>
  <c r="K34" i="195"/>
  <c r="K38" i="195" s="1"/>
  <c r="K42" i="195" s="1"/>
  <c r="J34" i="195"/>
  <c r="J38" i="195" s="1"/>
  <c r="J42" i="195" s="1"/>
  <c r="I34" i="195"/>
  <c r="I38" i="195" s="1"/>
  <c r="I42" i="195" s="1"/>
  <c r="H34" i="195"/>
  <c r="H38" i="195"/>
  <c r="H42" i="195" s="1"/>
  <c r="G34" i="195"/>
  <c r="G38" i="195" s="1"/>
  <c r="G42" i="195" s="1"/>
  <c r="F34" i="195"/>
  <c r="F38" i="195" s="1"/>
  <c r="F42" i="195" s="1"/>
  <c r="E34" i="195"/>
  <c r="E38" i="195" s="1"/>
  <c r="E42" i="195" s="1"/>
  <c r="D34" i="195"/>
  <c r="D38" i="195" s="1"/>
  <c r="D42" i="195" s="1"/>
  <c r="C34" i="195"/>
  <c r="B34" i="195"/>
  <c r="B38" i="195" s="1"/>
  <c r="B42" i="195" s="1"/>
  <c r="AD33" i="195"/>
  <c r="AR33" i="195" s="1"/>
  <c r="AC33" i="195"/>
  <c r="AQ33" i="195" s="1"/>
  <c r="AA33" i="195"/>
  <c r="AO33" i="195" s="1"/>
  <c r="Z33" i="195"/>
  <c r="AN33" i="195" s="1"/>
  <c r="Y33" i="195"/>
  <c r="AM33" i="195" s="1"/>
  <c r="X33" i="195"/>
  <c r="AL33" i="195" s="1"/>
  <c r="W33" i="195"/>
  <c r="AK33" i="195" s="1"/>
  <c r="V33" i="195"/>
  <c r="AJ33" i="195" s="1"/>
  <c r="U33" i="195"/>
  <c r="AI33" i="195" s="1"/>
  <c r="T33" i="195"/>
  <c r="AH33" i="195" s="1"/>
  <c r="S33" i="195"/>
  <c r="AG33" i="195" s="1"/>
  <c r="R33" i="195"/>
  <c r="AF33" i="195"/>
  <c r="Q33" i="195"/>
  <c r="AE33" i="195" s="1"/>
  <c r="N33" i="195"/>
  <c r="AB33" i="195" s="1"/>
  <c r="AP33" i="195" s="1"/>
  <c r="AC32" i="195"/>
  <c r="AQ32" i="195" s="1"/>
  <c r="AA32" i="195"/>
  <c r="AO32" i="195" s="1"/>
  <c r="Z32" i="195"/>
  <c r="AN32" i="195" s="1"/>
  <c r="Y32" i="195"/>
  <c r="AM32" i="195" s="1"/>
  <c r="X32" i="195"/>
  <c r="AL32" i="195" s="1"/>
  <c r="W32" i="195"/>
  <c r="AK32" i="195" s="1"/>
  <c r="V32" i="195"/>
  <c r="AJ32" i="195" s="1"/>
  <c r="U32" i="195"/>
  <c r="AI32" i="195" s="1"/>
  <c r="T32" i="195"/>
  <c r="AH32" i="195" s="1"/>
  <c r="S32" i="195"/>
  <c r="AG32" i="195" s="1"/>
  <c r="R32" i="195"/>
  <c r="AF32" i="195"/>
  <c r="Q32" i="195"/>
  <c r="AE32" i="195" s="1"/>
  <c r="P32" i="195"/>
  <c r="AD32" i="195" s="1"/>
  <c r="AR32" i="195" s="1"/>
  <c r="N32" i="195"/>
  <c r="AB32" i="195" s="1"/>
  <c r="AP32" i="195" s="1"/>
  <c r="N31" i="195"/>
  <c r="N30" i="195"/>
  <c r="M26" i="195"/>
  <c r="L26" i="195"/>
  <c r="K26" i="195"/>
  <c r="J26" i="195"/>
  <c r="I26" i="195"/>
  <c r="H26" i="195"/>
  <c r="G26" i="195"/>
  <c r="F26" i="195"/>
  <c r="E26" i="195"/>
  <c r="D26" i="195"/>
  <c r="C26" i="195"/>
  <c r="B26" i="195"/>
  <c r="M25" i="195"/>
  <c r="L25" i="195"/>
  <c r="K25" i="195"/>
  <c r="J25" i="195"/>
  <c r="I25" i="195"/>
  <c r="H25" i="195"/>
  <c r="G25" i="195"/>
  <c r="F25" i="195"/>
  <c r="E25" i="195"/>
  <c r="D25" i="195"/>
  <c r="C25" i="195"/>
  <c r="B25" i="195"/>
  <c r="M24" i="195"/>
  <c r="L24" i="195"/>
  <c r="K24" i="195"/>
  <c r="J24" i="195"/>
  <c r="I24" i="195"/>
  <c r="H24" i="195"/>
  <c r="G24" i="195"/>
  <c r="F24" i="195"/>
  <c r="E24" i="195"/>
  <c r="D24" i="195"/>
  <c r="C24" i="195"/>
  <c r="B24" i="195"/>
  <c r="M23" i="195"/>
  <c r="M27" i="195" s="1"/>
  <c r="L23" i="195"/>
  <c r="L27" i="195" s="1"/>
  <c r="K23" i="195"/>
  <c r="J23" i="195"/>
  <c r="J27" i="195" s="1"/>
  <c r="I23" i="195"/>
  <c r="H23" i="195"/>
  <c r="H27" i="195" s="1"/>
  <c r="G23" i="195"/>
  <c r="F23" i="195"/>
  <c r="E23" i="195"/>
  <c r="D23" i="195"/>
  <c r="D27" i="195" s="1"/>
  <c r="C23" i="195"/>
  <c r="B23" i="195"/>
  <c r="M20" i="195"/>
  <c r="L20" i="195"/>
  <c r="K20" i="195"/>
  <c r="J20" i="195"/>
  <c r="I20" i="195"/>
  <c r="H20" i="195"/>
  <c r="G20" i="195"/>
  <c r="F20" i="195"/>
  <c r="E20" i="195"/>
  <c r="D20" i="195"/>
  <c r="C20" i="195"/>
  <c r="B20" i="195"/>
  <c r="N19" i="195"/>
  <c r="N17" i="195"/>
  <c r="N16" i="195"/>
  <c r="N11" i="195"/>
  <c r="M9" i="195"/>
  <c r="M13" i="195" s="1"/>
  <c r="L9" i="195"/>
  <c r="L13" i="195" s="1"/>
  <c r="K9" i="195"/>
  <c r="K13" i="195" s="1"/>
  <c r="J9" i="195"/>
  <c r="J13" i="195" s="1"/>
  <c r="I9" i="195"/>
  <c r="I13" i="195" s="1"/>
  <c r="H9" i="195"/>
  <c r="H13" i="195" s="1"/>
  <c r="G9" i="195"/>
  <c r="G13" i="195" s="1"/>
  <c r="F9" i="195"/>
  <c r="F13" i="195"/>
  <c r="E9" i="195"/>
  <c r="E13" i="195" s="1"/>
  <c r="D9" i="195"/>
  <c r="D13" i="195" s="1"/>
  <c r="C9" i="195"/>
  <c r="C13" i="195" s="1"/>
  <c r="B9" i="195"/>
  <c r="B13" i="195"/>
  <c r="N8" i="195"/>
  <c r="N7" i="195"/>
  <c r="N6" i="195"/>
  <c r="N5" i="195"/>
  <c r="N4" i="195"/>
  <c r="D58" i="195"/>
  <c r="D83" i="195"/>
  <c r="N45" i="195"/>
  <c r="N55" i="195"/>
  <c r="E58" i="195"/>
  <c r="F87" i="195"/>
  <c r="C87" i="195"/>
  <c r="N56" i="195"/>
  <c r="E9" i="192"/>
  <c r="E13" i="192" s="1"/>
  <c r="N39" i="192"/>
  <c r="M45" i="192"/>
  <c r="M87" i="194"/>
  <c r="L87" i="194"/>
  <c r="K87" i="194"/>
  <c r="J87" i="194"/>
  <c r="I87" i="194"/>
  <c r="H87" i="194"/>
  <c r="G87" i="194"/>
  <c r="B87" i="194"/>
  <c r="L84" i="194"/>
  <c r="K84" i="194"/>
  <c r="J84" i="194"/>
  <c r="I84" i="194"/>
  <c r="H84" i="194"/>
  <c r="G84" i="194"/>
  <c r="F84" i="194"/>
  <c r="E84" i="194"/>
  <c r="D84" i="194"/>
  <c r="C84" i="194"/>
  <c r="B84" i="194"/>
  <c r="B83" i="194"/>
  <c r="N73" i="194"/>
  <c r="L58" i="194"/>
  <c r="K58" i="194"/>
  <c r="J58" i="194"/>
  <c r="I58" i="194"/>
  <c r="H58" i="194"/>
  <c r="G58" i="194"/>
  <c r="F57" i="194"/>
  <c r="N57" i="194" s="1"/>
  <c r="F56" i="194"/>
  <c r="F58" i="194" s="1"/>
  <c r="E56" i="194"/>
  <c r="D56" i="194"/>
  <c r="D87" i="194" s="1"/>
  <c r="C56" i="194"/>
  <c r="B55" i="194"/>
  <c r="N54" i="194"/>
  <c r="M53" i="194"/>
  <c r="N53" i="194" s="1"/>
  <c r="L46" i="194"/>
  <c r="K46" i="194"/>
  <c r="J46" i="194"/>
  <c r="I46" i="194"/>
  <c r="H46" i="194"/>
  <c r="G46" i="194"/>
  <c r="F46" i="194"/>
  <c r="E46" i="194"/>
  <c r="D46" i="194"/>
  <c r="C46" i="194"/>
  <c r="B46" i="194"/>
  <c r="M45" i="194"/>
  <c r="N44" i="194"/>
  <c r="N41" i="194"/>
  <c r="N40" i="194"/>
  <c r="N37" i="194"/>
  <c r="M34" i="194"/>
  <c r="M38" i="194" s="1"/>
  <c r="M42" i="194" s="1"/>
  <c r="L34" i="194"/>
  <c r="L38" i="194" s="1"/>
  <c r="L42" i="194" s="1"/>
  <c r="K34" i="194"/>
  <c r="K38" i="194" s="1"/>
  <c r="K42" i="194" s="1"/>
  <c r="J34" i="194"/>
  <c r="J38" i="194" s="1"/>
  <c r="J42" i="194" s="1"/>
  <c r="I34" i="194"/>
  <c r="I38" i="194" s="1"/>
  <c r="I42" i="194" s="1"/>
  <c r="H34" i="194"/>
  <c r="H38" i="194" s="1"/>
  <c r="H42" i="194" s="1"/>
  <c r="G34" i="194"/>
  <c r="G38" i="194" s="1"/>
  <c r="G42" i="194" s="1"/>
  <c r="F34" i="194"/>
  <c r="E34" i="194"/>
  <c r="E38" i="194" s="1"/>
  <c r="E42" i="194" s="1"/>
  <c r="D34" i="194"/>
  <c r="D38" i="194" s="1"/>
  <c r="D42" i="194" s="1"/>
  <c r="C34" i="194"/>
  <c r="C38" i="194" s="1"/>
  <c r="C42" i="194" s="1"/>
  <c r="B34" i="194"/>
  <c r="AD33" i="194"/>
  <c r="AR33" i="194" s="1"/>
  <c r="AC33" i="194"/>
  <c r="AQ33" i="194" s="1"/>
  <c r="AA33" i="194"/>
  <c r="AO33" i="194" s="1"/>
  <c r="Z33" i="194"/>
  <c r="AN33" i="194" s="1"/>
  <c r="Y33" i="194"/>
  <c r="AM33" i="194"/>
  <c r="X33" i="194"/>
  <c r="AL33" i="194" s="1"/>
  <c r="W33" i="194"/>
  <c r="AK33" i="194" s="1"/>
  <c r="V33" i="194"/>
  <c r="AJ33" i="194"/>
  <c r="U33" i="194"/>
  <c r="AI33" i="194" s="1"/>
  <c r="T33" i="194"/>
  <c r="AH33" i="194" s="1"/>
  <c r="S33" i="194"/>
  <c r="AG33" i="194" s="1"/>
  <c r="R33" i="194"/>
  <c r="AF33" i="194" s="1"/>
  <c r="Q33" i="194"/>
  <c r="AE33" i="194" s="1"/>
  <c r="N33" i="194"/>
  <c r="AB33" i="194" s="1"/>
  <c r="AP33" i="194" s="1"/>
  <c r="AC32" i="194"/>
  <c r="AQ32" i="194" s="1"/>
  <c r="AA32" i="194"/>
  <c r="AO32" i="194" s="1"/>
  <c r="Z32" i="194"/>
  <c r="AN32" i="194" s="1"/>
  <c r="Y32" i="194"/>
  <c r="AM32" i="194" s="1"/>
  <c r="X32" i="194"/>
  <c r="AL32" i="194" s="1"/>
  <c r="W32" i="194"/>
  <c r="AK32" i="194" s="1"/>
  <c r="V32" i="194"/>
  <c r="AJ32" i="194" s="1"/>
  <c r="U32" i="194"/>
  <c r="AI32" i="194" s="1"/>
  <c r="T32" i="194"/>
  <c r="AH32" i="194" s="1"/>
  <c r="S32" i="194"/>
  <c r="AG32" i="194" s="1"/>
  <c r="R32" i="194"/>
  <c r="AF32" i="194" s="1"/>
  <c r="Q32" i="194"/>
  <c r="AE32" i="194" s="1"/>
  <c r="P32" i="194"/>
  <c r="AD32" i="194" s="1"/>
  <c r="AR32" i="194" s="1"/>
  <c r="N32" i="194"/>
  <c r="AB32" i="194" s="1"/>
  <c r="AP32" i="194" s="1"/>
  <c r="N31" i="194"/>
  <c r="N30" i="194"/>
  <c r="M26" i="194"/>
  <c r="L26" i="194"/>
  <c r="K26" i="194"/>
  <c r="J26" i="194"/>
  <c r="I26" i="194"/>
  <c r="H26" i="194"/>
  <c r="G26" i="194"/>
  <c r="F26" i="194"/>
  <c r="E26" i="194"/>
  <c r="D26" i="194"/>
  <c r="C26" i="194"/>
  <c r="B26" i="194"/>
  <c r="M25" i="194"/>
  <c r="L25" i="194"/>
  <c r="K25" i="194"/>
  <c r="J25" i="194"/>
  <c r="I25" i="194"/>
  <c r="H25" i="194"/>
  <c r="G25" i="194"/>
  <c r="F25" i="194"/>
  <c r="E25" i="194"/>
  <c r="D25" i="194"/>
  <c r="C25" i="194"/>
  <c r="B25" i="194"/>
  <c r="M24" i="194"/>
  <c r="L24" i="194"/>
  <c r="K24" i="194"/>
  <c r="J24" i="194"/>
  <c r="I24" i="194"/>
  <c r="H24" i="194"/>
  <c r="G24" i="194"/>
  <c r="F24" i="194"/>
  <c r="E24" i="194"/>
  <c r="D24" i="194"/>
  <c r="D27" i="194" s="1"/>
  <c r="C24" i="194"/>
  <c r="B24" i="194"/>
  <c r="M23" i="194"/>
  <c r="M27" i="194" s="1"/>
  <c r="L23" i="194"/>
  <c r="K23" i="194"/>
  <c r="J23" i="194"/>
  <c r="J27" i="194" s="1"/>
  <c r="I23" i="194"/>
  <c r="H23" i="194"/>
  <c r="G23" i="194"/>
  <c r="F23" i="194"/>
  <c r="F27" i="194" s="1"/>
  <c r="E23" i="194"/>
  <c r="E27" i="194" s="1"/>
  <c r="D23" i="194"/>
  <c r="C23" i="194"/>
  <c r="B23" i="194"/>
  <c r="M20" i="194"/>
  <c r="L20" i="194"/>
  <c r="K20" i="194"/>
  <c r="J20" i="194"/>
  <c r="I20" i="194"/>
  <c r="H20" i="194"/>
  <c r="G20" i="194"/>
  <c r="F20" i="194"/>
  <c r="E20" i="194"/>
  <c r="D20" i="194"/>
  <c r="C20" i="194"/>
  <c r="B20" i="194"/>
  <c r="N19" i="194"/>
  <c r="N17" i="194"/>
  <c r="N16" i="194"/>
  <c r="E13" i="194"/>
  <c r="M11" i="194"/>
  <c r="L11" i="194"/>
  <c r="J11" i="194"/>
  <c r="I11" i="194"/>
  <c r="H11" i="194"/>
  <c r="F11" i="194"/>
  <c r="M9" i="194"/>
  <c r="L9" i="194"/>
  <c r="K9" i="194"/>
  <c r="K13" i="194" s="1"/>
  <c r="J9" i="194"/>
  <c r="I9" i="194"/>
  <c r="H9" i="194"/>
  <c r="G9" i="194"/>
  <c r="G13" i="194" s="1"/>
  <c r="F9" i="194"/>
  <c r="D9" i="194"/>
  <c r="D13" i="194" s="1"/>
  <c r="C9" i="194"/>
  <c r="C13" i="194" s="1"/>
  <c r="B9" i="194"/>
  <c r="B13" i="194" s="1"/>
  <c r="N8" i="194"/>
  <c r="N7" i="194"/>
  <c r="N6" i="194"/>
  <c r="N5" i="194"/>
  <c r="N4" i="194"/>
  <c r="M58" i="194"/>
  <c r="M56" i="192"/>
  <c r="M53" i="192"/>
  <c r="N53" i="192" s="1"/>
  <c r="M87" i="193"/>
  <c r="L87" i="193"/>
  <c r="K87" i="193"/>
  <c r="J87" i="193"/>
  <c r="I87" i="193"/>
  <c r="H87" i="193"/>
  <c r="G87" i="193"/>
  <c r="B87" i="193"/>
  <c r="M84" i="193"/>
  <c r="L84" i="193"/>
  <c r="K84" i="193"/>
  <c r="J84" i="193"/>
  <c r="I84" i="193"/>
  <c r="H84" i="193"/>
  <c r="G84" i="193"/>
  <c r="F84" i="193"/>
  <c r="E84" i="193"/>
  <c r="D84" i="193"/>
  <c r="C84" i="193"/>
  <c r="B84" i="193"/>
  <c r="B83" i="193"/>
  <c r="C83" i="193" s="1"/>
  <c r="D83" i="193" s="1"/>
  <c r="N73" i="193"/>
  <c r="M58" i="193"/>
  <c r="L58" i="193"/>
  <c r="K58" i="193"/>
  <c r="J58" i="193"/>
  <c r="I58" i="193"/>
  <c r="H58" i="193"/>
  <c r="G58" i="193"/>
  <c r="F57" i="193"/>
  <c r="N57" i="193" s="1"/>
  <c r="F56" i="193"/>
  <c r="E56" i="193"/>
  <c r="D56" i="193"/>
  <c r="C56" i="193"/>
  <c r="C58" i="193" s="1"/>
  <c r="B55" i="193"/>
  <c r="N54" i="193"/>
  <c r="N53" i="193"/>
  <c r="M46" i="193"/>
  <c r="L46" i="193"/>
  <c r="K46" i="193"/>
  <c r="J46" i="193"/>
  <c r="I46" i="193"/>
  <c r="H46" i="193"/>
  <c r="G46" i="193"/>
  <c r="F46" i="193"/>
  <c r="E46" i="193"/>
  <c r="D46" i="193"/>
  <c r="C46" i="193"/>
  <c r="B46" i="193"/>
  <c r="N45" i="193"/>
  <c r="N44" i="193"/>
  <c r="N41" i="193"/>
  <c r="N40" i="193"/>
  <c r="N37" i="193"/>
  <c r="M34" i="193"/>
  <c r="M38" i="193"/>
  <c r="M42" i="193" s="1"/>
  <c r="L34" i="193"/>
  <c r="L38" i="193" s="1"/>
  <c r="L42" i="193" s="1"/>
  <c r="K34" i="193"/>
  <c r="K38" i="193" s="1"/>
  <c r="K42" i="193" s="1"/>
  <c r="J34" i="193"/>
  <c r="J38" i="193" s="1"/>
  <c r="J42" i="193" s="1"/>
  <c r="I34" i="193"/>
  <c r="I38" i="193" s="1"/>
  <c r="I42" i="193" s="1"/>
  <c r="H34" i="193"/>
  <c r="H38" i="193" s="1"/>
  <c r="H42" i="193" s="1"/>
  <c r="G34" i="193"/>
  <c r="G38" i="193" s="1"/>
  <c r="G42" i="193" s="1"/>
  <c r="F34" i="193"/>
  <c r="F38" i="193" s="1"/>
  <c r="F42" i="193"/>
  <c r="E34" i="193"/>
  <c r="E38" i="193" s="1"/>
  <c r="E42" i="193" s="1"/>
  <c r="D34" i="193"/>
  <c r="C34" i="193"/>
  <c r="C38" i="193" s="1"/>
  <c r="C42" i="193" s="1"/>
  <c r="B34" i="193"/>
  <c r="B38" i="193" s="1"/>
  <c r="AD33" i="193"/>
  <c r="AR33" i="193" s="1"/>
  <c r="AC33" i="193"/>
  <c r="AQ33" i="193" s="1"/>
  <c r="AA33" i="193"/>
  <c r="AO33" i="193" s="1"/>
  <c r="Z33" i="193"/>
  <c r="AN33" i="193" s="1"/>
  <c r="Y33" i="193"/>
  <c r="AM33" i="193" s="1"/>
  <c r="X33" i="193"/>
  <c r="AL33" i="193"/>
  <c r="W33" i="193"/>
  <c r="AK33" i="193" s="1"/>
  <c r="V33" i="193"/>
  <c r="AJ33" i="193" s="1"/>
  <c r="U33" i="193"/>
  <c r="AI33" i="193" s="1"/>
  <c r="T33" i="193"/>
  <c r="AH33" i="193" s="1"/>
  <c r="S33" i="193"/>
  <c r="AG33" i="193" s="1"/>
  <c r="R33" i="193"/>
  <c r="AF33" i="193" s="1"/>
  <c r="Q33" i="193"/>
  <c r="AE33" i="193" s="1"/>
  <c r="N33" i="193"/>
  <c r="AB33" i="193" s="1"/>
  <c r="AP33" i="193" s="1"/>
  <c r="AC32" i="193"/>
  <c r="AQ32" i="193" s="1"/>
  <c r="AA32" i="193"/>
  <c r="AO32" i="193" s="1"/>
  <c r="Z32" i="193"/>
  <c r="AN32" i="193" s="1"/>
  <c r="Y32" i="193"/>
  <c r="AM32" i="193" s="1"/>
  <c r="X32" i="193"/>
  <c r="AL32" i="193" s="1"/>
  <c r="W32" i="193"/>
  <c r="AK32" i="193" s="1"/>
  <c r="V32" i="193"/>
  <c r="AJ32" i="193" s="1"/>
  <c r="U32" i="193"/>
  <c r="AI32" i="193" s="1"/>
  <c r="T32" i="193"/>
  <c r="AH32" i="193" s="1"/>
  <c r="S32" i="193"/>
  <c r="AG32" i="193" s="1"/>
  <c r="R32" i="193"/>
  <c r="AF32" i="193" s="1"/>
  <c r="Q32" i="193"/>
  <c r="AE32" i="193" s="1"/>
  <c r="P32" i="193"/>
  <c r="AD32" i="193" s="1"/>
  <c r="AR32" i="193" s="1"/>
  <c r="N32" i="193"/>
  <c r="AB32" i="193" s="1"/>
  <c r="AP32" i="193" s="1"/>
  <c r="N31" i="193"/>
  <c r="N30" i="193"/>
  <c r="M26" i="193"/>
  <c r="L26" i="193"/>
  <c r="K26" i="193"/>
  <c r="J26" i="193"/>
  <c r="I26" i="193"/>
  <c r="H26" i="193"/>
  <c r="G26" i="193"/>
  <c r="F26" i="193"/>
  <c r="E26" i="193"/>
  <c r="D26" i="193"/>
  <c r="C26" i="193"/>
  <c r="B26" i="193"/>
  <c r="M25" i="193"/>
  <c r="L25" i="193"/>
  <c r="K25" i="193"/>
  <c r="J25" i="193"/>
  <c r="I25" i="193"/>
  <c r="H25" i="193"/>
  <c r="G25" i="193"/>
  <c r="F25" i="193"/>
  <c r="E25" i="193"/>
  <c r="D25" i="193"/>
  <c r="C25" i="193"/>
  <c r="B25" i="193"/>
  <c r="M24" i="193"/>
  <c r="L24" i="193"/>
  <c r="K24" i="193"/>
  <c r="J24" i="193"/>
  <c r="I24" i="193"/>
  <c r="H24" i="193"/>
  <c r="G24" i="193"/>
  <c r="F24" i="193"/>
  <c r="E24" i="193"/>
  <c r="D24" i="193"/>
  <c r="C24" i="193"/>
  <c r="B24" i="193"/>
  <c r="M23" i="193"/>
  <c r="L23" i="193"/>
  <c r="L27" i="193" s="1"/>
  <c r="K23" i="193"/>
  <c r="J23" i="193"/>
  <c r="I23" i="193"/>
  <c r="H23" i="193"/>
  <c r="G23" i="193"/>
  <c r="F23" i="193"/>
  <c r="E23" i="193"/>
  <c r="E27" i="193" s="1"/>
  <c r="D23" i="193"/>
  <c r="D27" i="193" s="1"/>
  <c r="C23" i="193"/>
  <c r="B23" i="193"/>
  <c r="M20" i="193"/>
  <c r="L20" i="193"/>
  <c r="L48" i="193" s="1"/>
  <c r="L61" i="193" s="1"/>
  <c r="K20" i="193"/>
  <c r="J20" i="193"/>
  <c r="I20" i="193"/>
  <c r="H20" i="193"/>
  <c r="G20" i="193"/>
  <c r="F20" i="193"/>
  <c r="E20" i="193"/>
  <c r="D20" i="193"/>
  <c r="C20" i="193"/>
  <c r="B20" i="193"/>
  <c r="N19" i="193"/>
  <c r="N17" i="193"/>
  <c r="N16" i="193"/>
  <c r="E13" i="193"/>
  <c r="L11" i="193"/>
  <c r="J11" i="193"/>
  <c r="I11" i="193"/>
  <c r="H11" i="193"/>
  <c r="F11" i="193"/>
  <c r="M9" i="193"/>
  <c r="M13" i="193" s="1"/>
  <c r="L9" i="193"/>
  <c r="L13" i="193" s="1"/>
  <c r="K9" i="193"/>
  <c r="K13" i="193" s="1"/>
  <c r="J9" i="193"/>
  <c r="I9" i="193"/>
  <c r="H9" i="193"/>
  <c r="G9" i="193"/>
  <c r="G13" i="193" s="1"/>
  <c r="F9" i="193"/>
  <c r="F13" i="193" s="1"/>
  <c r="D9" i="193"/>
  <c r="D13" i="193" s="1"/>
  <c r="C9" i="193"/>
  <c r="C13" i="193" s="1"/>
  <c r="B9" i="193"/>
  <c r="B13" i="193" s="1"/>
  <c r="N8" i="193"/>
  <c r="N7" i="193"/>
  <c r="N6" i="193"/>
  <c r="N5" i="193"/>
  <c r="N4" i="193"/>
  <c r="M11" i="192"/>
  <c r="L11" i="192"/>
  <c r="M87" i="192"/>
  <c r="L87" i="192"/>
  <c r="K87" i="192"/>
  <c r="J87" i="192"/>
  <c r="I87" i="192"/>
  <c r="H87" i="192"/>
  <c r="G87" i="192"/>
  <c r="B87" i="192"/>
  <c r="L84" i="192"/>
  <c r="K84" i="192"/>
  <c r="J84" i="192"/>
  <c r="I84" i="192"/>
  <c r="H84" i="192"/>
  <c r="G84" i="192"/>
  <c r="F84" i="192"/>
  <c r="E84" i="192"/>
  <c r="D84" i="192"/>
  <c r="C84" i="192"/>
  <c r="B84" i="192"/>
  <c r="B83" i="192"/>
  <c r="N73" i="192"/>
  <c r="L58" i="192"/>
  <c r="K58" i="192"/>
  <c r="J58" i="192"/>
  <c r="I58" i="192"/>
  <c r="H58" i="192"/>
  <c r="G58" i="192"/>
  <c r="F57" i="192"/>
  <c r="N57" i="192" s="1"/>
  <c r="F56" i="192"/>
  <c r="E56" i="192"/>
  <c r="E87" i="192" s="1"/>
  <c r="D56" i="192"/>
  <c r="D87" i="192" s="1"/>
  <c r="C56" i="192"/>
  <c r="B55" i="192"/>
  <c r="B58" i="192" s="1"/>
  <c r="N54" i="192"/>
  <c r="M46" i="192"/>
  <c r="L46" i="192"/>
  <c r="K46" i="192"/>
  <c r="J46" i="192"/>
  <c r="I46" i="192"/>
  <c r="H46" i="192"/>
  <c r="G46" i="192"/>
  <c r="F46" i="192"/>
  <c r="E46" i="192"/>
  <c r="D46" i="192"/>
  <c r="C46" i="192"/>
  <c r="B46" i="192"/>
  <c r="N45" i="192"/>
  <c r="N44" i="192"/>
  <c r="N41" i="192"/>
  <c r="N40" i="192"/>
  <c r="N37" i="192"/>
  <c r="M34" i="192"/>
  <c r="M38" i="192" s="1"/>
  <c r="M42" i="192" s="1"/>
  <c r="L34" i="192"/>
  <c r="L38" i="192" s="1"/>
  <c r="L42" i="192" s="1"/>
  <c r="K34" i="192"/>
  <c r="K38" i="192" s="1"/>
  <c r="K42" i="192" s="1"/>
  <c r="J34" i="192"/>
  <c r="J38" i="192" s="1"/>
  <c r="J42" i="192" s="1"/>
  <c r="I34" i="192"/>
  <c r="I38" i="192" s="1"/>
  <c r="I42" i="192" s="1"/>
  <c r="H34" i="192"/>
  <c r="H38" i="192" s="1"/>
  <c r="H42" i="192" s="1"/>
  <c r="G34" i="192"/>
  <c r="G38" i="192" s="1"/>
  <c r="G42" i="192" s="1"/>
  <c r="F34" i="192"/>
  <c r="F38" i="192" s="1"/>
  <c r="F42" i="192" s="1"/>
  <c r="E34" i="192"/>
  <c r="E38" i="192" s="1"/>
  <c r="E42" i="192" s="1"/>
  <c r="D34" i="192"/>
  <c r="D38" i="192" s="1"/>
  <c r="D42" i="192" s="1"/>
  <c r="C34" i="192"/>
  <c r="C38" i="192" s="1"/>
  <c r="C42" i="192" s="1"/>
  <c r="B34" i="192"/>
  <c r="B38" i="192" s="1"/>
  <c r="B42" i="192" s="1"/>
  <c r="AD33" i="192"/>
  <c r="AR33" i="192" s="1"/>
  <c r="AC33" i="192"/>
  <c r="AQ33" i="192" s="1"/>
  <c r="AA33" i="192"/>
  <c r="AO33" i="192"/>
  <c r="Z33" i="192"/>
  <c r="AN33" i="192" s="1"/>
  <c r="Y33" i="192"/>
  <c r="AM33" i="192" s="1"/>
  <c r="X33" i="192"/>
  <c r="AL33" i="192" s="1"/>
  <c r="W33" i="192"/>
  <c r="AK33" i="192" s="1"/>
  <c r="V33" i="192"/>
  <c r="AJ33" i="192" s="1"/>
  <c r="U33" i="192"/>
  <c r="AI33" i="192" s="1"/>
  <c r="T33" i="192"/>
  <c r="AH33" i="192" s="1"/>
  <c r="S33" i="192"/>
  <c r="AG33" i="192" s="1"/>
  <c r="R33" i="192"/>
  <c r="AF33" i="192" s="1"/>
  <c r="Q33" i="192"/>
  <c r="AE33" i="192" s="1"/>
  <c r="N33" i="192"/>
  <c r="AB33" i="192" s="1"/>
  <c r="AP33" i="192" s="1"/>
  <c r="AC32" i="192"/>
  <c r="AQ32" i="192" s="1"/>
  <c r="AA32" i="192"/>
  <c r="AO32" i="192" s="1"/>
  <c r="Z32" i="192"/>
  <c r="AN32" i="192" s="1"/>
  <c r="Y32" i="192"/>
  <c r="AM32" i="192" s="1"/>
  <c r="X32" i="192"/>
  <c r="AL32" i="192" s="1"/>
  <c r="W32" i="192"/>
  <c r="AK32" i="192" s="1"/>
  <c r="V32" i="192"/>
  <c r="AJ32" i="192" s="1"/>
  <c r="U32" i="192"/>
  <c r="AI32" i="192"/>
  <c r="T32" i="192"/>
  <c r="AH32" i="192" s="1"/>
  <c r="S32" i="192"/>
  <c r="AG32" i="192" s="1"/>
  <c r="R32" i="192"/>
  <c r="AF32" i="192" s="1"/>
  <c r="Q32" i="192"/>
  <c r="AE32" i="192" s="1"/>
  <c r="P32" i="192"/>
  <c r="AD32" i="192" s="1"/>
  <c r="AR32" i="192" s="1"/>
  <c r="N32" i="192"/>
  <c r="AB32" i="192" s="1"/>
  <c r="AP32" i="192" s="1"/>
  <c r="N31" i="192"/>
  <c r="N30" i="192"/>
  <c r="M26" i="192"/>
  <c r="L26" i="192"/>
  <c r="K26" i="192"/>
  <c r="J26" i="192"/>
  <c r="I26" i="192"/>
  <c r="H26" i="192"/>
  <c r="G26" i="192"/>
  <c r="F26" i="192"/>
  <c r="E26" i="192"/>
  <c r="D26" i="192"/>
  <c r="C26" i="192"/>
  <c r="B26" i="192"/>
  <c r="M25" i="192"/>
  <c r="L25" i="192"/>
  <c r="K25" i="192"/>
  <c r="J25" i="192"/>
  <c r="I25" i="192"/>
  <c r="H25" i="192"/>
  <c r="G25" i="192"/>
  <c r="F25" i="192"/>
  <c r="E25" i="192"/>
  <c r="D25" i="192"/>
  <c r="C25" i="192"/>
  <c r="B25" i="192"/>
  <c r="M24" i="192"/>
  <c r="L24" i="192"/>
  <c r="K24" i="192"/>
  <c r="J24" i="192"/>
  <c r="I24" i="192"/>
  <c r="H24" i="192"/>
  <c r="G24" i="192"/>
  <c r="F24" i="192"/>
  <c r="E24" i="192"/>
  <c r="D24" i="192"/>
  <c r="C24" i="192"/>
  <c r="B24" i="192"/>
  <c r="M23" i="192"/>
  <c r="M27" i="192" s="1"/>
  <c r="L23" i="192"/>
  <c r="L27" i="192" s="1"/>
  <c r="K23" i="192"/>
  <c r="K27" i="192" s="1"/>
  <c r="J23" i="192"/>
  <c r="I23" i="192"/>
  <c r="H23" i="192"/>
  <c r="G23" i="192"/>
  <c r="G27" i="192" s="1"/>
  <c r="F23" i="192"/>
  <c r="E23" i="192"/>
  <c r="E27" i="192" s="1"/>
  <c r="D23" i="192"/>
  <c r="C23" i="192"/>
  <c r="B23" i="192"/>
  <c r="M20" i="192"/>
  <c r="L20" i="192"/>
  <c r="K20" i="192"/>
  <c r="J20" i="192"/>
  <c r="I20" i="192"/>
  <c r="H20" i="192"/>
  <c r="G20" i="192"/>
  <c r="F20" i="192"/>
  <c r="E20" i="192"/>
  <c r="D20" i="192"/>
  <c r="C20" i="192"/>
  <c r="C48" i="192" s="1"/>
  <c r="B20" i="192"/>
  <c r="N19" i="192"/>
  <c r="N17" i="192"/>
  <c r="N16" i="192"/>
  <c r="J11" i="192"/>
  <c r="I11" i="192"/>
  <c r="H11" i="192"/>
  <c r="F11" i="192"/>
  <c r="M9" i="192"/>
  <c r="L9" i="192"/>
  <c r="L13" i="192" s="1"/>
  <c r="K9" i="192"/>
  <c r="K13" i="192" s="1"/>
  <c r="J9" i="192"/>
  <c r="I9" i="192"/>
  <c r="H9" i="192"/>
  <c r="G9" i="192"/>
  <c r="G13" i="192" s="1"/>
  <c r="F9" i="192"/>
  <c r="F13" i="192" s="1"/>
  <c r="D9" i="192"/>
  <c r="D13" i="192" s="1"/>
  <c r="C9" i="192"/>
  <c r="C13" i="192" s="1"/>
  <c r="B9" i="192"/>
  <c r="B13" i="192" s="1"/>
  <c r="N8" i="192"/>
  <c r="N7" i="192"/>
  <c r="N6" i="192"/>
  <c r="N5" i="192"/>
  <c r="N4" i="192"/>
  <c r="D58" i="192"/>
  <c r="E58" i="192"/>
  <c r="N55" i="192"/>
  <c r="H87" i="191"/>
  <c r="M87" i="191"/>
  <c r="L87" i="191"/>
  <c r="K87" i="191"/>
  <c r="J87" i="191"/>
  <c r="I87" i="191"/>
  <c r="G87" i="191"/>
  <c r="B87" i="191"/>
  <c r="M84" i="191"/>
  <c r="L84" i="191"/>
  <c r="K84" i="191"/>
  <c r="J84" i="191"/>
  <c r="I84" i="191"/>
  <c r="H84" i="191"/>
  <c r="G84" i="191"/>
  <c r="F84" i="191"/>
  <c r="E84" i="191"/>
  <c r="D84" i="191"/>
  <c r="C84" i="191"/>
  <c r="B84" i="191"/>
  <c r="B83" i="191"/>
  <c r="C83" i="191" s="1"/>
  <c r="N73" i="191"/>
  <c r="M58" i="191"/>
  <c r="L58" i="191"/>
  <c r="K58" i="191"/>
  <c r="J58" i="191"/>
  <c r="I58" i="191"/>
  <c r="H58" i="191"/>
  <c r="G58" i="191"/>
  <c r="F57" i="191"/>
  <c r="N57" i="191" s="1"/>
  <c r="F56" i="191"/>
  <c r="F58" i="191" s="1"/>
  <c r="E56" i="191"/>
  <c r="E87" i="191" s="1"/>
  <c r="D56" i="191"/>
  <c r="D87" i="191" s="1"/>
  <c r="C56" i="191"/>
  <c r="C58" i="191" s="1"/>
  <c r="B55" i="191"/>
  <c r="B58" i="191"/>
  <c r="N54" i="191"/>
  <c r="N53" i="191"/>
  <c r="M46" i="191"/>
  <c r="L46" i="191"/>
  <c r="K46" i="191"/>
  <c r="J46" i="191"/>
  <c r="I46" i="191"/>
  <c r="H46" i="191"/>
  <c r="G46" i="191"/>
  <c r="F46" i="191"/>
  <c r="E46" i="191"/>
  <c r="D46" i="191"/>
  <c r="C46" i="191"/>
  <c r="B46" i="191"/>
  <c r="N45" i="191"/>
  <c r="N44" i="191"/>
  <c r="N46" i="191" s="1"/>
  <c r="N41" i="191"/>
  <c r="N40" i="191"/>
  <c r="N37" i="191"/>
  <c r="M34" i="191"/>
  <c r="M38" i="191" s="1"/>
  <c r="M42" i="191" s="1"/>
  <c r="L34" i="191"/>
  <c r="L38" i="191" s="1"/>
  <c r="L42" i="191" s="1"/>
  <c r="K34" i="191"/>
  <c r="K38" i="191" s="1"/>
  <c r="K42" i="191" s="1"/>
  <c r="J34" i="191"/>
  <c r="J38" i="191" s="1"/>
  <c r="J42" i="191"/>
  <c r="I34" i="191"/>
  <c r="I38" i="191" s="1"/>
  <c r="I42" i="191" s="1"/>
  <c r="H34" i="191"/>
  <c r="G34" i="191"/>
  <c r="G38" i="191"/>
  <c r="G42" i="191" s="1"/>
  <c r="F34" i="191"/>
  <c r="F38" i="191" s="1"/>
  <c r="F42" i="191" s="1"/>
  <c r="E34" i="191"/>
  <c r="E38" i="191" s="1"/>
  <c r="E42" i="191" s="1"/>
  <c r="D34" i="191"/>
  <c r="C34" i="191"/>
  <c r="C38" i="191" s="1"/>
  <c r="C42" i="191" s="1"/>
  <c r="B34" i="191"/>
  <c r="B38" i="191" s="1"/>
  <c r="AD33" i="191"/>
  <c r="AR33" i="191" s="1"/>
  <c r="AC33" i="191"/>
  <c r="AQ33" i="191" s="1"/>
  <c r="AA33" i="191"/>
  <c r="AO33" i="191" s="1"/>
  <c r="Z33" i="191"/>
  <c r="AN33" i="191" s="1"/>
  <c r="Y33" i="191"/>
  <c r="AM33" i="191" s="1"/>
  <c r="X33" i="191"/>
  <c r="AL33" i="191" s="1"/>
  <c r="W33" i="191"/>
  <c r="AK33" i="191" s="1"/>
  <c r="V33" i="191"/>
  <c r="AJ33" i="191" s="1"/>
  <c r="U33" i="191"/>
  <c r="AI33" i="191" s="1"/>
  <c r="T33" i="191"/>
  <c r="AH33" i="191" s="1"/>
  <c r="S33" i="191"/>
  <c r="AG33" i="191" s="1"/>
  <c r="R33" i="191"/>
  <c r="AF33" i="191" s="1"/>
  <c r="Q33" i="191"/>
  <c r="AE33" i="191" s="1"/>
  <c r="N33" i="191"/>
  <c r="AB33" i="191" s="1"/>
  <c r="AP33" i="191" s="1"/>
  <c r="AC32" i="191"/>
  <c r="AQ32" i="191" s="1"/>
  <c r="AA32" i="191"/>
  <c r="AO32" i="191"/>
  <c r="Z32" i="191"/>
  <c r="AN32" i="191" s="1"/>
  <c r="Y32" i="191"/>
  <c r="AM32" i="191" s="1"/>
  <c r="X32" i="191"/>
  <c r="AL32" i="191" s="1"/>
  <c r="W32" i="191"/>
  <c r="AK32" i="191" s="1"/>
  <c r="V32" i="191"/>
  <c r="AJ32" i="191" s="1"/>
  <c r="U32" i="191"/>
  <c r="AI32" i="191"/>
  <c r="T32" i="191"/>
  <c r="AH32" i="191" s="1"/>
  <c r="S32" i="191"/>
  <c r="AG32" i="191"/>
  <c r="R32" i="191"/>
  <c r="AF32" i="191" s="1"/>
  <c r="Q32" i="191"/>
  <c r="AE32" i="191" s="1"/>
  <c r="P32" i="191"/>
  <c r="AD32" i="191" s="1"/>
  <c r="AR32" i="191" s="1"/>
  <c r="N32" i="191"/>
  <c r="AB32" i="191" s="1"/>
  <c r="AP32" i="191" s="1"/>
  <c r="N31" i="191"/>
  <c r="N30" i="191"/>
  <c r="M26" i="191"/>
  <c r="L26" i="191"/>
  <c r="K26" i="191"/>
  <c r="J26" i="191"/>
  <c r="I26" i="191"/>
  <c r="H26" i="191"/>
  <c r="G26" i="191"/>
  <c r="F26" i="191"/>
  <c r="E26" i="191"/>
  <c r="D26" i="191"/>
  <c r="C26" i="191"/>
  <c r="B26" i="191"/>
  <c r="M25" i="191"/>
  <c r="L25" i="191"/>
  <c r="K25" i="191"/>
  <c r="J25" i="191"/>
  <c r="I25" i="191"/>
  <c r="H25" i="191"/>
  <c r="G25" i="191"/>
  <c r="F25" i="191"/>
  <c r="E25" i="191"/>
  <c r="D25" i="191"/>
  <c r="C25" i="191"/>
  <c r="B25" i="191"/>
  <c r="M24" i="191"/>
  <c r="L24" i="191"/>
  <c r="K24" i="191"/>
  <c r="J24" i="191"/>
  <c r="I24" i="191"/>
  <c r="H24" i="191"/>
  <c r="G24" i="191"/>
  <c r="F24" i="191"/>
  <c r="E24" i="191"/>
  <c r="D24" i="191"/>
  <c r="C24" i="191"/>
  <c r="B24" i="191"/>
  <c r="M23" i="191"/>
  <c r="M27" i="191" s="1"/>
  <c r="L23" i="191"/>
  <c r="L27" i="191" s="1"/>
  <c r="K23" i="191"/>
  <c r="K27" i="191" s="1"/>
  <c r="J23" i="191"/>
  <c r="I23" i="191"/>
  <c r="I27" i="191" s="1"/>
  <c r="H23" i="191"/>
  <c r="G23" i="191"/>
  <c r="G27" i="191" s="1"/>
  <c r="F23" i="191"/>
  <c r="E23" i="191"/>
  <c r="E27" i="191" s="1"/>
  <c r="D23" i="191"/>
  <c r="C23" i="191"/>
  <c r="C27" i="191" s="1"/>
  <c r="B23" i="191"/>
  <c r="M20" i="191"/>
  <c r="L20" i="191"/>
  <c r="K20" i="191"/>
  <c r="J20" i="191"/>
  <c r="I20" i="191"/>
  <c r="H20" i="191"/>
  <c r="G20" i="191"/>
  <c r="F20" i="191"/>
  <c r="E20" i="191"/>
  <c r="D20" i="191"/>
  <c r="C20" i="191"/>
  <c r="B20" i="191"/>
  <c r="N19" i="191"/>
  <c r="N17" i="191"/>
  <c r="N16" i="191"/>
  <c r="E13" i="191"/>
  <c r="J11" i="191"/>
  <c r="I11" i="191"/>
  <c r="H11" i="191"/>
  <c r="F11" i="191"/>
  <c r="M9" i="191"/>
  <c r="M13" i="191" s="1"/>
  <c r="L9" i="191"/>
  <c r="L13" i="191" s="1"/>
  <c r="K9" i="191"/>
  <c r="K13" i="191" s="1"/>
  <c r="J9" i="191"/>
  <c r="J13" i="191" s="1"/>
  <c r="I9" i="191"/>
  <c r="I13" i="191" s="1"/>
  <c r="H9" i="191"/>
  <c r="H13" i="191" s="1"/>
  <c r="G9" i="191"/>
  <c r="G13" i="191" s="1"/>
  <c r="F9" i="191"/>
  <c r="D9" i="191"/>
  <c r="D13" i="191"/>
  <c r="C9" i="191"/>
  <c r="C13" i="191" s="1"/>
  <c r="B9" i="191"/>
  <c r="B13" i="191" s="1"/>
  <c r="N8" i="191"/>
  <c r="N7" i="191"/>
  <c r="N6" i="191"/>
  <c r="N5" i="191"/>
  <c r="N4" i="191"/>
  <c r="D58" i="191"/>
  <c r="N55" i="191"/>
  <c r="J11" i="190"/>
  <c r="M87" i="190"/>
  <c r="L87" i="190"/>
  <c r="K87" i="190"/>
  <c r="J87" i="190"/>
  <c r="I87" i="190"/>
  <c r="H87" i="190"/>
  <c r="G87" i="190"/>
  <c r="B87" i="190"/>
  <c r="M84" i="190"/>
  <c r="L84" i="190"/>
  <c r="K84" i="190"/>
  <c r="J84" i="190"/>
  <c r="I84" i="190"/>
  <c r="H84" i="190"/>
  <c r="G84" i="190"/>
  <c r="F84" i="190"/>
  <c r="E84" i="190"/>
  <c r="D84" i="190"/>
  <c r="C84" i="190"/>
  <c r="B84" i="190"/>
  <c r="B83" i="190"/>
  <c r="N73" i="190"/>
  <c r="M58" i="190"/>
  <c r="L58" i="190"/>
  <c r="K58" i="190"/>
  <c r="J58" i="190"/>
  <c r="I58" i="190"/>
  <c r="H58" i="190"/>
  <c r="G58" i="190"/>
  <c r="F57" i="190"/>
  <c r="F56" i="190"/>
  <c r="E56" i="190"/>
  <c r="D56" i="190"/>
  <c r="D87" i="190" s="1"/>
  <c r="C56" i="190"/>
  <c r="B55" i="190"/>
  <c r="B58" i="190" s="1"/>
  <c r="N54" i="190"/>
  <c r="N53" i="190"/>
  <c r="M46" i="190"/>
  <c r="L46" i="190"/>
  <c r="K46" i="190"/>
  <c r="J46" i="190"/>
  <c r="I46" i="190"/>
  <c r="H46" i="190"/>
  <c r="G46" i="190"/>
  <c r="F46" i="190"/>
  <c r="E46" i="190"/>
  <c r="E48" i="190" s="1"/>
  <c r="D46" i="190"/>
  <c r="C46" i="190"/>
  <c r="B46" i="190"/>
  <c r="N45" i="190"/>
  <c r="N44" i="190"/>
  <c r="N41" i="190"/>
  <c r="N40" i="190"/>
  <c r="N37" i="190"/>
  <c r="M34" i="190"/>
  <c r="M38" i="190"/>
  <c r="M42" i="190" s="1"/>
  <c r="L34" i="190"/>
  <c r="L38" i="190" s="1"/>
  <c r="L42" i="190" s="1"/>
  <c r="K34" i="190"/>
  <c r="K38" i="190" s="1"/>
  <c r="K42" i="190" s="1"/>
  <c r="J34" i="190"/>
  <c r="J38" i="190" s="1"/>
  <c r="J42" i="190" s="1"/>
  <c r="I34" i="190"/>
  <c r="I38" i="190" s="1"/>
  <c r="I42" i="190" s="1"/>
  <c r="H34" i="190"/>
  <c r="H38" i="190" s="1"/>
  <c r="H42" i="190" s="1"/>
  <c r="G34" i="190"/>
  <c r="F34" i="190"/>
  <c r="E34" i="190"/>
  <c r="E38" i="190" s="1"/>
  <c r="E42" i="190" s="1"/>
  <c r="D34" i="190"/>
  <c r="D38" i="190" s="1"/>
  <c r="D42" i="190" s="1"/>
  <c r="C34" i="190"/>
  <c r="C38" i="190" s="1"/>
  <c r="C42" i="190" s="1"/>
  <c r="B34" i="190"/>
  <c r="B38" i="190" s="1"/>
  <c r="AD33" i="190"/>
  <c r="AR33" i="190" s="1"/>
  <c r="AC33" i="190"/>
  <c r="AQ33" i="190" s="1"/>
  <c r="AA33" i="190"/>
  <c r="AO33" i="190" s="1"/>
  <c r="Z33" i="190"/>
  <c r="AN33" i="190" s="1"/>
  <c r="Y33" i="190"/>
  <c r="AM33" i="190" s="1"/>
  <c r="X33" i="190"/>
  <c r="AL33" i="190" s="1"/>
  <c r="W33" i="190"/>
  <c r="AK33" i="190" s="1"/>
  <c r="V33" i="190"/>
  <c r="AJ33" i="190" s="1"/>
  <c r="U33" i="190"/>
  <c r="AI33" i="190" s="1"/>
  <c r="T33" i="190"/>
  <c r="AH33" i="190" s="1"/>
  <c r="S33" i="190"/>
  <c r="AG33" i="190" s="1"/>
  <c r="R33" i="190"/>
  <c r="AF33" i="190" s="1"/>
  <c r="Q33" i="190"/>
  <c r="AE33" i="190" s="1"/>
  <c r="N33" i="190"/>
  <c r="AB33" i="190" s="1"/>
  <c r="AP33" i="190" s="1"/>
  <c r="AC32" i="190"/>
  <c r="AQ32" i="190" s="1"/>
  <c r="AA32" i="190"/>
  <c r="AO32" i="190" s="1"/>
  <c r="Z32" i="190"/>
  <c r="AN32" i="190" s="1"/>
  <c r="Y32" i="190"/>
  <c r="AM32" i="190" s="1"/>
  <c r="X32" i="190"/>
  <c r="AL32" i="190" s="1"/>
  <c r="W32" i="190"/>
  <c r="AK32" i="190" s="1"/>
  <c r="V32" i="190"/>
  <c r="AJ32" i="190"/>
  <c r="U32" i="190"/>
  <c r="AI32" i="190" s="1"/>
  <c r="T32" i="190"/>
  <c r="AH32" i="190" s="1"/>
  <c r="S32" i="190"/>
  <c r="AG32" i="190" s="1"/>
  <c r="R32" i="190"/>
  <c r="AF32" i="190" s="1"/>
  <c r="Q32" i="190"/>
  <c r="AE32" i="190" s="1"/>
  <c r="P32" i="190"/>
  <c r="AD32" i="190" s="1"/>
  <c r="AR32" i="190" s="1"/>
  <c r="N32" i="190"/>
  <c r="AB32" i="190" s="1"/>
  <c r="AP32" i="190" s="1"/>
  <c r="N31" i="190"/>
  <c r="N30" i="190"/>
  <c r="M26" i="190"/>
  <c r="L26" i="190"/>
  <c r="K26" i="190"/>
  <c r="J26" i="190"/>
  <c r="I26" i="190"/>
  <c r="H26" i="190"/>
  <c r="G26" i="190"/>
  <c r="F26" i="190"/>
  <c r="E26" i="190"/>
  <c r="D26" i="190"/>
  <c r="C26" i="190"/>
  <c r="B26" i="190"/>
  <c r="M25" i="190"/>
  <c r="L25" i="190"/>
  <c r="K25" i="190"/>
  <c r="J25" i="190"/>
  <c r="I25" i="190"/>
  <c r="H25" i="190"/>
  <c r="G25" i="190"/>
  <c r="F25" i="190"/>
  <c r="E25" i="190"/>
  <c r="D25" i="190"/>
  <c r="C25" i="190"/>
  <c r="B25" i="190"/>
  <c r="M24" i="190"/>
  <c r="L24" i="190"/>
  <c r="K24" i="190"/>
  <c r="J24" i="190"/>
  <c r="I24" i="190"/>
  <c r="H24" i="190"/>
  <c r="G24" i="190"/>
  <c r="F24" i="190"/>
  <c r="E24" i="190"/>
  <c r="D24" i="190"/>
  <c r="C24" i="190"/>
  <c r="B24" i="190"/>
  <c r="M23" i="190"/>
  <c r="M27" i="190"/>
  <c r="L23" i="190"/>
  <c r="K23" i="190"/>
  <c r="J23" i="190"/>
  <c r="I23" i="190"/>
  <c r="I27" i="190" s="1"/>
  <c r="H23" i="190"/>
  <c r="H27" i="190" s="1"/>
  <c r="G23" i="190"/>
  <c r="F23" i="190"/>
  <c r="E23" i="190"/>
  <c r="E27" i="190" s="1"/>
  <c r="D23" i="190"/>
  <c r="C23" i="190"/>
  <c r="B23" i="190"/>
  <c r="M20" i="190"/>
  <c r="L20" i="190"/>
  <c r="K20" i="190"/>
  <c r="J20" i="190"/>
  <c r="I20" i="190"/>
  <c r="H20" i="190"/>
  <c r="H48" i="190" s="1"/>
  <c r="G20" i="190"/>
  <c r="F20" i="190"/>
  <c r="E20" i="190"/>
  <c r="D20" i="190"/>
  <c r="C20" i="190"/>
  <c r="B20" i="190"/>
  <c r="N19" i="190"/>
  <c r="N17" i="190"/>
  <c r="N16" i="190"/>
  <c r="E13" i="190"/>
  <c r="I11" i="190"/>
  <c r="H11" i="190"/>
  <c r="F11" i="190"/>
  <c r="M9" i="190"/>
  <c r="M13" i="190" s="1"/>
  <c r="L9" i="190"/>
  <c r="L13" i="190" s="1"/>
  <c r="K9" i="190"/>
  <c r="K13" i="190" s="1"/>
  <c r="J9" i="190"/>
  <c r="I9" i="190"/>
  <c r="I13" i="190" s="1"/>
  <c r="H9" i="190"/>
  <c r="G9" i="190"/>
  <c r="G13" i="190" s="1"/>
  <c r="F9" i="190"/>
  <c r="F13" i="190"/>
  <c r="D9" i="190"/>
  <c r="D13" i="190" s="1"/>
  <c r="C9" i="190"/>
  <c r="C13" i="190" s="1"/>
  <c r="B9" i="190"/>
  <c r="B13" i="190" s="1"/>
  <c r="N8" i="190"/>
  <c r="N7" i="190"/>
  <c r="N6" i="190"/>
  <c r="N5" i="190"/>
  <c r="N4" i="190"/>
  <c r="D58" i="190"/>
  <c r="I11" i="189"/>
  <c r="M87" i="189"/>
  <c r="L87" i="189"/>
  <c r="K87" i="189"/>
  <c r="J87" i="189"/>
  <c r="I87" i="189"/>
  <c r="H87" i="189"/>
  <c r="G87" i="189"/>
  <c r="B87" i="189"/>
  <c r="M84" i="189"/>
  <c r="L84" i="189"/>
  <c r="K84" i="189"/>
  <c r="J84" i="189"/>
  <c r="I84" i="189"/>
  <c r="H84" i="189"/>
  <c r="G84" i="189"/>
  <c r="F84" i="189"/>
  <c r="E84" i="189"/>
  <c r="D84" i="189"/>
  <c r="C84" i="189"/>
  <c r="B84" i="189"/>
  <c r="B83" i="189"/>
  <c r="C83" i="189"/>
  <c r="D83" i="189" s="1"/>
  <c r="N73" i="189"/>
  <c r="M58" i="189"/>
  <c r="L58" i="189"/>
  <c r="K58" i="189"/>
  <c r="J58" i="189"/>
  <c r="I58" i="189"/>
  <c r="H58" i="189"/>
  <c r="G58" i="189"/>
  <c r="F57" i="189"/>
  <c r="N57" i="189" s="1"/>
  <c r="F56" i="189"/>
  <c r="E56" i="189"/>
  <c r="E58" i="189" s="1"/>
  <c r="D56" i="189"/>
  <c r="D87" i="189" s="1"/>
  <c r="C56" i="189"/>
  <c r="B55" i="189"/>
  <c r="N54" i="189"/>
  <c r="N53" i="189"/>
  <c r="M46" i="189"/>
  <c r="L46" i="189"/>
  <c r="K46" i="189"/>
  <c r="J46" i="189"/>
  <c r="I46" i="189"/>
  <c r="H46" i="189"/>
  <c r="G46" i="189"/>
  <c r="F46" i="189"/>
  <c r="E46" i="189"/>
  <c r="D46" i="189"/>
  <c r="C46" i="189"/>
  <c r="B46" i="189"/>
  <c r="N45" i="189"/>
  <c r="N44" i="189"/>
  <c r="N46" i="189" s="1"/>
  <c r="N41" i="189"/>
  <c r="N40" i="189"/>
  <c r="N37" i="189"/>
  <c r="M34" i="189"/>
  <c r="M38" i="189" s="1"/>
  <c r="M42" i="189" s="1"/>
  <c r="L34" i="189"/>
  <c r="K34" i="189"/>
  <c r="K38" i="189" s="1"/>
  <c r="K42" i="189" s="1"/>
  <c r="J34" i="189"/>
  <c r="J38" i="189" s="1"/>
  <c r="J42" i="189" s="1"/>
  <c r="I34" i="189"/>
  <c r="I38" i="189" s="1"/>
  <c r="I42" i="189" s="1"/>
  <c r="H34" i="189"/>
  <c r="H38" i="189" s="1"/>
  <c r="H42" i="189" s="1"/>
  <c r="G34" i="189"/>
  <c r="F34" i="189"/>
  <c r="F38" i="189" s="1"/>
  <c r="F42" i="189" s="1"/>
  <c r="E34" i="189"/>
  <c r="E38" i="189" s="1"/>
  <c r="D34" i="189"/>
  <c r="D38" i="189" s="1"/>
  <c r="D42" i="189" s="1"/>
  <c r="C34" i="189"/>
  <c r="C38" i="189" s="1"/>
  <c r="C42" i="189" s="1"/>
  <c r="B34" i="189"/>
  <c r="B38" i="189" s="1"/>
  <c r="B42" i="189" s="1"/>
  <c r="AD33" i="189"/>
  <c r="AR33" i="189" s="1"/>
  <c r="AC33" i="189"/>
  <c r="AQ33" i="189" s="1"/>
  <c r="AA33" i="189"/>
  <c r="AO33" i="189" s="1"/>
  <c r="Z33" i="189"/>
  <c r="AN33" i="189" s="1"/>
  <c r="Y33" i="189"/>
  <c r="AM33" i="189" s="1"/>
  <c r="X33" i="189"/>
  <c r="AL33" i="189" s="1"/>
  <c r="W33" i="189"/>
  <c r="AK33" i="189" s="1"/>
  <c r="V33" i="189"/>
  <c r="AJ33" i="189" s="1"/>
  <c r="U33" i="189"/>
  <c r="AI33" i="189" s="1"/>
  <c r="T33" i="189"/>
  <c r="AH33" i="189"/>
  <c r="S33" i="189"/>
  <c r="AG33" i="189" s="1"/>
  <c r="R33" i="189"/>
  <c r="AF33" i="189" s="1"/>
  <c r="Q33" i="189"/>
  <c r="AE33" i="189" s="1"/>
  <c r="N33" i="189"/>
  <c r="AB33" i="189" s="1"/>
  <c r="AP33" i="189" s="1"/>
  <c r="AC32" i="189"/>
  <c r="AQ32" i="189" s="1"/>
  <c r="AA32" i="189"/>
  <c r="AO32" i="189" s="1"/>
  <c r="Z32" i="189"/>
  <c r="AN32" i="189" s="1"/>
  <c r="Y32" i="189"/>
  <c r="AM32" i="189" s="1"/>
  <c r="X32" i="189"/>
  <c r="AL32" i="189" s="1"/>
  <c r="W32" i="189"/>
  <c r="AK32" i="189" s="1"/>
  <c r="V32" i="189"/>
  <c r="AJ32" i="189" s="1"/>
  <c r="U32" i="189"/>
  <c r="AI32" i="189" s="1"/>
  <c r="T32" i="189"/>
  <c r="AH32" i="189"/>
  <c r="S32" i="189"/>
  <c r="AG32" i="189" s="1"/>
  <c r="R32" i="189"/>
  <c r="AF32" i="189" s="1"/>
  <c r="Q32" i="189"/>
  <c r="AE32" i="189" s="1"/>
  <c r="P32" i="189"/>
  <c r="AD32" i="189" s="1"/>
  <c r="AR32" i="189" s="1"/>
  <c r="N32" i="189"/>
  <c r="AB32" i="189" s="1"/>
  <c r="AP32" i="189" s="1"/>
  <c r="N31" i="189"/>
  <c r="N30" i="189"/>
  <c r="M26" i="189"/>
  <c r="L26" i="189"/>
  <c r="K26" i="189"/>
  <c r="J26" i="189"/>
  <c r="I26" i="189"/>
  <c r="H26" i="189"/>
  <c r="G26" i="189"/>
  <c r="F26" i="189"/>
  <c r="E26" i="189"/>
  <c r="D26" i="189"/>
  <c r="C26" i="189"/>
  <c r="B26" i="189"/>
  <c r="M25" i="189"/>
  <c r="L25" i="189"/>
  <c r="K25" i="189"/>
  <c r="J25" i="189"/>
  <c r="I25" i="189"/>
  <c r="H25" i="189"/>
  <c r="G25" i="189"/>
  <c r="F25" i="189"/>
  <c r="E25" i="189"/>
  <c r="D25" i="189"/>
  <c r="C25" i="189"/>
  <c r="B25" i="189"/>
  <c r="M24" i="189"/>
  <c r="L24" i="189"/>
  <c r="K24" i="189"/>
  <c r="J24" i="189"/>
  <c r="I24" i="189"/>
  <c r="H24" i="189"/>
  <c r="G24" i="189"/>
  <c r="F24" i="189"/>
  <c r="E24" i="189"/>
  <c r="D24" i="189"/>
  <c r="C24" i="189"/>
  <c r="B24" i="189"/>
  <c r="M23" i="189"/>
  <c r="M27" i="189" s="1"/>
  <c r="L23" i="189"/>
  <c r="K23" i="189"/>
  <c r="J23" i="189"/>
  <c r="I23" i="189"/>
  <c r="H23" i="189"/>
  <c r="G23" i="189"/>
  <c r="F23" i="189"/>
  <c r="F27" i="189" s="1"/>
  <c r="E23" i="189"/>
  <c r="D23" i="189"/>
  <c r="C23" i="189"/>
  <c r="B23" i="189"/>
  <c r="M20" i="189"/>
  <c r="L20" i="189"/>
  <c r="K20" i="189"/>
  <c r="J20" i="189"/>
  <c r="I20" i="189"/>
  <c r="H20" i="189"/>
  <c r="G20" i="189"/>
  <c r="F20" i="189"/>
  <c r="E20" i="189"/>
  <c r="D20" i="189"/>
  <c r="C20" i="189"/>
  <c r="B20" i="189"/>
  <c r="N19" i="189"/>
  <c r="N17" i="189"/>
  <c r="N16" i="189"/>
  <c r="E13" i="189"/>
  <c r="H11" i="189"/>
  <c r="F11" i="189"/>
  <c r="M9" i="189"/>
  <c r="M13" i="189"/>
  <c r="L9" i="189"/>
  <c r="L13" i="189" s="1"/>
  <c r="K9" i="189"/>
  <c r="K13" i="189" s="1"/>
  <c r="J9" i="189"/>
  <c r="J13" i="189" s="1"/>
  <c r="I9" i="189"/>
  <c r="I13" i="189" s="1"/>
  <c r="H9" i="189"/>
  <c r="G9" i="189"/>
  <c r="G13" i="189" s="1"/>
  <c r="F9" i="189"/>
  <c r="D9" i="189"/>
  <c r="D13" i="189" s="1"/>
  <c r="C9" i="189"/>
  <c r="C13" i="189" s="1"/>
  <c r="B9" i="189"/>
  <c r="B13" i="189" s="1"/>
  <c r="N8" i="189"/>
  <c r="N7" i="189"/>
  <c r="N6" i="189"/>
  <c r="N5" i="189"/>
  <c r="N4" i="189"/>
  <c r="D58" i="189"/>
  <c r="E42" i="189"/>
  <c r="C87" i="189"/>
  <c r="H11" i="188"/>
  <c r="M87" i="188"/>
  <c r="L87" i="188"/>
  <c r="K87" i="188"/>
  <c r="J87" i="188"/>
  <c r="I87" i="188"/>
  <c r="H87" i="188"/>
  <c r="G87" i="188"/>
  <c r="B87" i="188"/>
  <c r="M84" i="188"/>
  <c r="L84" i="188"/>
  <c r="K84" i="188"/>
  <c r="J84" i="188"/>
  <c r="I84" i="188"/>
  <c r="H84" i="188"/>
  <c r="G84" i="188"/>
  <c r="F84" i="188"/>
  <c r="E84" i="188"/>
  <c r="D84" i="188"/>
  <c r="C84" i="188"/>
  <c r="B84" i="188"/>
  <c r="B83" i="188"/>
  <c r="N73" i="188"/>
  <c r="M58" i="188"/>
  <c r="L58" i="188"/>
  <c r="K58" i="188"/>
  <c r="J58" i="188"/>
  <c r="I58" i="188"/>
  <c r="H58" i="188"/>
  <c r="G58" i="188"/>
  <c r="F57" i="188"/>
  <c r="F87" i="188" s="1"/>
  <c r="F56" i="188"/>
  <c r="E56" i="188"/>
  <c r="E58" i="188" s="1"/>
  <c r="D56" i="188"/>
  <c r="D87" i="188" s="1"/>
  <c r="C56" i="188"/>
  <c r="C87" i="188" s="1"/>
  <c r="B55" i="188"/>
  <c r="B58" i="188" s="1"/>
  <c r="N54" i="188"/>
  <c r="N53" i="188"/>
  <c r="M46" i="188"/>
  <c r="L46" i="188"/>
  <c r="K46" i="188"/>
  <c r="K48" i="188" s="1"/>
  <c r="J46" i="188"/>
  <c r="I46" i="188"/>
  <c r="H46" i="188"/>
  <c r="G46" i="188"/>
  <c r="F46" i="188"/>
  <c r="E46" i="188"/>
  <c r="D46" i="188"/>
  <c r="C46" i="188"/>
  <c r="B46" i="188"/>
  <c r="N45" i="188"/>
  <c r="N44" i="188"/>
  <c r="N41" i="188"/>
  <c r="N40" i="188"/>
  <c r="N37" i="188"/>
  <c r="M34" i="188"/>
  <c r="M38" i="188"/>
  <c r="M42" i="188" s="1"/>
  <c r="L34" i="188"/>
  <c r="L38" i="188" s="1"/>
  <c r="L42" i="188" s="1"/>
  <c r="K34" i="188"/>
  <c r="K38" i="188" s="1"/>
  <c r="K42" i="188" s="1"/>
  <c r="J34" i="188"/>
  <c r="J38" i="188" s="1"/>
  <c r="J42" i="188" s="1"/>
  <c r="I34" i="188"/>
  <c r="I38" i="188" s="1"/>
  <c r="I42" i="188" s="1"/>
  <c r="H34" i="188"/>
  <c r="H38" i="188" s="1"/>
  <c r="H42" i="188" s="1"/>
  <c r="G34" i="188"/>
  <c r="G38" i="188" s="1"/>
  <c r="G42" i="188" s="1"/>
  <c r="F34" i="188"/>
  <c r="F38" i="188" s="1"/>
  <c r="F42" i="188" s="1"/>
  <c r="E34" i="188"/>
  <c r="E38" i="188" s="1"/>
  <c r="E42" i="188" s="1"/>
  <c r="D34" i="188"/>
  <c r="D38" i="188" s="1"/>
  <c r="D42" i="188" s="1"/>
  <c r="C34" i="188"/>
  <c r="C38" i="188" s="1"/>
  <c r="C42" i="188" s="1"/>
  <c r="B34" i="188"/>
  <c r="AD33" i="188"/>
  <c r="AR33" i="188" s="1"/>
  <c r="AC33" i="188"/>
  <c r="AQ33" i="188" s="1"/>
  <c r="AA33" i="188"/>
  <c r="AO33" i="188" s="1"/>
  <c r="Z33" i="188"/>
  <c r="AN33" i="188" s="1"/>
  <c r="Y33" i="188"/>
  <c r="AM33" i="188" s="1"/>
  <c r="X33" i="188"/>
  <c r="AL33" i="188" s="1"/>
  <c r="W33" i="188"/>
  <c r="AK33" i="188" s="1"/>
  <c r="V33" i="188"/>
  <c r="AJ33" i="188" s="1"/>
  <c r="U33" i="188"/>
  <c r="AI33" i="188" s="1"/>
  <c r="T33" i="188"/>
  <c r="AH33" i="188" s="1"/>
  <c r="S33" i="188"/>
  <c r="AG33" i="188" s="1"/>
  <c r="R33" i="188"/>
  <c r="AF33" i="188" s="1"/>
  <c r="Q33" i="188"/>
  <c r="AE33" i="188" s="1"/>
  <c r="N33" i="188"/>
  <c r="AB33" i="188" s="1"/>
  <c r="AP33" i="188" s="1"/>
  <c r="AC32" i="188"/>
  <c r="AQ32" i="188" s="1"/>
  <c r="AA32" i="188"/>
  <c r="AO32" i="188" s="1"/>
  <c r="Z32" i="188"/>
  <c r="AN32" i="188" s="1"/>
  <c r="Y32" i="188"/>
  <c r="AM32" i="188" s="1"/>
  <c r="X32" i="188"/>
  <c r="AL32" i="188"/>
  <c r="W32" i="188"/>
  <c r="AK32" i="188" s="1"/>
  <c r="V32" i="188"/>
  <c r="AJ32" i="188" s="1"/>
  <c r="U32" i="188"/>
  <c r="AI32" i="188" s="1"/>
  <c r="T32" i="188"/>
  <c r="AH32" i="188" s="1"/>
  <c r="S32" i="188"/>
  <c r="AG32" i="188" s="1"/>
  <c r="R32" i="188"/>
  <c r="AF32" i="188"/>
  <c r="Q32" i="188"/>
  <c r="AE32" i="188" s="1"/>
  <c r="P32" i="188"/>
  <c r="AD32" i="188" s="1"/>
  <c r="AR32" i="188" s="1"/>
  <c r="N32" i="188"/>
  <c r="AB32" i="188" s="1"/>
  <c r="AP32" i="188" s="1"/>
  <c r="N31" i="188"/>
  <c r="N30" i="188"/>
  <c r="M26" i="188"/>
  <c r="L26" i="188"/>
  <c r="K26" i="188"/>
  <c r="J26" i="188"/>
  <c r="I26" i="188"/>
  <c r="H26" i="188"/>
  <c r="G26" i="188"/>
  <c r="F26" i="188"/>
  <c r="E26" i="188"/>
  <c r="D26" i="188"/>
  <c r="C26" i="188"/>
  <c r="B26" i="188"/>
  <c r="M25" i="188"/>
  <c r="L25" i="188"/>
  <c r="K25" i="188"/>
  <c r="J25" i="188"/>
  <c r="I25" i="188"/>
  <c r="H25" i="188"/>
  <c r="G25" i="188"/>
  <c r="F25" i="188"/>
  <c r="E25" i="188"/>
  <c r="D25" i="188"/>
  <c r="C25" i="188"/>
  <c r="B25" i="188"/>
  <c r="M24" i="188"/>
  <c r="L24" i="188"/>
  <c r="K24" i="188"/>
  <c r="J24" i="188"/>
  <c r="I24" i="188"/>
  <c r="H24" i="188"/>
  <c r="G24" i="188"/>
  <c r="F24" i="188"/>
  <c r="E24" i="188"/>
  <c r="D24" i="188"/>
  <c r="C24" i="188"/>
  <c r="B24" i="188"/>
  <c r="M23" i="188"/>
  <c r="L23" i="188"/>
  <c r="L27" i="188" s="1"/>
  <c r="K23" i="188"/>
  <c r="J23" i="188"/>
  <c r="I23" i="188"/>
  <c r="I27" i="188" s="1"/>
  <c r="H23" i="188"/>
  <c r="H27" i="188" s="1"/>
  <c r="G23" i="188"/>
  <c r="F23" i="188"/>
  <c r="E23" i="188"/>
  <c r="D23" i="188"/>
  <c r="D27" i="188" s="1"/>
  <c r="C23" i="188"/>
  <c r="B23" i="188"/>
  <c r="M20" i="188"/>
  <c r="L20" i="188"/>
  <c r="K20" i="188"/>
  <c r="J20" i="188"/>
  <c r="J48" i="188" s="1"/>
  <c r="J50" i="188" s="1"/>
  <c r="I20" i="188"/>
  <c r="H20" i="188"/>
  <c r="G20" i="188"/>
  <c r="F20" i="188"/>
  <c r="E20" i="188"/>
  <c r="D20" i="188"/>
  <c r="C20" i="188"/>
  <c r="B20" i="188"/>
  <c r="N19" i="188"/>
  <c r="N17" i="188"/>
  <c r="N16" i="188"/>
  <c r="E13" i="188"/>
  <c r="F11" i="188"/>
  <c r="M9" i="188"/>
  <c r="M13" i="188" s="1"/>
  <c r="L9" i="188"/>
  <c r="L13" i="188" s="1"/>
  <c r="K9" i="188"/>
  <c r="K13" i="188" s="1"/>
  <c r="J9" i="188"/>
  <c r="J13" i="188" s="1"/>
  <c r="I9" i="188"/>
  <c r="I13" i="188" s="1"/>
  <c r="H9" i="188"/>
  <c r="G9" i="188"/>
  <c r="G13" i="188" s="1"/>
  <c r="F9" i="188"/>
  <c r="D9" i="188"/>
  <c r="D13" i="188" s="1"/>
  <c r="C9" i="188"/>
  <c r="C13" i="188" s="1"/>
  <c r="B9" i="188"/>
  <c r="B13" i="188" s="1"/>
  <c r="N8" i="188"/>
  <c r="N7" i="188"/>
  <c r="N6" i="188"/>
  <c r="N5" i="188"/>
  <c r="N4" i="188"/>
  <c r="N46" i="188"/>
  <c r="E27" i="188"/>
  <c r="M27" i="188"/>
  <c r="M87" i="187"/>
  <c r="L87" i="187"/>
  <c r="K87" i="187"/>
  <c r="J87" i="187"/>
  <c r="I87" i="187"/>
  <c r="H87" i="187"/>
  <c r="G87" i="187"/>
  <c r="B87" i="187"/>
  <c r="M84" i="187"/>
  <c r="L84" i="187"/>
  <c r="K84" i="187"/>
  <c r="J84" i="187"/>
  <c r="I84" i="187"/>
  <c r="H84" i="187"/>
  <c r="G84" i="187"/>
  <c r="F84" i="187"/>
  <c r="E84" i="187"/>
  <c r="D84" i="187"/>
  <c r="C84" i="187"/>
  <c r="B84" i="187"/>
  <c r="B83" i="187"/>
  <c r="C83" i="187" s="1"/>
  <c r="N73" i="187"/>
  <c r="M58" i="187"/>
  <c r="L58" i="187"/>
  <c r="K58" i="187"/>
  <c r="J58" i="187"/>
  <c r="I58" i="187"/>
  <c r="H58" i="187"/>
  <c r="G58" i="187"/>
  <c r="F57" i="187"/>
  <c r="F56" i="187"/>
  <c r="E56" i="187"/>
  <c r="E87" i="187" s="1"/>
  <c r="D56" i="187"/>
  <c r="D58" i="187" s="1"/>
  <c r="C56" i="187"/>
  <c r="C58" i="187" s="1"/>
  <c r="B55" i="187"/>
  <c r="N54" i="187"/>
  <c r="N53" i="187"/>
  <c r="M46" i="187"/>
  <c r="L46" i="187"/>
  <c r="K46" i="187"/>
  <c r="J46" i="187"/>
  <c r="I46" i="187"/>
  <c r="H46" i="187"/>
  <c r="G46" i="187"/>
  <c r="F46" i="187"/>
  <c r="E46" i="187"/>
  <c r="D46" i="187"/>
  <c r="C46" i="187"/>
  <c r="B46" i="187"/>
  <c r="N45" i="187"/>
  <c r="N46" i="187" s="1"/>
  <c r="N44" i="187"/>
  <c r="N41" i="187"/>
  <c r="N40" i="187"/>
  <c r="N37" i="187"/>
  <c r="M34" i="187"/>
  <c r="M38" i="187" s="1"/>
  <c r="M42" i="187" s="1"/>
  <c r="L34" i="187"/>
  <c r="L38" i="187" s="1"/>
  <c r="L42" i="187" s="1"/>
  <c r="K34" i="187"/>
  <c r="K38" i="187" s="1"/>
  <c r="K42" i="187" s="1"/>
  <c r="J34" i="187"/>
  <c r="J38" i="187"/>
  <c r="J42" i="187" s="1"/>
  <c r="I34" i="187"/>
  <c r="I38" i="187" s="1"/>
  <c r="I42" i="187" s="1"/>
  <c r="H34" i="187"/>
  <c r="G34" i="187"/>
  <c r="G38" i="187" s="1"/>
  <c r="G42" i="187" s="1"/>
  <c r="F34" i="187"/>
  <c r="F38" i="187" s="1"/>
  <c r="F42" i="187" s="1"/>
  <c r="E34" i="187"/>
  <c r="E38" i="187" s="1"/>
  <c r="E42" i="187" s="1"/>
  <c r="D34" i="187"/>
  <c r="D38" i="187" s="1"/>
  <c r="D42" i="187" s="1"/>
  <c r="C34" i="187"/>
  <c r="C38" i="187" s="1"/>
  <c r="C42" i="187" s="1"/>
  <c r="B34" i="187"/>
  <c r="B38" i="187" s="1"/>
  <c r="B42" i="187" s="1"/>
  <c r="AD33" i="187"/>
  <c r="AR33" i="187" s="1"/>
  <c r="AC33" i="187"/>
  <c r="AQ33" i="187"/>
  <c r="AA33" i="187"/>
  <c r="AO33" i="187" s="1"/>
  <c r="Z33" i="187"/>
  <c r="AN33" i="187" s="1"/>
  <c r="Y33" i="187"/>
  <c r="AM33" i="187" s="1"/>
  <c r="X33" i="187"/>
  <c r="AL33" i="187" s="1"/>
  <c r="W33" i="187"/>
  <c r="AK33" i="187" s="1"/>
  <c r="V33" i="187"/>
  <c r="AJ33" i="187" s="1"/>
  <c r="U33" i="187"/>
  <c r="AI33" i="187" s="1"/>
  <c r="T33" i="187"/>
  <c r="AH33" i="187" s="1"/>
  <c r="S33" i="187"/>
  <c r="AG33" i="187" s="1"/>
  <c r="R33" i="187"/>
  <c r="AF33" i="187" s="1"/>
  <c r="Q33" i="187"/>
  <c r="AE33" i="187" s="1"/>
  <c r="N33" i="187"/>
  <c r="AB33" i="187" s="1"/>
  <c r="AP33" i="187" s="1"/>
  <c r="AC32" i="187"/>
  <c r="AQ32" i="187" s="1"/>
  <c r="AA32" i="187"/>
  <c r="AO32" i="187" s="1"/>
  <c r="Z32" i="187"/>
  <c r="AN32" i="187" s="1"/>
  <c r="Y32" i="187"/>
  <c r="AM32" i="187" s="1"/>
  <c r="X32" i="187"/>
  <c r="AL32" i="187" s="1"/>
  <c r="W32" i="187"/>
  <c r="AK32" i="187" s="1"/>
  <c r="V32" i="187"/>
  <c r="AJ32" i="187" s="1"/>
  <c r="U32" i="187"/>
  <c r="AI32" i="187" s="1"/>
  <c r="T32" i="187"/>
  <c r="AH32" i="187" s="1"/>
  <c r="S32" i="187"/>
  <c r="AG32" i="187" s="1"/>
  <c r="R32" i="187"/>
  <c r="AF32" i="187" s="1"/>
  <c r="Q32" i="187"/>
  <c r="AE32" i="187" s="1"/>
  <c r="P32" i="187"/>
  <c r="AD32" i="187" s="1"/>
  <c r="AR32" i="187" s="1"/>
  <c r="N32" i="187"/>
  <c r="AB32" i="187" s="1"/>
  <c r="AP32" i="187" s="1"/>
  <c r="N31" i="187"/>
  <c r="N30" i="187"/>
  <c r="M26" i="187"/>
  <c r="L26" i="187"/>
  <c r="K26" i="187"/>
  <c r="J26" i="187"/>
  <c r="I26" i="187"/>
  <c r="H26" i="187"/>
  <c r="G26" i="187"/>
  <c r="F26" i="187"/>
  <c r="E26" i="187"/>
  <c r="D26" i="187"/>
  <c r="C26" i="187"/>
  <c r="B26" i="187"/>
  <c r="M25" i="187"/>
  <c r="L25" i="187"/>
  <c r="K25" i="187"/>
  <c r="J25" i="187"/>
  <c r="I25" i="187"/>
  <c r="H25" i="187"/>
  <c r="G25" i="187"/>
  <c r="F25" i="187"/>
  <c r="E25" i="187"/>
  <c r="D25" i="187"/>
  <c r="C25" i="187"/>
  <c r="N25" i="187" s="1"/>
  <c r="B25" i="187"/>
  <c r="M24" i="187"/>
  <c r="L24" i="187"/>
  <c r="K24" i="187"/>
  <c r="J24" i="187"/>
  <c r="I24" i="187"/>
  <c r="H24" i="187"/>
  <c r="G24" i="187"/>
  <c r="F24" i="187"/>
  <c r="E24" i="187"/>
  <c r="D24" i="187"/>
  <c r="C24" i="187"/>
  <c r="B24" i="187"/>
  <c r="M23" i="187"/>
  <c r="L23" i="187"/>
  <c r="K23" i="187"/>
  <c r="K27" i="187" s="1"/>
  <c r="J23" i="187"/>
  <c r="I23" i="187"/>
  <c r="H23" i="187"/>
  <c r="H27" i="187" s="1"/>
  <c r="G23" i="187"/>
  <c r="F23" i="187"/>
  <c r="F27" i="187" s="1"/>
  <c r="E23" i="187"/>
  <c r="E27" i="187" s="1"/>
  <c r="D23" i="187"/>
  <c r="C23" i="187"/>
  <c r="B23" i="187"/>
  <c r="B27" i="187" s="1"/>
  <c r="M20" i="187"/>
  <c r="L20" i="187"/>
  <c r="K20" i="187"/>
  <c r="J20" i="187"/>
  <c r="I20" i="187"/>
  <c r="H20" i="187"/>
  <c r="G20" i="187"/>
  <c r="F20" i="187"/>
  <c r="E20" i="187"/>
  <c r="D20" i="187"/>
  <c r="C20" i="187"/>
  <c r="B20" i="187"/>
  <c r="N19" i="187"/>
  <c r="N17" i="187"/>
  <c r="N16" i="187"/>
  <c r="E13" i="187"/>
  <c r="F11" i="187"/>
  <c r="N11" i="187" s="1"/>
  <c r="M9" i="187"/>
  <c r="M13" i="187" s="1"/>
  <c r="L9" i="187"/>
  <c r="L13" i="187" s="1"/>
  <c r="K9" i="187"/>
  <c r="K13" i="187" s="1"/>
  <c r="J9" i="187"/>
  <c r="J13" i="187" s="1"/>
  <c r="I9" i="187"/>
  <c r="I13" i="187" s="1"/>
  <c r="H9" i="187"/>
  <c r="H13" i="187" s="1"/>
  <c r="G9" i="187"/>
  <c r="G13" i="187" s="1"/>
  <c r="F9" i="187"/>
  <c r="F13" i="187"/>
  <c r="D9" i="187"/>
  <c r="D13" i="187" s="1"/>
  <c r="C9" i="187"/>
  <c r="C13" i="187" s="1"/>
  <c r="B9" i="187"/>
  <c r="B13" i="187" s="1"/>
  <c r="N8" i="187"/>
  <c r="N7" i="187"/>
  <c r="N6" i="187"/>
  <c r="N5" i="187"/>
  <c r="N4" i="187"/>
  <c r="D27" i="187"/>
  <c r="L27" i="187"/>
  <c r="B85" i="187"/>
  <c r="D83" i="187"/>
  <c r="E83" i="187" s="1"/>
  <c r="E85" i="187" s="1"/>
  <c r="I27" i="187"/>
  <c r="M27" i="187"/>
  <c r="E58" i="187"/>
  <c r="F11" i="186"/>
  <c r="F57" i="186"/>
  <c r="F56" i="186"/>
  <c r="M87" i="186"/>
  <c r="L87" i="186"/>
  <c r="K87" i="186"/>
  <c r="J87" i="186"/>
  <c r="I87" i="186"/>
  <c r="H87" i="186"/>
  <c r="G87" i="186"/>
  <c r="B87" i="186"/>
  <c r="M84" i="186"/>
  <c r="L84" i="186"/>
  <c r="K84" i="186"/>
  <c r="J84" i="186"/>
  <c r="I84" i="186"/>
  <c r="H84" i="186"/>
  <c r="G84" i="186"/>
  <c r="F84" i="186"/>
  <c r="E84" i="186"/>
  <c r="D84" i="186"/>
  <c r="C84" i="186"/>
  <c r="B84" i="186"/>
  <c r="B83" i="186"/>
  <c r="B85" i="186" s="1"/>
  <c r="N73" i="186"/>
  <c r="M58" i="186"/>
  <c r="L58" i="186"/>
  <c r="K58" i="186"/>
  <c r="J58" i="186"/>
  <c r="I58" i="186"/>
  <c r="H58" i="186"/>
  <c r="G58" i="186"/>
  <c r="E56" i="186"/>
  <c r="E58" i="186" s="1"/>
  <c r="D56" i="186"/>
  <c r="D87" i="186" s="1"/>
  <c r="C56" i="186"/>
  <c r="C87" i="186" s="1"/>
  <c r="C88" i="186" s="1"/>
  <c r="B55" i="186"/>
  <c r="B58" i="186" s="1"/>
  <c r="N54" i="186"/>
  <c r="N53" i="186"/>
  <c r="M46" i="186"/>
  <c r="L46" i="186"/>
  <c r="K46" i="186"/>
  <c r="J46" i="186"/>
  <c r="I46" i="186"/>
  <c r="H46" i="186"/>
  <c r="G46" i="186"/>
  <c r="F46" i="186"/>
  <c r="E46" i="186"/>
  <c r="D46" i="186"/>
  <c r="C46" i="186"/>
  <c r="B46" i="186"/>
  <c r="N45" i="186"/>
  <c r="N44" i="186"/>
  <c r="N46" i="186" s="1"/>
  <c r="N41" i="186"/>
  <c r="N40" i="186"/>
  <c r="N37" i="186"/>
  <c r="M34" i="186"/>
  <c r="M38" i="186" s="1"/>
  <c r="M42" i="186" s="1"/>
  <c r="L34" i="186"/>
  <c r="L38" i="186" s="1"/>
  <c r="L42" i="186" s="1"/>
  <c r="K34" i="186"/>
  <c r="K38" i="186" s="1"/>
  <c r="K42" i="186" s="1"/>
  <c r="J34" i="186"/>
  <c r="J38" i="186" s="1"/>
  <c r="J42" i="186" s="1"/>
  <c r="I34" i="186"/>
  <c r="I38" i="186"/>
  <c r="I42" i="186" s="1"/>
  <c r="H34" i="186"/>
  <c r="H38" i="186" s="1"/>
  <c r="H42" i="186" s="1"/>
  <c r="G34" i="186"/>
  <c r="G38" i="186" s="1"/>
  <c r="G42" i="186" s="1"/>
  <c r="F34" i="186"/>
  <c r="F38" i="186" s="1"/>
  <c r="F42" i="186" s="1"/>
  <c r="E34" i="186"/>
  <c r="E38" i="186" s="1"/>
  <c r="E42" i="186" s="1"/>
  <c r="D34" i="186"/>
  <c r="D38" i="186" s="1"/>
  <c r="D42" i="186"/>
  <c r="C34" i="186"/>
  <c r="B34" i="186"/>
  <c r="B38" i="186" s="1"/>
  <c r="AD33" i="186"/>
  <c r="AR33" i="186"/>
  <c r="AC33" i="186"/>
  <c r="AQ33" i="186" s="1"/>
  <c r="AA33" i="186"/>
  <c r="AO33" i="186" s="1"/>
  <c r="Z33" i="186"/>
  <c r="AN33" i="186" s="1"/>
  <c r="Y33" i="186"/>
  <c r="AM33" i="186" s="1"/>
  <c r="X33" i="186"/>
  <c r="AL33" i="186" s="1"/>
  <c r="W33" i="186"/>
  <c r="AK33" i="186" s="1"/>
  <c r="V33" i="186"/>
  <c r="AJ33" i="186" s="1"/>
  <c r="U33" i="186"/>
  <c r="AI33" i="186" s="1"/>
  <c r="T33" i="186"/>
  <c r="AH33" i="186" s="1"/>
  <c r="S33" i="186"/>
  <c r="AG33" i="186"/>
  <c r="R33" i="186"/>
  <c r="AF33" i="186" s="1"/>
  <c r="Q33" i="186"/>
  <c r="AE33" i="186" s="1"/>
  <c r="N33" i="186"/>
  <c r="AB33" i="186" s="1"/>
  <c r="AP33" i="186" s="1"/>
  <c r="AC32" i="186"/>
  <c r="AQ32" i="186" s="1"/>
  <c r="AA32" i="186"/>
  <c r="AO32" i="186" s="1"/>
  <c r="Z32" i="186"/>
  <c r="AN32" i="186" s="1"/>
  <c r="Y32" i="186"/>
  <c r="AM32" i="186"/>
  <c r="X32" i="186"/>
  <c r="AL32" i="186" s="1"/>
  <c r="W32" i="186"/>
  <c r="AK32" i="186"/>
  <c r="V32" i="186"/>
  <c r="AJ32" i="186" s="1"/>
  <c r="U32" i="186"/>
  <c r="AI32" i="186"/>
  <c r="T32" i="186"/>
  <c r="AH32" i="186" s="1"/>
  <c r="S32" i="186"/>
  <c r="AG32" i="186" s="1"/>
  <c r="R32" i="186"/>
  <c r="AF32" i="186" s="1"/>
  <c r="Q32" i="186"/>
  <c r="AE32" i="186"/>
  <c r="P32" i="186"/>
  <c r="AD32" i="186" s="1"/>
  <c r="AR32" i="186" s="1"/>
  <c r="N32" i="186"/>
  <c r="AB32" i="186" s="1"/>
  <c r="AP32" i="186" s="1"/>
  <c r="N31" i="186"/>
  <c r="N30" i="186"/>
  <c r="M26" i="186"/>
  <c r="L26" i="186"/>
  <c r="K26" i="186"/>
  <c r="J26" i="186"/>
  <c r="I26" i="186"/>
  <c r="H26" i="186"/>
  <c r="G26" i="186"/>
  <c r="F26" i="186"/>
  <c r="E26" i="186"/>
  <c r="D26" i="186"/>
  <c r="C26" i="186"/>
  <c r="B26" i="186"/>
  <c r="M25" i="186"/>
  <c r="L25" i="186"/>
  <c r="K25" i="186"/>
  <c r="J25" i="186"/>
  <c r="I25" i="186"/>
  <c r="H25" i="186"/>
  <c r="G25" i="186"/>
  <c r="F25" i="186"/>
  <c r="E25" i="186"/>
  <c r="D25" i="186"/>
  <c r="C25" i="186"/>
  <c r="B25" i="186"/>
  <c r="M24" i="186"/>
  <c r="L24" i="186"/>
  <c r="K24" i="186"/>
  <c r="J24" i="186"/>
  <c r="I24" i="186"/>
  <c r="H24" i="186"/>
  <c r="G24" i="186"/>
  <c r="F24" i="186"/>
  <c r="E24" i="186"/>
  <c r="D24" i="186"/>
  <c r="C24" i="186"/>
  <c r="B24" i="186"/>
  <c r="M23" i="186"/>
  <c r="M27" i="186" s="1"/>
  <c r="L23" i="186"/>
  <c r="K23" i="186"/>
  <c r="K27" i="186" s="1"/>
  <c r="J23" i="186"/>
  <c r="I23" i="186"/>
  <c r="I27" i="186" s="1"/>
  <c r="H23" i="186"/>
  <c r="G23" i="186"/>
  <c r="G27" i="186" s="1"/>
  <c r="F23" i="186"/>
  <c r="E23" i="186"/>
  <c r="E27" i="186" s="1"/>
  <c r="D23" i="186"/>
  <c r="C23" i="186"/>
  <c r="C27" i="186" s="1"/>
  <c r="B23" i="186"/>
  <c r="M20" i="186"/>
  <c r="L20" i="186"/>
  <c r="K20" i="186"/>
  <c r="K48" i="186" s="1"/>
  <c r="J20" i="186"/>
  <c r="I20" i="186"/>
  <c r="H20" i="186"/>
  <c r="G20" i="186"/>
  <c r="G48" i="186" s="1"/>
  <c r="G61" i="186" s="1"/>
  <c r="F20" i="186"/>
  <c r="E20" i="186"/>
  <c r="E48" i="186" s="1"/>
  <c r="E50" i="186" s="1"/>
  <c r="D20" i="186"/>
  <c r="C20" i="186"/>
  <c r="B20" i="186"/>
  <c r="N19" i="186"/>
  <c r="N17" i="186"/>
  <c r="N16" i="186"/>
  <c r="E13" i="186"/>
  <c r="N11" i="186"/>
  <c r="M9" i="186"/>
  <c r="M13" i="186" s="1"/>
  <c r="L9" i="186"/>
  <c r="L13" i="186" s="1"/>
  <c r="K9" i="186"/>
  <c r="K13" i="186" s="1"/>
  <c r="J9" i="186"/>
  <c r="J13" i="186" s="1"/>
  <c r="I9" i="186"/>
  <c r="I13" i="186" s="1"/>
  <c r="H9" i="186"/>
  <c r="H13" i="186" s="1"/>
  <c r="G9" i="186"/>
  <c r="G13" i="186" s="1"/>
  <c r="F9" i="186"/>
  <c r="D9" i="186"/>
  <c r="D13" i="186" s="1"/>
  <c r="C9" i="186"/>
  <c r="C13" i="186" s="1"/>
  <c r="B9" i="186"/>
  <c r="B13" i="186" s="1"/>
  <c r="N8" i="186"/>
  <c r="N7" i="186"/>
  <c r="N6" i="186"/>
  <c r="N5" i="186"/>
  <c r="N4" i="186"/>
  <c r="D58" i="186"/>
  <c r="C83" i="186"/>
  <c r="D88" i="186"/>
  <c r="C58" i="186"/>
  <c r="E56" i="185"/>
  <c r="E87" i="185" s="1"/>
  <c r="M87" i="185"/>
  <c r="L87" i="185"/>
  <c r="K87" i="185"/>
  <c r="J87" i="185"/>
  <c r="I87" i="185"/>
  <c r="H87" i="185"/>
  <c r="G87" i="185"/>
  <c r="F87" i="185"/>
  <c r="B87" i="185"/>
  <c r="M84" i="185"/>
  <c r="L84" i="185"/>
  <c r="K84" i="185"/>
  <c r="J84" i="185"/>
  <c r="I84" i="185"/>
  <c r="H84" i="185"/>
  <c r="G84" i="185"/>
  <c r="F84" i="185"/>
  <c r="E84" i="185"/>
  <c r="D84" i="185"/>
  <c r="C84" i="185"/>
  <c r="B84" i="185"/>
  <c r="B83" i="185"/>
  <c r="C83" i="185" s="1"/>
  <c r="N73" i="185"/>
  <c r="M58" i="185"/>
  <c r="L58" i="185"/>
  <c r="K58" i="185"/>
  <c r="J58" i="185"/>
  <c r="I58" i="185"/>
  <c r="H58" i="185"/>
  <c r="G58" i="185"/>
  <c r="F58" i="185"/>
  <c r="N57" i="185"/>
  <c r="D56" i="185"/>
  <c r="D58" i="185" s="1"/>
  <c r="C56" i="185"/>
  <c r="C58" i="185" s="1"/>
  <c r="B55" i="185"/>
  <c r="N54" i="185"/>
  <c r="N53" i="185"/>
  <c r="M46" i="185"/>
  <c r="L46" i="185"/>
  <c r="K46" i="185"/>
  <c r="J46" i="185"/>
  <c r="I46" i="185"/>
  <c r="H46" i="185"/>
  <c r="G46" i="185"/>
  <c r="F46" i="185"/>
  <c r="E46" i="185"/>
  <c r="D46" i="185"/>
  <c r="C46" i="185"/>
  <c r="B46" i="185"/>
  <c r="N45" i="185"/>
  <c r="N44" i="185"/>
  <c r="N41" i="185"/>
  <c r="N40" i="185"/>
  <c r="N37" i="185"/>
  <c r="M34" i="185"/>
  <c r="M38" i="185" s="1"/>
  <c r="M42" i="185" s="1"/>
  <c r="L34" i="185"/>
  <c r="L38" i="185" s="1"/>
  <c r="L42" i="185" s="1"/>
  <c r="K34" i="185"/>
  <c r="K38" i="185" s="1"/>
  <c r="K42" i="185" s="1"/>
  <c r="J34" i="185"/>
  <c r="I34" i="185"/>
  <c r="I38" i="185" s="1"/>
  <c r="I42" i="185" s="1"/>
  <c r="H34" i="185"/>
  <c r="H38" i="185" s="1"/>
  <c r="H42" i="185" s="1"/>
  <c r="G34" i="185"/>
  <c r="G38" i="185" s="1"/>
  <c r="G42" i="185" s="1"/>
  <c r="F34" i="185"/>
  <c r="E34" i="185"/>
  <c r="E38" i="185" s="1"/>
  <c r="E42" i="185" s="1"/>
  <c r="D34" i="185"/>
  <c r="D38" i="185" s="1"/>
  <c r="D42" i="185" s="1"/>
  <c r="C34" i="185"/>
  <c r="C38" i="185" s="1"/>
  <c r="C42" i="185" s="1"/>
  <c r="B34" i="185"/>
  <c r="B38" i="185" s="1"/>
  <c r="AD33" i="185"/>
  <c r="AR33" i="185" s="1"/>
  <c r="AC33" i="185"/>
  <c r="AQ33" i="185" s="1"/>
  <c r="AA33" i="185"/>
  <c r="AO33" i="185" s="1"/>
  <c r="Z33" i="185"/>
  <c r="AN33" i="185" s="1"/>
  <c r="Y33" i="185"/>
  <c r="AM33" i="185" s="1"/>
  <c r="X33" i="185"/>
  <c r="AL33" i="185" s="1"/>
  <c r="W33" i="185"/>
  <c r="AK33" i="185" s="1"/>
  <c r="V33" i="185"/>
  <c r="AJ33" i="185" s="1"/>
  <c r="U33" i="185"/>
  <c r="AI33" i="185" s="1"/>
  <c r="T33" i="185"/>
  <c r="AH33" i="185" s="1"/>
  <c r="S33" i="185"/>
  <c r="AG33" i="185" s="1"/>
  <c r="R33" i="185"/>
  <c r="AF33" i="185" s="1"/>
  <c r="Q33" i="185"/>
  <c r="AE33" i="185" s="1"/>
  <c r="N33" i="185"/>
  <c r="AB33" i="185" s="1"/>
  <c r="AP33" i="185" s="1"/>
  <c r="AC32" i="185"/>
  <c r="AQ32" i="185" s="1"/>
  <c r="AA32" i="185"/>
  <c r="AO32" i="185" s="1"/>
  <c r="Z32" i="185"/>
  <c r="AN32" i="185" s="1"/>
  <c r="Y32" i="185"/>
  <c r="AM32" i="185" s="1"/>
  <c r="X32" i="185"/>
  <c r="AL32" i="185" s="1"/>
  <c r="W32" i="185"/>
  <c r="AK32" i="185" s="1"/>
  <c r="V32" i="185"/>
  <c r="AJ32" i="185" s="1"/>
  <c r="U32" i="185"/>
  <c r="AI32" i="185" s="1"/>
  <c r="T32" i="185"/>
  <c r="AH32" i="185" s="1"/>
  <c r="S32" i="185"/>
  <c r="AG32" i="185" s="1"/>
  <c r="R32" i="185"/>
  <c r="AF32" i="185" s="1"/>
  <c r="Q32" i="185"/>
  <c r="AE32" i="185" s="1"/>
  <c r="P32" i="185"/>
  <c r="AD32" i="185" s="1"/>
  <c r="AR32" i="185" s="1"/>
  <c r="N32" i="185"/>
  <c r="AB32" i="185" s="1"/>
  <c r="AP32" i="185" s="1"/>
  <c r="N31" i="185"/>
  <c r="N30" i="185"/>
  <c r="M26" i="185"/>
  <c r="L26" i="185"/>
  <c r="K26" i="185"/>
  <c r="J26" i="185"/>
  <c r="I26" i="185"/>
  <c r="H26" i="185"/>
  <c r="G26" i="185"/>
  <c r="F26" i="185"/>
  <c r="E26" i="185"/>
  <c r="D26" i="185"/>
  <c r="C26" i="185"/>
  <c r="B26" i="185"/>
  <c r="M25" i="185"/>
  <c r="L25" i="185"/>
  <c r="K25" i="185"/>
  <c r="J25" i="185"/>
  <c r="I25" i="185"/>
  <c r="H25" i="185"/>
  <c r="G25" i="185"/>
  <c r="F25" i="185"/>
  <c r="E25" i="185"/>
  <c r="D25" i="185"/>
  <c r="C25" i="185"/>
  <c r="B25" i="185"/>
  <c r="M24" i="185"/>
  <c r="L24" i="185"/>
  <c r="K24" i="185"/>
  <c r="J24" i="185"/>
  <c r="I24" i="185"/>
  <c r="H24" i="185"/>
  <c r="G24" i="185"/>
  <c r="F24" i="185"/>
  <c r="E24" i="185"/>
  <c r="D24" i="185"/>
  <c r="C24" i="185"/>
  <c r="B24" i="185"/>
  <c r="M23" i="185"/>
  <c r="M27" i="185" s="1"/>
  <c r="L23" i="185"/>
  <c r="L27" i="185" s="1"/>
  <c r="K23" i="185"/>
  <c r="J23" i="185"/>
  <c r="I23" i="185"/>
  <c r="H23" i="185"/>
  <c r="H27" i="185" s="1"/>
  <c r="G23" i="185"/>
  <c r="F23" i="185"/>
  <c r="F27" i="185" s="1"/>
  <c r="E23" i="185"/>
  <c r="E27" i="185" s="1"/>
  <c r="D23" i="185"/>
  <c r="C23" i="185"/>
  <c r="B23" i="185"/>
  <c r="B27" i="185" s="1"/>
  <c r="M20" i="185"/>
  <c r="L20" i="185"/>
  <c r="K20" i="185"/>
  <c r="J20" i="185"/>
  <c r="I20" i="185"/>
  <c r="H20" i="185"/>
  <c r="G20" i="185"/>
  <c r="F20" i="185"/>
  <c r="E20" i="185"/>
  <c r="D20" i="185"/>
  <c r="C20" i="185"/>
  <c r="B20" i="185"/>
  <c r="N19" i="185"/>
  <c r="N17" i="185"/>
  <c r="N16" i="185"/>
  <c r="N11" i="185"/>
  <c r="M9" i="185"/>
  <c r="M13" i="185" s="1"/>
  <c r="L9" i="185"/>
  <c r="L13" i="185" s="1"/>
  <c r="K9" i="185"/>
  <c r="K13" i="185" s="1"/>
  <c r="J9" i="185"/>
  <c r="J13" i="185" s="1"/>
  <c r="I9" i="185"/>
  <c r="I13" i="185" s="1"/>
  <c r="H9" i="185"/>
  <c r="H13" i="185" s="1"/>
  <c r="G9" i="185"/>
  <c r="G13" i="185" s="1"/>
  <c r="F9" i="185"/>
  <c r="F13" i="185" s="1"/>
  <c r="E13" i="185"/>
  <c r="D9" i="185"/>
  <c r="D13" i="185" s="1"/>
  <c r="C9" i="185"/>
  <c r="C13" i="185" s="1"/>
  <c r="B9" i="185"/>
  <c r="B13" i="185" s="1"/>
  <c r="N8" i="185"/>
  <c r="N7" i="185"/>
  <c r="N6" i="185"/>
  <c r="N5" i="185"/>
  <c r="N4" i="185"/>
  <c r="D56" i="184"/>
  <c r="D58" i="184" s="1"/>
  <c r="M87" i="184"/>
  <c r="L87" i="184"/>
  <c r="K87" i="184"/>
  <c r="J87" i="184"/>
  <c r="I87" i="184"/>
  <c r="H87" i="184"/>
  <c r="G87" i="184"/>
  <c r="F87" i="184"/>
  <c r="E87" i="184"/>
  <c r="B87" i="184"/>
  <c r="M84" i="184"/>
  <c r="L84" i="184"/>
  <c r="K84" i="184"/>
  <c r="J84" i="184"/>
  <c r="I84" i="184"/>
  <c r="H84" i="184"/>
  <c r="G84" i="184"/>
  <c r="F84" i="184"/>
  <c r="E84" i="184"/>
  <c r="D84" i="184"/>
  <c r="C84" i="184"/>
  <c r="B84" i="184"/>
  <c r="B83" i="184"/>
  <c r="N82" i="184"/>
  <c r="N73" i="184"/>
  <c r="M58" i="184"/>
  <c r="L58" i="184"/>
  <c r="K58" i="184"/>
  <c r="J58" i="184"/>
  <c r="I58" i="184"/>
  <c r="H58" i="184"/>
  <c r="G58" i="184"/>
  <c r="F58" i="184"/>
  <c r="E58" i="184"/>
  <c r="N57" i="184"/>
  <c r="C56" i="184"/>
  <c r="C58" i="184" s="1"/>
  <c r="B55" i="184"/>
  <c r="B58" i="184" s="1"/>
  <c r="N54" i="184"/>
  <c r="N53" i="184"/>
  <c r="M46" i="184"/>
  <c r="L46" i="184"/>
  <c r="K46" i="184"/>
  <c r="J46" i="184"/>
  <c r="I46" i="184"/>
  <c r="H46" i="184"/>
  <c r="G46" i="184"/>
  <c r="F46" i="184"/>
  <c r="E46" i="184"/>
  <c r="D46" i="184"/>
  <c r="C46" i="184"/>
  <c r="B46" i="184"/>
  <c r="N45" i="184"/>
  <c r="N46" i="184" s="1"/>
  <c r="N44" i="184"/>
  <c r="N41" i="184"/>
  <c r="N40" i="184"/>
  <c r="N37" i="184"/>
  <c r="M34" i="184"/>
  <c r="L34" i="184"/>
  <c r="L38" i="184" s="1"/>
  <c r="L42" i="184" s="1"/>
  <c r="K34" i="184"/>
  <c r="K38" i="184" s="1"/>
  <c r="K42" i="184" s="1"/>
  <c r="K48" i="184" s="1"/>
  <c r="J34" i="184"/>
  <c r="J38" i="184" s="1"/>
  <c r="J42" i="184" s="1"/>
  <c r="I34" i="184"/>
  <c r="I38" i="184" s="1"/>
  <c r="I42" i="184" s="1"/>
  <c r="H34" i="184"/>
  <c r="H38" i="184" s="1"/>
  <c r="H42" i="184" s="1"/>
  <c r="G34" i="184"/>
  <c r="G38" i="184" s="1"/>
  <c r="G42" i="184" s="1"/>
  <c r="F34" i="184"/>
  <c r="F38" i="184" s="1"/>
  <c r="F42" i="184" s="1"/>
  <c r="E34" i="184"/>
  <c r="D34" i="184"/>
  <c r="D38" i="184" s="1"/>
  <c r="D42" i="184" s="1"/>
  <c r="C34" i="184"/>
  <c r="C38" i="184" s="1"/>
  <c r="C42" i="184" s="1"/>
  <c r="B34" i="184"/>
  <c r="B38" i="184" s="1"/>
  <c r="B42" i="184" s="1"/>
  <c r="AD33" i="184"/>
  <c r="AR33" i="184" s="1"/>
  <c r="AC33" i="184"/>
  <c r="AQ33" i="184" s="1"/>
  <c r="AA33" i="184"/>
  <c r="AO33" i="184" s="1"/>
  <c r="Z33" i="184"/>
  <c r="AN33" i="184" s="1"/>
  <c r="Y33" i="184"/>
  <c r="AM33" i="184" s="1"/>
  <c r="X33" i="184"/>
  <c r="AL33" i="184" s="1"/>
  <c r="W33" i="184"/>
  <c r="AK33" i="184" s="1"/>
  <c r="V33" i="184"/>
  <c r="AJ33" i="184" s="1"/>
  <c r="U33" i="184"/>
  <c r="AI33" i="184" s="1"/>
  <c r="T33" i="184"/>
  <c r="AH33" i="184" s="1"/>
  <c r="S33" i="184"/>
  <c r="AG33" i="184" s="1"/>
  <c r="R33" i="184"/>
  <c r="AF33" i="184" s="1"/>
  <c r="Q33" i="184"/>
  <c r="AE33" i="184"/>
  <c r="N33" i="184"/>
  <c r="AB33" i="184" s="1"/>
  <c r="AP33" i="184" s="1"/>
  <c r="AC32" i="184"/>
  <c r="AQ32" i="184" s="1"/>
  <c r="AA32" i="184"/>
  <c r="AO32" i="184" s="1"/>
  <c r="Z32" i="184"/>
  <c r="AN32" i="184" s="1"/>
  <c r="Y32" i="184"/>
  <c r="AM32" i="184" s="1"/>
  <c r="X32" i="184"/>
  <c r="AL32" i="184" s="1"/>
  <c r="W32" i="184"/>
  <c r="AK32" i="184" s="1"/>
  <c r="V32" i="184"/>
  <c r="AJ32" i="184" s="1"/>
  <c r="U32" i="184"/>
  <c r="AI32" i="184" s="1"/>
  <c r="T32" i="184"/>
  <c r="AH32" i="184" s="1"/>
  <c r="S32" i="184"/>
  <c r="AG32" i="184"/>
  <c r="R32" i="184"/>
  <c r="AF32" i="184" s="1"/>
  <c r="Q32" i="184"/>
  <c r="AE32" i="184" s="1"/>
  <c r="P32" i="184"/>
  <c r="AD32" i="184" s="1"/>
  <c r="AR32" i="184" s="1"/>
  <c r="N32" i="184"/>
  <c r="AB32" i="184" s="1"/>
  <c r="AP32" i="184" s="1"/>
  <c r="N31" i="184"/>
  <c r="N30" i="184"/>
  <c r="M26" i="184"/>
  <c r="L26" i="184"/>
  <c r="K26" i="184"/>
  <c r="J26" i="184"/>
  <c r="I26" i="184"/>
  <c r="H26" i="184"/>
  <c r="G26" i="184"/>
  <c r="F26" i="184"/>
  <c r="E26" i="184"/>
  <c r="D26" i="184"/>
  <c r="C26" i="184"/>
  <c r="B26" i="184"/>
  <c r="M25" i="184"/>
  <c r="L25" i="184"/>
  <c r="K25" i="184"/>
  <c r="J25" i="184"/>
  <c r="I25" i="184"/>
  <c r="H25" i="184"/>
  <c r="G25" i="184"/>
  <c r="F25" i="184"/>
  <c r="E25" i="184"/>
  <c r="D25" i="184"/>
  <c r="C25" i="184"/>
  <c r="B25" i="184"/>
  <c r="M24" i="184"/>
  <c r="L24" i="184"/>
  <c r="K24" i="184"/>
  <c r="J24" i="184"/>
  <c r="I24" i="184"/>
  <c r="H24" i="184"/>
  <c r="G24" i="184"/>
  <c r="F24" i="184"/>
  <c r="E24" i="184"/>
  <c r="D24" i="184"/>
  <c r="C24" i="184"/>
  <c r="B24" i="184"/>
  <c r="M23" i="184"/>
  <c r="M27" i="184" s="1"/>
  <c r="L23" i="184"/>
  <c r="L27" i="184" s="1"/>
  <c r="K23" i="184"/>
  <c r="J23" i="184"/>
  <c r="J27" i="184" s="1"/>
  <c r="I23" i="184"/>
  <c r="H23" i="184"/>
  <c r="H27" i="184" s="1"/>
  <c r="G23" i="184"/>
  <c r="G27" i="184" s="1"/>
  <c r="F23" i="184"/>
  <c r="F27" i="184"/>
  <c r="E23" i="184"/>
  <c r="D23" i="184"/>
  <c r="C23" i="184"/>
  <c r="C27" i="184" s="1"/>
  <c r="B23" i="184"/>
  <c r="M20" i="184"/>
  <c r="L20" i="184"/>
  <c r="K20" i="184"/>
  <c r="J20" i="184"/>
  <c r="I20" i="184"/>
  <c r="H20" i="184"/>
  <c r="G20" i="184"/>
  <c r="F20" i="184"/>
  <c r="E20" i="184"/>
  <c r="D20" i="184"/>
  <c r="C20" i="184"/>
  <c r="B20" i="184"/>
  <c r="N19" i="184"/>
  <c r="N17" i="184"/>
  <c r="N16" i="184"/>
  <c r="N20" i="184" s="1"/>
  <c r="N11" i="184"/>
  <c r="M9" i="184"/>
  <c r="M13" i="184" s="1"/>
  <c r="L9" i="184"/>
  <c r="L13" i="184" s="1"/>
  <c r="K9" i="184"/>
  <c r="K13" i="184" s="1"/>
  <c r="J9" i="184"/>
  <c r="J13" i="184" s="1"/>
  <c r="I9" i="184"/>
  <c r="I13" i="184" s="1"/>
  <c r="H9" i="184"/>
  <c r="H13" i="184"/>
  <c r="G9" i="184"/>
  <c r="G13" i="184" s="1"/>
  <c r="F9" i="184"/>
  <c r="F13" i="184" s="1"/>
  <c r="E9" i="184"/>
  <c r="E13" i="184" s="1"/>
  <c r="D9" i="184"/>
  <c r="D13" i="184" s="1"/>
  <c r="C9" i="184"/>
  <c r="C13" i="184" s="1"/>
  <c r="B9" i="184"/>
  <c r="B13" i="184" s="1"/>
  <c r="N8" i="184"/>
  <c r="N7" i="184"/>
  <c r="N6" i="184"/>
  <c r="N5" i="184"/>
  <c r="N4" i="184"/>
  <c r="C83" i="184"/>
  <c r="D83" i="184" s="1"/>
  <c r="C9" i="183"/>
  <c r="C13" i="183" s="1"/>
  <c r="C56" i="183"/>
  <c r="N56" i="183" s="1"/>
  <c r="M87" i="183"/>
  <c r="L87" i="183"/>
  <c r="K87" i="183"/>
  <c r="J87" i="183"/>
  <c r="I87" i="183"/>
  <c r="H87" i="183"/>
  <c r="G87" i="183"/>
  <c r="F87" i="183"/>
  <c r="E87" i="183"/>
  <c r="D87" i="183"/>
  <c r="B87" i="183"/>
  <c r="M84" i="183"/>
  <c r="L84" i="183"/>
  <c r="K84" i="183"/>
  <c r="J84" i="183"/>
  <c r="I84" i="183"/>
  <c r="H84" i="183"/>
  <c r="G84" i="183"/>
  <c r="F84" i="183"/>
  <c r="E84" i="183"/>
  <c r="D84" i="183"/>
  <c r="C84" i="183"/>
  <c r="B84" i="183"/>
  <c r="B83" i="183"/>
  <c r="N82" i="183"/>
  <c r="N73" i="183"/>
  <c r="M58" i="183"/>
  <c r="L58" i="183"/>
  <c r="K58" i="183"/>
  <c r="J58" i="183"/>
  <c r="I58" i="183"/>
  <c r="H58" i="183"/>
  <c r="G58" i="183"/>
  <c r="F58" i="183"/>
  <c r="E58" i="183"/>
  <c r="D58" i="183"/>
  <c r="N57" i="183"/>
  <c r="B55" i="183"/>
  <c r="N55" i="183" s="1"/>
  <c r="N54" i="183"/>
  <c r="N53" i="183"/>
  <c r="M46" i="183"/>
  <c r="L46" i="183"/>
  <c r="K46" i="183"/>
  <c r="J46" i="183"/>
  <c r="I46" i="183"/>
  <c r="H46" i="183"/>
  <c r="G46" i="183"/>
  <c r="F46" i="183"/>
  <c r="E46" i="183"/>
  <c r="D46" i="183"/>
  <c r="C46" i="183"/>
  <c r="B46" i="183"/>
  <c r="N45" i="183"/>
  <c r="N44" i="183"/>
  <c r="N41" i="183"/>
  <c r="N40" i="183"/>
  <c r="N37" i="183"/>
  <c r="M34" i="183"/>
  <c r="M38" i="183" s="1"/>
  <c r="M42" i="183" s="1"/>
  <c r="L34" i="183"/>
  <c r="L38" i="183" s="1"/>
  <c r="L42" i="183" s="1"/>
  <c r="L48" i="183" s="1"/>
  <c r="L61" i="183" s="1"/>
  <c r="K34" i="183"/>
  <c r="K38" i="183" s="1"/>
  <c r="K42" i="183" s="1"/>
  <c r="J34" i="183"/>
  <c r="J38" i="183" s="1"/>
  <c r="J42" i="183" s="1"/>
  <c r="I34" i="183"/>
  <c r="I38" i="183" s="1"/>
  <c r="I42" i="183" s="1"/>
  <c r="H34" i="183"/>
  <c r="H38" i="183" s="1"/>
  <c r="H42" i="183" s="1"/>
  <c r="G34" i="183"/>
  <c r="G38" i="183" s="1"/>
  <c r="G42" i="183" s="1"/>
  <c r="F34" i="183"/>
  <c r="E34" i="183"/>
  <c r="E38" i="183"/>
  <c r="E42" i="183" s="1"/>
  <c r="D34" i="183"/>
  <c r="D38" i="183" s="1"/>
  <c r="D42" i="183" s="1"/>
  <c r="C34" i="183"/>
  <c r="C38" i="183" s="1"/>
  <c r="C42" i="183" s="1"/>
  <c r="B34" i="183"/>
  <c r="AD33" i="183"/>
  <c r="AR33" i="183" s="1"/>
  <c r="AC33" i="183"/>
  <c r="AQ33" i="183" s="1"/>
  <c r="AA33" i="183"/>
  <c r="AO33" i="183" s="1"/>
  <c r="Z33" i="183"/>
  <c r="AN33" i="183" s="1"/>
  <c r="Y33" i="183"/>
  <c r="AM33" i="183" s="1"/>
  <c r="X33" i="183"/>
  <c r="AL33" i="183" s="1"/>
  <c r="W33" i="183"/>
  <c r="AK33" i="183" s="1"/>
  <c r="V33" i="183"/>
  <c r="AJ33" i="183" s="1"/>
  <c r="U33" i="183"/>
  <c r="AI33" i="183" s="1"/>
  <c r="T33" i="183"/>
  <c r="AH33" i="183" s="1"/>
  <c r="S33" i="183"/>
  <c r="AG33" i="183" s="1"/>
  <c r="R33" i="183"/>
  <c r="AF33" i="183" s="1"/>
  <c r="Q33" i="183"/>
  <c r="AE33" i="183" s="1"/>
  <c r="N33" i="183"/>
  <c r="AB33" i="183" s="1"/>
  <c r="AP33" i="183" s="1"/>
  <c r="AC32" i="183"/>
  <c r="AQ32" i="183" s="1"/>
  <c r="AA32" i="183"/>
  <c r="AO32" i="183" s="1"/>
  <c r="Z32" i="183"/>
  <c r="AN32" i="183" s="1"/>
  <c r="Y32" i="183"/>
  <c r="AM32" i="183" s="1"/>
  <c r="X32" i="183"/>
  <c r="AL32" i="183" s="1"/>
  <c r="W32" i="183"/>
  <c r="AK32" i="183" s="1"/>
  <c r="V32" i="183"/>
  <c r="AJ32" i="183" s="1"/>
  <c r="U32" i="183"/>
  <c r="AI32" i="183" s="1"/>
  <c r="T32" i="183"/>
  <c r="AH32" i="183" s="1"/>
  <c r="S32" i="183"/>
  <c r="AG32" i="183" s="1"/>
  <c r="R32" i="183"/>
  <c r="AF32" i="183" s="1"/>
  <c r="Q32" i="183"/>
  <c r="AE32" i="183" s="1"/>
  <c r="P32" i="183"/>
  <c r="AD32" i="183" s="1"/>
  <c r="AR32" i="183" s="1"/>
  <c r="N32" i="183"/>
  <c r="AB32" i="183" s="1"/>
  <c r="AP32" i="183" s="1"/>
  <c r="N31" i="183"/>
  <c r="N30" i="183"/>
  <c r="M26" i="183"/>
  <c r="L26" i="183"/>
  <c r="K26" i="183"/>
  <c r="J26" i="183"/>
  <c r="I26" i="183"/>
  <c r="H26" i="183"/>
  <c r="G26" i="183"/>
  <c r="F26" i="183"/>
  <c r="E26" i="183"/>
  <c r="D26" i="183"/>
  <c r="C26" i="183"/>
  <c r="B26" i="183"/>
  <c r="M25" i="183"/>
  <c r="L25" i="183"/>
  <c r="K25" i="183"/>
  <c r="J25" i="183"/>
  <c r="I25" i="183"/>
  <c r="H25" i="183"/>
  <c r="G25" i="183"/>
  <c r="F25" i="183"/>
  <c r="E25" i="183"/>
  <c r="D25" i="183"/>
  <c r="C25" i="183"/>
  <c r="B25" i="183"/>
  <c r="M24" i="183"/>
  <c r="L24" i="183"/>
  <c r="K24" i="183"/>
  <c r="J24" i="183"/>
  <c r="I24" i="183"/>
  <c r="H24" i="183"/>
  <c r="G24" i="183"/>
  <c r="F24" i="183"/>
  <c r="E24" i="183"/>
  <c r="D24" i="183"/>
  <c r="C24" i="183"/>
  <c r="B24" i="183"/>
  <c r="M23" i="183"/>
  <c r="M27" i="183"/>
  <c r="L23" i="183"/>
  <c r="L27" i="183" s="1"/>
  <c r="K23" i="183"/>
  <c r="J23" i="183"/>
  <c r="I23" i="183"/>
  <c r="I27" i="183"/>
  <c r="H23" i="183"/>
  <c r="G23" i="183"/>
  <c r="F23" i="183"/>
  <c r="F27" i="183" s="1"/>
  <c r="E23" i="183"/>
  <c r="E27" i="183" s="1"/>
  <c r="D23" i="183"/>
  <c r="C23" i="183"/>
  <c r="B23" i="183"/>
  <c r="M20" i="183"/>
  <c r="L20" i="183"/>
  <c r="K20" i="183"/>
  <c r="J20" i="183"/>
  <c r="I20" i="183"/>
  <c r="H20" i="183"/>
  <c r="G20" i="183"/>
  <c r="F20" i="183"/>
  <c r="E20" i="183"/>
  <c r="D20" i="183"/>
  <c r="C20" i="183"/>
  <c r="B20" i="183"/>
  <c r="N19" i="183"/>
  <c r="N17" i="183"/>
  <c r="N16" i="183"/>
  <c r="N11" i="183"/>
  <c r="M9" i="183"/>
  <c r="M13" i="183" s="1"/>
  <c r="L9" i="183"/>
  <c r="L13" i="183" s="1"/>
  <c r="K9" i="183"/>
  <c r="K13" i="183" s="1"/>
  <c r="J9" i="183"/>
  <c r="J13" i="183" s="1"/>
  <c r="I9" i="183"/>
  <c r="I13" i="183" s="1"/>
  <c r="H9" i="183"/>
  <c r="H13" i="183" s="1"/>
  <c r="G9" i="183"/>
  <c r="G13" i="183" s="1"/>
  <c r="F9" i="183"/>
  <c r="F13" i="183" s="1"/>
  <c r="E9" i="183"/>
  <c r="E13" i="183" s="1"/>
  <c r="D9" i="183"/>
  <c r="D13" i="183" s="1"/>
  <c r="B9" i="183"/>
  <c r="B13" i="183" s="1"/>
  <c r="N8" i="183"/>
  <c r="N7" i="183"/>
  <c r="N6" i="183"/>
  <c r="N5" i="183"/>
  <c r="N4" i="183"/>
  <c r="C83" i="183"/>
  <c r="D83" i="183" s="1"/>
  <c r="E83" i="183" s="1"/>
  <c r="M87" i="182"/>
  <c r="L87" i="182"/>
  <c r="K87" i="182"/>
  <c r="J87" i="182"/>
  <c r="I87" i="182"/>
  <c r="H87" i="182"/>
  <c r="G87" i="182"/>
  <c r="F87" i="182"/>
  <c r="E87" i="182"/>
  <c r="D87" i="182"/>
  <c r="C87" i="182"/>
  <c r="B87" i="182"/>
  <c r="C88" i="182" s="1"/>
  <c r="M84" i="182"/>
  <c r="L84" i="182"/>
  <c r="K84" i="182"/>
  <c r="J84" i="182"/>
  <c r="I84" i="182"/>
  <c r="H84" i="182"/>
  <c r="G84" i="182"/>
  <c r="F84" i="182"/>
  <c r="E84" i="182"/>
  <c r="D84" i="182"/>
  <c r="C84" i="182"/>
  <c r="B84" i="182"/>
  <c r="B83" i="182"/>
  <c r="N82" i="182"/>
  <c r="N73" i="182"/>
  <c r="M58" i="182"/>
  <c r="L58" i="182"/>
  <c r="K58" i="182"/>
  <c r="J58" i="182"/>
  <c r="I58" i="182"/>
  <c r="H58" i="182"/>
  <c r="G58" i="182"/>
  <c r="F58" i="182"/>
  <c r="E58" i="182"/>
  <c r="D58" i="182"/>
  <c r="C58" i="182"/>
  <c r="N57" i="182"/>
  <c r="N56" i="182"/>
  <c r="N87" i="182" s="1"/>
  <c r="B55" i="182"/>
  <c r="N55" i="182" s="1"/>
  <c r="N54" i="182"/>
  <c r="N53" i="182"/>
  <c r="M46" i="182"/>
  <c r="L46" i="182"/>
  <c r="K46" i="182"/>
  <c r="J46" i="182"/>
  <c r="I46" i="182"/>
  <c r="H46" i="182"/>
  <c r="G46" i="182"/>
  <c r="F46" i="182"/>
  <c r="E46" i="182"/>
  <c r="D46" i="182"/>
  <c r="C46" i="182"/>
  <c r="C48" i="182" s="1"/>
  <c r="C61" i="182" s="1"/>
  <c r="B46" i="182"/>
  <c r="N45" i="182"/>
  <c r="N44" i="182"/>
  <c r="N41" i="182"/>
  <c r="N40" i="182"/>
  <c r="N37" i="182"/>
  <c r="M34" i="182"/>
  <c r="M38" i="182" s="1"/>
  <c r="M42" i="182" s="1"/>
  <c r="L34" i="182"/>
  <c r="L38" i="182" s="1"/>
  <c r="L42" i="182" s="1"/>
  <c r="K34" i="182"/>
  <c r="K38" i="182" s="1"/>
  <c r="K42" i="182" s="1"/>
  <c r="J34" i="182"/>
  <c r="J38" i="182" s="1"/>
  <c r="J42" i="182" s="1"/>
  <c r="I34" i="182"/>
  <c r="I38" i="182" s="1"/>
  <c r="I42" i="182" s="1"/>
  <c r="H34" i="182"/>
  <c r="H38" i="182" s="1"/>
  <c r="H42" i="182" s="1"/>
  <c r="G34" i="182"/>
  <c r="G38" i="182" s="1"/>
  <c r="G42" i="182" s="1"/>
  <c r="F34" i="182"/>
  <c r="F38" i="182" s="1"/>
  <c r="F42" i="182" s="1"/>
  <c r="E34" i="182"/>
  <c r="E38" i="182" s="1"/>
  <c r="E42" i="182" s="1"/>
  <c r="D34" i="182"/>
  <c r="D38" i="182" s="1"/>
  <c r="D42" i="182" s="1"/>
  <c r="C34" i="182"/>
  <c r="C38" i="182" s="1"/>
  <c r="C42" i="182" s="1"/>
  <c r="B34" i="182"/>
  <c r="B38" i="182" s="1"/>
  <c r="AD33" i="182"/>
  <c r="AR33" i="182" s="1"/>
  <c r="AC33" i="182"/>
  <c r="AQ33" i="182" s="1"/>
  <c r="AA33" i="182"/>
  <c r="AO33" i="182" s="1"/>
  <c r="Z33" i="182"/>
  <c r="AN33" i="182" s="1"/>
  <c r="Y33" i="182"/>
  <c r="AM33" i="182" s="1"/>
  <c r="X33" i="182"/>
  <c r="AL33" i="182" s="1"/>
  <c r="W33" i="182"/>
  <c r="AK33" i="182" s="1"/>
  <c r="V33" i="182"/>
  <c r="AJ33" i="182" s="1"/>
  <c r="U33" i="182"/>
  <c r="AI33" i="182" s="1"/>
  <c r="T33" i="182"/>
  <c r="AH33" i="182" s="1"/>
  <c r="S33" i="182"/>
  <c r="AG33" i="182" s="1"/>
  <c r="R33" i="182"/>
  <c r="AF33" i="182" s="1"/>
  <c r="Q33" i="182"/>
  <c r="AE33" i="182" s="1"/>
  <c r="N33" i="182"/>
  <c r="AB33" i="182" s="1"/>
  <c r="AP33" i="182" s="1"/>
  <c r="AC32" i="182"/>
  <c r="AQ32" i="182" s="1"/>
  <c r="AA32" i="182"/>
  <c r="AO32" i="182" s="1"/>
  <c r="Z32" i="182"/>
  <c r="AN32" i="182" s="1"/>
  <c r="Y32" i="182"/>
  <c r="AM32" i="182" s="1"/>
  <c r="X32" i="182"/>
  <c r="AL32" i="182" s="1"/>
  <c r="W32" i="182"/>
  <c r="AK32" i="182" s="1"/>
  <c r="V32" i="182"/>
  <c r="AJ32" i="182" s="1"/>
  <c r="U32" i="182"/>
  <c r="AI32" i="182" s="1"/>
  <c r="T32" i="182"/>
  <c r="AH32" i="182" s="1"/>
  <c r="S32" i="182"/>
  <c r="AG32" i="182" s="1"/>
  <c r="R32" i="182"/>
  <c r="AF32" i="182" s="1"/>
  <c r="Q32" i="182"/>
  <c r="AE32" i="182" s="1"/>
  <c r="P32" i="182"/>
  <c r="AD32" i="182" s="1"/>
  <c r="AR32" i="182" s="1"/>
  <c r="N32" i="182"/>
  <c r="AB32" i="182" s="1"/>
  <c r="AP32" i="182" s="1"/>
  <c r="N31" i="182"/>
  <c r="N30" i="182"/>
  <c r="M26" i="182"/>
  <c r="L26" i="182"/>
  <c r="K26" i="182"/>
  <c r="J26" i="182"/>
  <c r="I26" i="182"/>
  <c r="H26" i="182"/>
  <c r="G26" i="182"/>
  <c r="F26" i="182"/>
  <c r="E26" i="182"/>
  <c r="D26" i="182"/>
  <c r="C26" i="182"/>
  <c r="B26" i="182"/>
  <c r="M25" i="182"/>
  <c r="L25" i="182"/>
  <c r="K25" i="182"/>
  <c r="J25" i="182"/>
  <c r="I25" i="182"/>
  <c r="H25" i="182"/>
  <c r="G25" i="182"/>
  <c r="F25" i="182"/>
  <c r="E25" i="182"/>
  <c r="D25" i="182"/>
  <c r="C25" i="182"/>
  <c r="B25" i="182"/>
  <c r="M24" i="182"/>
  <c r="L24" i="182"/>
  <c r="K24" i="182"/>
  <c r="J24" i="182"/>
  <c r="I24" i="182"/>
  <c r="H24" i="182"/>
  <c r="G24" i="182"/>
  <c r="F24" i="182"/>
  <c r="E24" i="182"/>
  <c r="D24" i="182"/>
  <c r="C24" i="182"/>
  <c r="B24" i="182"/>
  <c r="M23" i="182"/>
  <c r="M27" i="182" s="1"/>
  <c r="L23" i="182"/>
  <c r="L27" i="182" s="1"/>
  <c r="K23" i="182"/>
  <c r="J23" i="182"/>
  <c r="J27" i="182" s="1"/>
  <c r="I23" i="182"/>
  <c r="H23" i="182"/>
  <c r="G23" i="182"/>
  <c r="F23" i="182"/>
  <c r="F27" i="182" s="1"/>
  <c r="E23" i="182"/>
  <c r="E27" i="182" s="1"/>
  <c r="D23" i="182"/>
  <c r="D27" i="182" s="1"/>
  <c r="C23" i="182"/>
  <c r="B23" i="182"/>
  <c r="B27" i="182" s="1"/>
  <c r="M20" i="182"/>
  <c r="L20" i="182"/>
  <c r="K20" i="182"/>
  <c r="J20" i="182"/>
  <c r="I20" i="182"/>
  <c r="H20" i="182"/>
  <c r="G20" i="182"/>
  <c r="F20" i="182"/>
  <c r="E20" i="182"/>
  <c r="D20" i="182"/>
  <c r="C20" i="182"/>
  <c r="B20" i="182"/>
  <c r="N19" i="182"/>
  <c r="N17" i="182"/>
  <c r="N16" i="182"/>
  <c r="N11" i="182"/>
  <c r="M9" i="182"/>
  <c r="M13" i="182" s="1"/>
  <c r="L9" i="182"/>
  <c r="L13" i="182" s="1"/>
  <c r="K9" i="182"/>
  <c r="K13" i="182" s="1"/>
  <c r="J9" i="182"/>
  <c r="J13" i="182"/>
  <c r="I9" i="182"/>
  <c r="I13" i="182" s="1"/>
  <c r="H9" i="182"/>
  <c r="H13" i="182"/>
  <c r="G9" i="182"/>
  <c r="G13" i="182" s="1"/>
  <c r="F9" i="182"/>
  <c r="F13" i="182" s="1"/>
  <c r="E9" i="182"/>
  <c r="E13" i="182" s="1"/>
  <c r="D9" i="182"/>
  <c r="D13" i="182" s="1"/>
  <c r="C9" i="182"/>
  <c r="C13" i="182" s="1"/>
  <c r="B9" i="182"/>
  <c r="B13" i="182" s="1"/>
  <c r="N8" i="182"/>
  <c r="N7" i="182"/>
  <c r="N6" i="182"/>
  <c r="N5" i="182"/>
  <c r="N4" i="182"/>
  <c r="G48" i="182"/>
  <c r="G61" i="182" s="1"/>
  <c r="B55" i="181"/>
  <c r="B58" i="181" s="1"/>
  <c r="AD33" i="181"/>
  <c r="AR33" i="181" s="1"/>
  <c r="AC33" i="181"/>
  <c r="AQ33" i="181" s="1"/>
  <c r="AA33" i="181"/>
  <c r="AO33" i="181" s="1"/>
  <c r="Z33" i="181"/>
  <c r="AN33" i="181" s="1"/>
  <c r="Y33" i="181"/>
  <c r="AM33" i="181" s="1"/>
  <c r="X33" i="181"/>
  <c r="AL33" i="181" s="1"/>
  <c r="W33" i="181"/>
  <c r="AK33" i="181" s="1"/>
  <c r="V33" i="181"/>
  <c r="AJ33" i="181" s="1"/>
  <c r="U33" i="181"/>
  <c r="AI33" i="181" s="1"/>
  <c r="T33" i="181"/>
  <c r="AH33" i="181"/>
  <c r="S33" i="181"/>
  <c r="AG33" i="181" s="1"/>
  <c r="R33" i="181"/>
  <c r="AF33" i="181"/>
  <c r="Q33" i="181"/>
  <c r="AE33" i="181" s="1"/>
  <c r="AC32" i="181"/>
  <c r="AQ32" i="181" s="1"/>
  <c r="AA32" i="181"/>
  <c r="AO32" i="181" s="1"/>
  <c r="Z32" i="181"/>
  <c r="AN32" i="181" s="1"/>
  <c r="Y32" i="181"/>
  <c r="AM32" i="181" s="1"/>
  <c r="X32" i="181"/>
  <c r="AL32" i="181" s="1"/>
  <c r="W32" i="181"/>
  <c r="AK32" i="181" s="1"/>
  <c r="V32" i="181"/>
  <c r="AJ32" i="181" s="1"/>
  <c r="U32" i="181"/>
  <c r="AI32" i="181" s="1"/>
  <c r="T32" i="181"/>
  <c r="AH32" i="181" s="1"/>
  <c r="S32" i="181"/>
  <c r="AG32" i="181" s="1"/>
  <c r="R32" i="181"/>
  <c r="AF32" i="181" s="1"/>
  <c r="Q32" i="181"/>
  <c r="AE32" i="181" s="1"/>
  <c r="P32" i="181"/>
  <c r="AD32" i="181"/>
  <c r="AR32" i="181" s="1"/>
  <c r="N40" i="181"/>
  <c r="J87" i="181"/>
  <c r="I87" i="181"/>
  <c r="G87" i="181"/>
  <c r="E87" i="181"/>
  <c r="B87" i="181"/>
  <c r="M84" i="181"/>
  <c r="L84" i="181"/>
  <c r="K84" i="181"/>
  <c r="J84" i="181"/>
  <c r="I84" i="181"/>
  <c r="H84" i="181"/>
  <c r="G84" i="181"/>
  <c r="F84" i="181"/>
  <c r="E84" i="181"/>
  <c r="D84" i="181"/>
  <c r="C84" i="181"/>
  <c r="B84" i="181"/>
  <c r="B83" i="181"/>
  <c r="C83" i="181" s="1"/>
  <c r="D83" i="181" s="1"/>
  <c r="N82" i="181"/>
  <c r="N73" i="181"/>
  <c r="K58" i="181"/>
  <c r="J58" i="181"/>
  <c r="G58" i="181"/>
  <c r="E58" i="181"/>
  <c r="C58" i="181"/>
  <c r="N57" i="181"/>
  <c r="M58" i="181"/>
  <c r="L87" i="181"/>
  <c r="K87" i="181"/>
  <c r="I58" i="181"/>
  <c r="H87" i="181"/>
  <c r="F58" i="181"/>
  <c r="D87" i="181"/>
  <c r="C87" i="181"/>
  <c r="N54" i="181"/>
  <c r="N53" i="181"/>
  <c r="M46" i="181"/>
  <c r="L46" i="181"/>
  <c r="K46" i="181"/>
  <c r="J46" i="181"/>
  <c r="I46" i="181"/>
  <c r="H46" i="181"/>
  <c r="G46" i="181"/>
  <c r="F46" i="181"/>
  <c r="E46" i="181"/>
  <c r="D46" i="181"/>
  <c r="C46" i="181"/>
  <c r="B46" i="181"/>
  <c r="N45" i="181"/>
  <c r="N44" i="181"/>
  <c r="N41" i="181"/>
  <c r="N37" i="181"/>
  <c r="M34" i="181"/>
  <c r="M38" i="181" s="1"/>
  <c r="M42" i="181" s="1"/>
  <c r="L34" i="181"/>
  <c r="L38" i="181"/>
  <c r="L42" i="181" s="1"/>
  <c r="K34" i="181"/>
  <c r="K38" i="181" s="1"/>
  <c r="K42" i="181" s="1"/>
  <c r="J34" i="181"/>
  <c r="J38" i="181" s="1"/>
  <c r="J42" i="181" s="1"/>
  <c r="I34" i="181"/>
  <c r="I38" i="181" s="1"/>
  <c r="I42" i="181" s="1"/>
  <c r="H34" i="181"/>
  <c r="H38" i="181"/>
  <c r="H42" i="181" s="1"/>
  <c r="G34" i="181"/>
  <c r="G38" i="181" s="1"/>
  <c r="G42" i="181" s="1"/>
  <c r="F34" i="181"/>
  <c r="F38" i="181" s="1"/>
  <c r="F42" i="181" s="1"/>
  <c r="E34" i="181"/>
  <c r="E38" i="181" s="1"/>
  <c r="E42" i="181" s="1"/>
  <c r="D34" i="181"/>
  <c r="D38" i="181" s="1"/>
  <c r="D42" i="181" s="1"/>
  <c r="C34" i="181"/>
  <c r="C38" i="181"/>
  <c r="C42" i="181" s="1"/>
  <c r="C48" i="181" s="1"/>
  <c r="C61" i="181" s="1"/>
  <c r="B34" i="181"/>
  <c r="B38" i="181" s="1"/>
  <c r="B42" i="181" s="1"/>
  <c r="N33" i="181"/>
  <c r="AB33" i="181" s="1"/>
  <c r="AP33" i="181" s="1"/>
  <c r="N32" i="181"/>
  <c r="AB32" i="181"/>
  <c r="AP32" i="181"/>
  <c r="N31" i="181"/>
  <c r="N30" i="181"/>
  <c r="M26" i="181"/>
  <c r="L26" i="181"/>
  <c r="K26" i="181"/>
  <c r="J26" i="181"/>
  <c r="I26" i="181"/>
  <c r="H26" i="181"/>
  <c r="G26" i="181"/>
  <c r="F26" i="181"/>
  <c r="E26" i="181"/>
  <c r="D26" i="181"/>
  <c r="C26" i="181"/>
  <c r="B26" i="181"/>
  <c r="M25" i="181"/>
  <c r="L25" i="181"/>
  <c r="K25" i="181"/>
  <c r="J25" i="181"/>
  <c r="I25" i="181"/>
  <c r="H25" i="181"/>
  <c r="G25" i="181"/>
  <c r="F25" i="181"/>
  <c r="E25" i="181"/>
  <c r="D25" i="181"/>
  <c r="C25" i="181"/>
  <c r="B25" i="181"/>
  <c r="M24" i="181"/>
  <c r="L24" i="181"/>
  <c r="K24" i="181"/>
  <c r="J24" i="181"/>
  <c r="I24" i="181"/>
  <c r="H24" i="181"/>
  <c r="G24" i="181"/>
  <c r="F24" i="181"/>
  <c r="E24" i="181"/>
  <c r="D24" i="181"/>
  <c r="C24" i="181"/>
  <c r="B24" i="181"/>
  <c r="M23" i="181"/>
  <c r="M27" i="181"/>
  <c r="L23" i="181"/>
  <c r="L27" i="181" s="1"/>
  <c r="K23" i="181"/>
  <c r="J23" i="181"/>
  <c r="I23" i="181"/>
  <c r="I27" i="181"/>
  <c r="H23" i="181"/>
  <c r="G23" i="181"/>
  <c r="F23" i="181"/>
  <c r="E23" i="181"/>
  <c r="E27" i="181" s="1"/>
  <c r="D23" i="181"/>
  <c r="C23" i="181"/>
  <c r="B23" i="181"/>
  <c r="M20" i="181"/>
  <c r="L20" i="181"/>
  <c r="K20" i="181"/>
  <c r="J20" i="181"/>
  <c r="J48" i="181" s="1"/>
  <c r="J61" i="181" s="1"/>
  <c r="I20" i="181"/>
  <c r="H20" i="181"/>
  <c r="G20" i="181"/>
  <c r="F20" i="181"/>
  <c r="F48" i="181" s="1"/>
  <c r="E20" i="181"/>
  <c r="D20" i="181"/>
  <c r="C20" i="181"/>
  <c r="B20" i="181"/>
  <c r="N19" i="181"/>
  <c r="N17" i="181"/>
  <c r="N16" i="181"/>
  <c r="N11" i="181"/>
  <c r="M9" i="181"/>
  <c r="M13" i="181" s="1"/>
  <c r="L9" i="181"/>
  <c r="L13" i="181" s="1"/>
  <c r="K9" i="181"/>
  <c r="K13" i="181" s="1"/>
  <c r="J9" i="181"/>
  <c r="J13" i="181" s="1"/>
  <c r="I9" i="181"/>
  <c r="I13" i="181" s="1"/>
  <c r="H9" i="181"/>
  <c r="H13" i="181" s="1"/>
  <c r="G9" i="181"/>
  <c r="G13" i="181" s="1"/>
  <c r="F9" i="181"/>
  <c r="F13" i="181" s="1"/>
  <c r="E9" i="181"/>
  <c r="E13" i="181" s="1"/>
  <c r="D9" i="181"/>
  <c r="D13" i="181" s="1"/>
  <c r="C9" i="181"/>
  <c r="C13" i="181" s="1"/>
  <c r="B9" i="181"/>
  <c r="B13" i="181" s="1"/>
  <c r="N8" i="181"/>
  <c r="N7" i="181"/>
  <c r="N6" i="181"/>
  <c r="N5" i="181"/>
  <c r="N4" i="181"/>
  <c r="M55" i="180"/>
  <c r="M11" i="180"/>
  <c r="J86" i="180"/>
  <c r="G86" i="180"/>
  <c r="E86" i="180"/>
  <c r="B86" i="180"/>
  <c r="M83" i="180"/>
  <c r="L83" i="180"/>
  <c r="K83" i="180"/>
  <c r="J83" i="180"/>
  <c r="I83" i="180"/>
  <c r="H83" i="180"/>
  <c r="G83" i="180"/>
  <c r="F83" i="180"/>
  <c r="E83" i="180"/>
  <c r="D83" i="180"/>
  <c r="C83" i="180"/>
  <c r="B83" i="180"/>
  <c r="B82" i="180"/>
  <c r="N81" i="180"/>
  <c r="N72" i="180"/>
  <c r="J57" i="180"/>
  <c r="G57" i="180"/>
  <c r="E57" i="180"/>
  <c r="N56" i="180"/>
  <c r="M86" i="180"/>
  <c r="L55" i="180"/>
  <c r="K55" i="180"/>
  <c r="K57" i="180" s="1"/>
  <c r="I55" i="180"/>
  <c r="H55" i="180"/>
  <c r="H86" i="180" s="1"/>
  <c r="F55" i="180"/>
  <c r="F57" i="180" s="1"/>
  <c r="D55" i="180"/>
  <c r="D86" i="180" s="1"/>
  <c r="C55" i="180"/>
  <c r="B54" i="180"/>
  <c r="N54" i="180"/>
  <c r="N53" i="180"/>
  <c r="P52" i="180"/>
  <c r="N52" i="180"/>
  <c r="L45" i="180"/>
  <c r="K45" i="180"/>
  <c r="J45" i="180"/>
  <c r="I45" i="180"/>
  <c r="H45" i="180"/>
  <c r="G45" i="180"/>
  <c r="F45" i="180"/>
  <c r="E45" i="180"/>
  <c r="D45" i="180"/>
  <c r="C45" i="180"/>
  <c r="B45" i="180"/>
  <c r="M44" i="180"/>
  <c r="M45" i="180" s="1"/>
  <c r="N43" i="180"/>
  <c r="N40" i="180"/>
  <c r="N39" i="180"/>
  <c r="N37" i="180"/>
  <c r="P37" i="180" s="1"/>
  <c r="M34" i="180"/>
  <c r="M38" i="180" s="1"/>
  <c r="M41" i="180" s="1"/>
  <c r="L34" i="180"/>
  <c r="K34" i="180"/>
  <c r="J34" i="180"/>
  <c r="J38" i="180" s="1"/>
  <c r="J41" i="180" s="1"/>
  <c r="I34" i="180"/>
  <c r="I38" i="180"/>
  <c r="I41" i="180" s="1"/>
  <c r="H34" i="180"/>
  <c r="G34" i="180"/>
  <c r="G38" i="180" s="1"/>
  <c r="G41" i="180" s="1"/>
  <c r="F34" i="180"/>
  <c r="F38" i="180" s="1"/>
  <c r="F41" i="180" s="1"/>
  <c r="F47" i="180" s="1"/>
  <c r="E34" i="180"/>
  <c r="E38" i="180" s="1"/>
  <c r="E41" i="180" s="1"/>
  <c r="D34" i="180"/>
  <c r="C34" i="180"/>
  <c r="C38" i="180" s="1"/>
  <c r="C41" i="180" s="1"/>
  <c r="B34" i="180"/>
  <c r="B38" i="180" s="1"/>
  <c r="B41" i="180" s="1"/>
  <c r="B47" i="180" s="1"/>
  <c r="N33" i="180"/>
  <c r="N32" i="180"/>
  <c r="N31" i="180"/>
  <c r="N30" i="180"/>
  <c r="M26" i="180"/>
  <c r="L26" i="180"/>
  <c r="K26" i="180"/>
  <c r="J26" i="180"/>
  <c r="I26" i="180"/>
  <c r="H26" i="180"/>
  <c r="G26" i="180"/>
  <c r="F26" i="180"/>
  <c r="E26" i="180"/>
  <c r="D26" i="180"/>
  <c r="C26" i="180"/>
  <c r="B26" i="180"/>
  <c r="M25" i="180"/>
  <c r="L25" i="180"/>
  <c r="K25" i="180"/>
  <c r="J25" i="180"/>
  <c r="I25" i="180"/>
  <c r="H25" i="180"/>
  <c r="G25" i="180"/>
  <c r="F25" i="180"/>
  <c r="E25" i="180"/>
  <c r="D25" i="180"/>
  <c r="C25" i="180"/>
  <c r="B25" i="180"/>
  <c r="M24" i="180"/>
  <c r="L24" i="180"/>
  <c r="K24" i="180"/>
  <c r="J24" i="180"/>
  <c r="I24" i="180"/>
  <c r="H24" i="180"/>
  <c r="G24" i="180"/>
  <c r="F24" i="180"/>
  <c r="E24" i="180"/>
  <c r="D24" i="180"/>
  <c r="C24" i="180"/>
  <c r="B24" i="180"/>
  <c r="M23" i="180"/>
  <c r="M27" i="180" s="1"/>
  <c r="L23" i="180"/>
  <c r="L27" i="180"/>
  <c r="K23" i="180"/>
  <c r="J23" i="180"/>
  <c r="I23" i="180"/>
  <c r="H23" i="180"/>
  <c r="H27" i="180"/>
  <c r="G23" i="180"/>
  <c r="F23" i="180"/>
  <c r="E23" i="180"/>
  <c r="D23" i="180"/>
  <c r="D27" i="180"/>
  <c r="C23" i="180"/>
  <c r="B23" i="180"/>
  <c r="M20" i="180"/>
  <c r="L20" i="180"/>
  <c r="K20" i="180"/>
  <c r="J20" i="180"/>
  <c r="I20" i="180"/>
  <c r="H20" i="180"/>
  <c r="G20" i="180"/>
  <c r="F20" i="180"/>
  <c r="E20" i="180"/>
  <c r="D20" i="180"/>
  <c r="C20" i="180"/>
  <c r="B20" i="180"/>
  <c r="N19" i="180"/>
  <c r="N17" i="180"/>
  <c r="N16" i="180"/>
  <c r="L11" i="180"/>
  <c r="C11" i="180"/>
  <c r="B11" i="180"/>
  <c r="M9" i="180"/>
  <c r="L9" i="180"/>
  <c r="L13" i="180" s="1"/>
  <c r="K9" i="180"/>
  <c r="K13" i="180" s="1"/>
  <c r="J9" i="180"/>
  <c r="J13" i="180" s="1"/>
  <c r="I9" i="180"/>
  <c r="I13" i="180" s="1"/>
  <c r="H9" i="180"/>
  <c r="H13" i="180" s="1"/>
  <c r="G9" i="180"/>
  <c r="G13" i="180" s="1"/>
  <c r="F9" i="180"/>
  <c r="F13" i="180"/>
  <c r="E9" i="180"/>
  <c r="E13" i="180" s="1"/>
  <c r="D9" i="180"/>
  <c r="D13" i="180"/>
  <c r="C9" i="180"/>
  <c r="B9" i="180"/>
  <c r="N8" i="180"/>
  <c r="N7" i="180"/>
  <c r="N6" i="180"/>
  <c r="N5" i="180"/>
  <c r="N4" i="180"/>
  <c r="N44" i="180"/>
  <c r="H57" i="180"/>
  <c r="M87" i="181"/>
  <c r="N56" i="181"/>
  <c r="N87" i="181" s="1"/>
  <c r="D58" i="181"/>
  <c r="H58" i="181"/>
  <c r="L58" i="181"/>
  <c r="F87" i="181"/>
  <c r="M57" i="180"/>
  <c r="K86" i="180"/>
  <c r="B57" i="180"/>
  <c r="H27" i="213" l="1"/>
  <c r="H28" i="213" s="1"/>
  <c r="K61" i="214"/>
  <c r="K62" i="214" s="1"/>
  <c r="K72" i="214" s="1"/>
  <c r="C47" i="180"/>
  <c r="G27" i="181"/>
  <c r="N25" i="181"/>
  <c r="N34" i="181"/>
  <c r="N25" i="182"/>
  <c r="N20" i="188"/>
  <c r="N34" i="190"/>
  <c r="D58" i="194"/>
  <c r="F83" i="198"/>
  <c r="F85" i="198" s="1"/>
  <c r="N26" i="197"/>
  <c r="M28" i="198"/>
  <c r="N11" i="199"/>
  <c r="L27" i="199"/>
  <c r="L28" i="199" s="1"/>
  <c r="D48" i="200"/>
  <c r="F27" i="202"/>
  <c r="N20" i="204"/>
  <c r="I13" i="206"/>
  <c r="G48" i="208"/>
  <c r="G61" i="208" s="1"/>
  <c r="E13" i="208"/>
  <c r="M46" i="213"/>
  <c r="L48" i="213"/>
  <c r="L50" i="213" s="1"/>
  <c r="J47" i="180"/>
  <c r="B48" i="181"/>
  <c r="F27" i="181"/>
  <c r="M48" i="181"/>
  <c r="M61" i="181" s="1"/>
  <c r="I48" i="190"/>
  <c r="I61" i="190" s="1"/>
  <c r="K48" i="192"/>
  <c r="K61" i="192" s="1"/>
  <c r="M84" i="194"/>
  <c r="C48" i="196"/>
  <c r="C61" i="196" s="1"/>
  <c r="J48" i="199"/>
  <c r="J61" i="199" s="1"/>
  <c r="N11" i="200"/>
  <c r="H88" i="200"/>
  <c r="I88" i="200" s="1"/>
  <c r="J88" i="200" s="1"/>
  <c r="K88" i="200" s="1"/>
  <c r="L88" i="200" s="1"/>
  <c r="M88" i="200" s="1"/>
  <c r="H48" i="202"/>
  <c r="H61" i="202" s="1"/>
  <c r="M28" i="206"/>
  <c r="N25" i="206"/>
  <c r="N46" i="209"/>
  <c r="K28" i="211"/>
  <c r="I48" i="212"/>
  <c r="J27" i="180"/>
  <c r="M13" i="180"/>
  <c r="C48" i="185"/>
  <c r="E87" i="186"/>
  <c r="E27" i="189"/>
  <c r="D48" i="192"/>
  <c r="D61" i="192" s="1"/>
  <c r="C87" i="193"/>
  <c r="D85" i="198"/>
  <c r="G13" i="203"/>
  <c r="I27" i="203"/>
  <c r="J27" i="204"/>
  <c r="F48" i="204"/>
  <c r="F27" i="206"/>
  <c r="F28" i="206" s="1"/>
  <c r="F28" i="207"/>
  <c r="D13" i="208"/>
  <c r="C48" i="208"/>
  <c r="C61" i="208" s="1"/>
  <c r="H28" i="212"/>
  <c r="C85" i="198"/>
  <c r="H27" i="182"/>
  <c r="N34" i="183"/>
  <c r="C87" i="184"/>
  <c r="K27" i="184"/>
  <c r="D48" i="185"/>
  <c r="N26" i="187"/>
  <c r="J27" i="188"/>
  <c r="I48" i="188"/>
  <c r="I61" i="188" s="1"/>
  <c r="H27" i="193"/>
  <c r="H13" i="194"/>
  <c r="N46" i="195"/>
  <c r="B27" i="197"/>
  <c r="J27" i="197"/>
  <c r="C27" i="200"/>
  <c r="N34" i="200"/>
  <c r="D13" i="201"/>
  <c r="D27" i="201"/>
  <c r="L27" i="201"/>
  <c r="M27" i="202"/>
  <c r="F13" i="205"/>
  <c r="J27" i="205"/>
  <c r="J28" i="205" s="1"/>
  <c r="K48" i="207"/>
  <c r="K61" i="207" s="1"/>
  <c r="K62" i="207" s="1"/>
  <c r="K72" i="207" s="1"/>
  <c r="H27" i="208"/>
  <c r="K27" i="209"/>
  <c r="M27" i="211"/>
  <c r="I27" i="211"/>
  <c r="I28" i="211" s="1"/>
  <c r="D27" i="213"/>
  <c r="D28" i="213" s="1"/>
  <c r="K27" i="181"/>
  <c r="N26" i="181"/>
  <c r="N55" i="181"/>
  <c r="N58" i="181" s="1"/>
  <c r="L48" i="185"/>
  <c r="L61" i="185" s="1"/>
  <c r="D48" i="187"/>
  <c r="E87" i="189"/>
  <c r="K48" i="193"/>
  <c r="E28" i="199"/>
  <c r="N9" i="202"/>
  <c r="N55" i="205"/>
  <c r="E13" i="206"/>
  <c r="H13" i="207"/>
  <c r="I13" i="208"/>
  <c r="K48" i="208"/>
  <c r="D27" i="190"/>
  <c r="M48" i="190"/>
  <c r="M61" i="190" s="1"/>
  <c r="B48" i="192"/>
  <c r="N46" i="192"/>
  <c r="N20" i="200"/>
  <c r="C27" i="202"/>
  <c r="L28" i="203"/>
  <c r="L28" i="206"/>
  <c r="N26" i="206"/>
  <c r="L48" i="208"/>
  <c r="F48" i="212"/>
  <c r="F61" i="212" s="1"/>
  <c r="N20" i="181"/>
  <c r="J27" i="181"/>
  <c r="E58" i="185"/>
  <c r="H13" i="188"/>
  <c r="I27" i="189"/>
  <c r="E27" i="203"/>
  <c r="C27" i="204"/>
  <c r="F27" i="204"/>
  <c r="F28" i="204" s="1"/>
  <c r="N25" i="204"/>
  <c r="M28" i="205"/>
  <c r="J13" i="206"/>
  <c r="B27" i="206"/>
  <c r="B28" i="207"/>
  <c r="K28" i="208"/>
  <c r="N26" i="209"/>
  <c r="L48" i="211"/>
  <c r="L61" i="211" s="1"/>
  <c r="L62" i="211" s="1"/>
  <c r="L72" i="211" s="1"/>
  <c r="N46" i="213"/>
  <c r="M27" i="201"/>
  <c r="F28" i="201"/>
  <c r="B61" i="181"/>
  <c r="N11" i="201"/>
  <c r="B13" i="201"/>
  <c r="G61" i="214"/>
  <c r="G62" i="214" s="1"/>
  <c r="G72" i="214" s="1"/>
  <c r="G50" i="214"/>
  <c r="N9" i="184"/>
  <c r="N13" i="184" s="1"/>
  <c r="F48" i="184"/>
  <c r="F61" i="184" s="1"/>
  <c r="F87" i="187"/>
  <c r="N57" i="187"/>
  <c r="N56" i="188"/>
  <c r="N57" i="190"/>
  <c r="F58" i="190"/>
  <c r="D85" i="195"/>
  <c r="E83" i="195"/>
  <c r="B85" i="196"/>
  <c r="C83" i="196"/>
  <c r="N55" i="196"/>
  <c r="B58" i="196"/>
  <c r="N23" i="201"/>
  <c r="C61" i="214"/>
  <c r="C62" i="214" s="1"/>
  <c r="C72" i="214" s="1"/>
  <c r="C50" i="214"/>
  <c r="I27" i="182"/>
  <c r="C27" i="187"/>
  <c r="N11" i="188"/>
  <c r="F13" i="188"/>
  <c r="C83" i="188"/>
  <c r="B85" i="188"/>
  <c r="B60" i="180"/>
  <c r="B61" i="180" s="1"/>
  <c r="B27" i="180"/>
  <c r="B85" i="181"/>
  <c r="I48" i="182"/>
  <c r="I61" i="182" s="1"/>
  <c r="I62" i="182" s="1"/>
  <c r="I72" i="182" s="1"/>
  <c r="G27" i="183"/>
  <c r="G48" i="184"/>
  <c r="C27" i="185"/>
  <c r="N26" i="185"/>
  <c r="E88" i="186"/>
  <c r="N24" i="186"/>
  <c r="D85" i="189"/>
  <c r="E83" i="189"/>
  <c r="F83" i="189" s="1"/>
  <c r="G83" i="189" s="1"/>
  <c r="H83" i="189" s="1"/>
  <c r="H85" i="189" s="1"/>
  <c r="G27" i="203"/>
  <c r="G28" i="203" s="1"/>
  <c r="J48" i="206"/>
  <c r="B27" i="209"/>
  <c r="D48" i="212"/>
  <c r="D61" i="212" s="1"/>
  <c r="G50" i="182"/>
  <c r="D83" i="186"/>
  <c r="C85" i="186"/>
  <c r="N20" i="180"/>
  <c r="D85" i="181"/>
  <c r="E27" i="180"/>
  <c r="N23" i="182"/>
  <c r="E48" i="182"/>
  <c r="E61" i="182" s="1"/>
  <c r="E62" i="182" s="1"/>
  <c r="E72" i="182" s="1"/>
  <c r="C27" i="183"/>
  <c r="C48" i="184"/>
  <c r="C61" i="184" s="1"/>
  <c r="C88" i="184"/>
  <c r="N9" i="185"/>
  <c r="N13" i="185" s="1"/>
  <c r="N20" i="185"/>
  <c r="I27" i="185"/>
  <c r="B58" i="185"/>
  <c r="N55" i="185"/>
  <c r="N34" i="186"/>
  <c r="N20" i="186"/>
  <c r="N25" i="186"/>
  <c r="F86" i="180"/>
  <c r="B13" i="180"/>
  <c r="F27" i="180"/>
  <c r="M50" i="181"/>
  <c r="D27" i="181"/>
  <c r="H27" i="181"/>
  <c r="N46" i="181"/>
  <c r="C85" i="181"/>
  <c r="B58" i="182"/>
  <c r="M48" i="182"/>
  <c r="M61" i="182" s="1"/>
  <c r="N46" i="182"/>
  <c r="N9" i="183"/>
  <c r="N13" i="183" s="1"/>
  <c r="D27" i="184"/>
  <c r="N55" i="186"/>
  <c r="N9" i="186"/>
  <c r="N13" i="186" s="1"/>
  <c r="F58" i="187"/>
  <c r="N9" i="187"/>
  <c r="N13" i="187" s="1"/>
  <c r="J48" i="187"/>
  <c r="J61" i="187" s="1"/>
  <c r="E48" i="188"/>
  <c r="E50" i="188" s="1"/>
  <c r="L48" i="188"/>
  <c r="L61" i="188" s="1"/>
  <c r="L62" i="188" s="1"/>
  <c r="L72" i="188" s="1"/>
  <c r="D58" i="188"/>
  <c r="G48" i="198"/>
  <c r="G61" i="198" s="1"/>
  <c r="L48" i="200"/>
  <c r="L61" i="200" s="1"/>
  <c r="L62" i="200" s="1"/>
  <c r="L72" i="200" s="1"/>
  <c r="N26" i="205"/>
  <c r="N34" i="205"/>
  <c r="K48" i="206"/>
  <c r="N9" i="182"/>
  <c r="N13" i="182" s="1"/>
  <c r="N58" i="182"/>
  <c r="H27" i="183"/>
  <c r="K27" i="183"/>
  <c r="M48" i="183"/>
  <c r="N46" i="183"/>
  <c r="L48" i="184"/>
  <c r="L61" i="184" s="1"/>
  <c r="B27" i="184"/>
  <c r="N25" i="184"/>
  <c r="N26" i="184"/>
  <c r="N34" i="184"/>
  <c r="J48" i="186"/>
  <c r="J61" i="186" s="1"/>
  <c r="J62" i="186" s="1"/>
  <c r="J72" i="186" s="1"/>
  <c r="E48" i="187"/>
  <c r="E50" i="187" s="1"/>
  <c r="C87" i="187"/>
  <c r="C88" i="187" s="1"/>
  <c r="N20" i="189"/>
  <c r="N25" i="189"/>
  <c r="N26" i="189"/>
  <c r="K48" i="190"/>
  <c r="B58" i="193"/>
  <c r="N55" i="193"/>
  <c r="E87" i="193"/>
  <c r="E58" i="193"/>
  <c r="N87" i="195"/>
  <c r="B27" i="195"/>
  <c r="F27" i="195"/>
  <c r="L27" i="196"/>
  <c r="N46" i="196"/>
  <c r="M48" i="198"/>
  <c r="M61" i="198" s="1"/>
  <c r="M48" i="199"/>
  <c r="E48" i="200"/>
  <c r="N46" i="200"/>
  <c r="K28" i="202"/>
  <c r="N34" i="202"/>
  <c r="M84" i="202"/>
  <c r="E58" i="202"/>
  <c r="L84" i="202"/>
  <c r="F84" i="202"/>
  <c r="N53" i="202"/>
  <c r="E13" i="203"/>
  <c r="N11" i="205"/>
  <c r="N20" i="205"/>
  <c r="H48" i="205"/>
  <c r="H61" i="205" s="1"/>
  <c r="E28" i="209"/>
  <c r="I38" i="211"/>
  <c r="I42" i="211" s="1"/>
  <c r="I48" i="211" s="1"/>
  <c r="C27" i="188"/>
  <c r="G27" i="188"/>
  <c r="N25" i="188"/>
  <c r="N26" i="188"/>
  <c r="C27" i="192"/>
  <c r="N24" i="192"/>
  <c r="N20" i="193"/>
  <c r="N26" i="193"/>
  <c r="H48" i="194"/>
  <c r="H61" i="194" s="1"/>
  <c r="K27" i="198"/>
  <c r="K28" i="198" s="1"/>
  <c r="C13" i="199"/>
  <c r="E48" i="199"/>
  <c r="E61" i="199" s="1"/>
  <c r="N55" i="200"/>
  <c r="N58" i="200" s="1"/>
  <c r="B58" i="200"/>
  <c r="D61" i="200"/>
  <c r="M84" i="201"/>
  <c r="K84" i="201"/>
  <c r="E84" i="201"/>
  <c r="H84" i="201"/>
  <c r="I84" i="201"/>
  <c r="E84" i="206"/>
  <c r="E58" i="206"/>
  <c r="N53" i="206"/>
  <c r="M84" i="206"/>
  <c r="H84" i="206"/>
  <c r="J84" i="206"/>
  <c r="I84" i="206"/>
  <c r="K84" i="206"/>
  <c r="I28" i="207"/>
  <c r="N23" i="213"/>
  <c r="B85" i="189"/>
  <c r="N20" i="190"/>
  <c r="J13" i="190"/>
  <c r="H27" i="191"/>
  <c r="N9" i="192"/>
  <c r="M13" i="192"/>
  <c r="B50" i="192"/>
  <c r="J13" i="193"/>
  <c r="I48" i="193"/>
  <c r="L13" i="194"/>
  <c r="G27" i="195"/>
  <c r="K27" i="195"/>
  <c r="N34" i="195"/>
  <c r="B85" i="195"/>
  <c r="N9" i="196"/>
  <c r="N13" i="196" s="1"/>
  <c r="C62" i="196"/>
  <c r="C72" i="196" s="1"/>
  <c r="D88" i="196"/>
  <c r="E88" i="196" s="1"/>
  <c r="F88" i="196" s="1"/>
  <c r="G88" i="196" s="1"/>
  <c r="H88" i="196" s="1"/>
  <c r="I88" i="196" s="1"/>
  <c r="J88" i="196" s="1"/>
  <c r="K88" i="196" s="1"/>
  <c r="L88" i="196" s="1"/>
  <c r="M88" i="196" s="1"/>
  <c r="F48" i="198"/>
  <c r="F61" i="198" s="1"/>
  <c r="F48" i="199"/>
  <c r="F61" i="199" s="1"/>
  <c r="F62" i="199" s="1"/>
  <c r="F72" i="199" s="1"/>
  <c r="N46" i="199"/>
  <c r="I48" i="200"/>
  <c r="M28" i="200"/>
  <c r="M48" i="200"/>
  <c r="M61" i="200" s="1"/>
  <c r="M62" i="200" s="1"/>
  <c r="M72" i="200" s="1"/>
  <c r="B48" i="200"/>
  <c r="N9" i="201"/>
  <c r="G48" i="201"/>
  <c r="G61" i="201" s="1"/>
  <c r="G62" i="201" s="1"/>
  <c r="G72" i="201" s="1"/>
  <c r="K48" i="201"/>
  <c r="K61" i="201" s="1"/>
  <c r="K62" i="201" s="1"/>
  <c r="K72" i="201" s="1"/>
  <c r="B13" i="202"/>
  <c r="M50" i="202"/>
  <c r="N20" i="202"/>
  <c r="G48" i="202"/>
  <c r="G61" i="202" s="1"/>
  <c r="B27" i="202"/>
  <c r="B28" i="202" s="1"/>
  <c r="N46" i="202"/>
  <c r="M48" i="203"/>
  <c r="I28" i="203"/>
  <c r="M28" i="203"/>
  <c r="N25" i="203"/>
  <c r="C28" i="204"/>
  <c r="N9" i="206"/>
  <c r="F13" i="206"/>
  <c r="G48" i="206"/>
  <c r="L84" i="208"/>
  <c r="H84" i="208"/>
  <c r="D62" i="211"/>
  <c r="D72" i="211" s="1"/>
  <c r="M46" i="212"/>
  <c r="M48" i="212" s="1"/>
  <c r="N44" i="212"/>
  <c r="N46" i="212" s="1"/>
  <c r="H48" i="213"/>
  <c r="H50" i="213" s="1"/>
  <c r="B85" i="184"/>
  <c r="D27" i="185"/>
  <c r="G27" i="185"/>
  <c r="K27" i="185"/>
  <c r="N46" i="185"/>
  <c r="F13" i="186"/>
  <c r="D48" i="186"/>
  <c r="D50" i="186" s="1"/>
  <c r="H48" i="186"/>
  <c r="H61" i="186" s="1"/>
  <c r="H62" i="186" s="1"/>
  <c r="H72" i="186" s="1"/>
  <c r="L27" i="186"/>
  <c r="F48" i="186"/>
  <c r="L48" i="187"/>
  <c r="L61" i="187" s="1"/>
  <c r="L62" i="187" s="1"/>
  <c r="L72" i="187" s="1"/>
  <c r="N55" i="188"/>
  <c r="C88" i="188"/>
  <c r="F13" i="189"/>
  <c r="C27" i="189"/>
  <c r="G27" i="189"/>
  <c r="C48" i="189"/>
  <c r="K48" i="189"/>
  <c r="K61" i="189" s="1"/>
  <c r="K62" i="189" s="1"/>
  <c r="K72" i="189" s="1"/>
  <c r="C85" i="189"/>
  <c r="N55" i="190"/>
  <c r="H13" i="190"/>
  <c r="K27" i="190"/>
  <c r="F27" i="190"/>
  <c r="N26" i="190"/>
  <c r="N46" i="190"/>
  <c r="M48" i="191"/>
  <c r="M61" i="191" s="1"/>
  <c r="M62" i="191" s="1"/>
  <c r="M72" i="191" s="1"/>
  <c r="B85" i="191"/>
  <c r="N34" i="193"/>
  <c r="C85" i="193"/>
  <c r="I13" i="194"/>
  <c r="C27" i="194"/>
  <c r="G27" i="194"/>
  <c r="I48" i="195"/>
  <c r="E48" i="195"/>
  <c r="E61" i="195" s="1"/>
  <c r="E62" i="195" s="1"/>
  <c r="E72" i="195" s="1"/>
  <c r="G27" i="196"/>
  <c r="G48" i="196"/>
  <c r="G61" i="196" s="1"/>
  <c r="E48" i="197"/>
  <c r="E61" i="197" s="1"/>
  <c r="E62" i="197" s="1"/>
  <c r="E72" i="197" s="1"/>
  <c r="B13" i="199"/>
  <c r="G48" i="199"/>
  <c r="K48" i="199"/>
  <c r="C27" i="199"/>
  <c r="C28" i="199" s="1"/>
  <c r="G27" i="199"/>
  <c r="G28" i="199" s="1"/>
  <c r="K27" i="199"/>
  <c r="B27" i="199"/>
  <c r="N25" i="199"/>
  <c r="N53" i="199"/>
  <c r="N58" i="199" s="1"/>
  <c r="F84" i="199"/>
  <c r="M84" i="199"/>
  <c r="N9" i="200"/>
  <c r="N13" i="200" s="1"/>
  <c r="B28" i="200"/>
  <c r="J28" i="200"/>
  <c r="G48" i="200"/>
  <c r="G61" i="200" s="1"/>
  <c r="E27" i="201"/>
  <c r="I27" i="201"/>
  <c r="I28" i="201" s="1"/>
  <c r="L28" i="201"/>
  <c r="H27" i="201"/>
  <c r="H28" i="201" s="1"/>
  <c r="L48" i="201"/>
  <c r="L50" i="201" s="1"/>
  <c r="F48" i="202"/>
  <c r="F61" i="202" s="1"/>
  <c r="N87" i="202"/>
  <c r="D13" i="203"/>
  <c r="N23" i="203"/>
  <c r="C13" i="204"/>
  <c r="H48" i="204"/>
  <c r="H61" i="204" s="1"/>
  <c r="C88" i="204"/>
  <c r="D88" i="204" s="1"/>
  <c r="E88" i="204" s="1"/>
  <c r="F88" i="204" s="1"/>
  <c r="G88" i="204" s="1"/>
  <c r="H88" i="204" s="1"/>
  <c r="I88" i="204" s="1"/>
  <c r="J88" i="204" s="1"/>
  <c r="K88" i="204" s="1"/>
  <c r="L88" i="204" s="1"/>
  <c r="M88" i="204" s="1"/>
  <c r="F27" i="205"/>
  <c r="F28" i="205" s="1"/>
  <c r="C13" i="206"/>
  <c r="G13" i="207"/>
  <c r="E58" i="208"/>
  <c r="H28" i="209"/>
  <c r="M28" i="209"/>
  <c r="B48" i="206"/>
  <c r="D27" i="207"/>
  <c r="J28" i="207"/>
  <c r="C27" i="208"/>
  <c r="C28" i="208" s="1"/>
  <c r="G27" i="208"/>
  <c r="G28" i="208" s="1"/>
  <c r="J28" i="208"/>
  <c r="M28" i="208"/>
  <c r="N24" i="208"/>
  <c r="I27" i="208"/>
  <c r="I28" i="208" s="1"/>
  <c r="N25" i="208"/>
  <c r="N26" i="208"/>
  <c r="N34" i="208"/>
  <c r="C48" i="209"/>
  <c r="G48" i="209"/>
  <c r="G61" i="209" s="1"/>
  <c r="K48" i="209"/>
  <c r="K61" i="209" s="1"/>
  <c r="K62" i="209" s="1"/>
  <c r="K72" i="209" s="1"/>
  <c r="I48" i="209"/>
  <c r="N58" i="209"/>
  <c r="E48" i="212"/>
  <c r="N9" i="212"/>
  <c r="N13" i="212" s="1"/>
  <c r="B28" i="212"/>
  <c r="M28" i="212"/>
  <c r="N24" i="212"/>
  <c r="N34" i="212"/>
  <c r="J27" i="213"/>
  <c r="J28" i="213" s="1"/>
  <c r="B27" i="213"/>
  <c r="B28" i="213" s="1"/>
  <c r="J48" i="213"/>
  <c r="G13" i="204"/>
  <c r="B27" i="204"/>
  <c r="E27" i="204"/>
  <c r="E28" i="204" s="1"/>
  <c r="H27" i="204"/>
  <c r="L27" i="204"/>
  <c r="L28" i="204" s="1"/>
  <c r="N24" i="204"/>
  <c r="K27" i="204"/>
  <c r="K28" i="204" s="1"/>
  <c r="N34" i="204"/>
  <c r="E48" i="204"/>
  <c r="E50" i="204" s="1"/>
  <c r="N58" i="204"/>
  <c r="N9" i="205"/>
  <c r="N25" i="205"/>
  <c r="H27" i="205"/>
  <c r="H28" i="205" s="1"/>
  <c r="N87" i="205"/>
  <c r="L48" i="206"/>
  <c r="L61" i="206" s="1"/>
  <c r="J27" i="206"/>
  <c r="F48" i="206"/>
  <c r="F50" i="206" s="1"/>
  <c r="N46" i="206"/>
  <c r="I48" i="206"/>
  <c r="C13" i="207"/>
  <c r="N11" i="207"/>
  <c r="P11" i="207" s="1"/>
  <c r="J48" i="207"/>
  <c r="J61" i="207" s="1"/>
  <c r="H27" i="207"/>
  <c r="H28" i="207" s="1"/>
  <c r="M48" i="207"/>
  <c r="B13" i="208"/>
  <c r="D27" i="208"/>
  <c r="D28" i="208" s="1"/>
  <c r="N20" i="212"/>
  <c r="C27" i="212"/>
  <c r="C28" i="212" s="1"/>
  <c r="G27" i="212"/>
  <c r="G28" i="212" s="1"/>
  <c r="N58" i="212"/>
  <c r="L27" i="213"/>
  <c r="L28" i="213" s="1"/>
  <c r="C62" i="181"/>
  <c r="C72" i="181" s="1"/>
  <c r="M50" i="183"/>
  <c r="M61" i="183"/>
  <c r="B49" i="180"/>
  <c r="C85" i="185"/>
  <c r="D83" i="185"/>
  <c r="E83" i="185" s="1"/>
  <c r="E83" i="184"/>
  <c r="D85" i="184"/>
  <c r="J48" i="184"/>
  <c r="J61" i="184" s="1"/>
  <c r="J62" i="184" s="1"/>
  <c r="J72" i="184" s="1"/>
  <c r="J49" i="180"/>
  <c r="N55" i="189"/>
  <c r="B58" i="189"/>
  <c r="F58" i="192"/>
  <c r="F87" i="192"/>
  <c r="F83" i="195"/>
  <c r="G83" i="195" s="1"/>
  <c r="E85" i="195"/>
  <c r="N45" i="194"/>
  <c r="N46" i="194" s="1"/>
  <c r="M46" i="194"/>
  <c r="M48" i="194" s="1"/>
  <c r="M61" i="194" s="1"/>
  <c r="N9" i="180"/>
  <c r="G27" i="180"/>
  <c r="K48" i="181"/>
  <c r="K50" i="181" s="1"/>
  <c r="G48" i="181"/>
  <c r="M50" i="182"/>
  <c r="N20" i="182"/>
  <c r="E48" i="183"/>
  <c r="E61" i="183" s="1"/>
  <c r="E62" i="183" s="1"/>
  <c r="E72" i="183" s="1"/>
  <c r="I48" i="183"/>
  <c r="N55" i="184"/>
  <c r="D59" i="184"/>
  <c r="N56" i="184"/>
  <c r="D87" i="185"/>
  <c r="G48" i="185"/>
  <c r="G61" i="185" s="1"/>
  <c r="G62" i="185" s="1"/>
  <c r="G72" i="185" s="1"/>
  <c r="K48" i="185"/>
  <c r="K61" i="185" s="1"/>
  <c r="K62" i="185" s="1"/>
  <c r="K72" i="185" s="1"/>
  <c r="J27" i="185"/>
  <c r="B85" i="185"/>
  <c r="M48" i="186"/>
  <c r="M61" i="186" s="1"/>
  <c r="M62" i="186" s="1"/>
  <c r="M72" i="186" s="1"/>
  <c r="G27" i="187"/>
  <c r="C48" i="187"/>
  <c r="C61" i="187" s="1"/>
  <c r="C62" i="187" s="1"/>
  <c r="C72" i="187" s="1"/>
  <c r="G38" i="189"/>
  <c r="G42" i="189" s="1"/>
  <c r="G48" i="189" s="1"/>
  <c r="N56" i="190"/>
  <c r="N87" i="190" s="1"/>
  <c r="C87" i="190"/>
  <c r="C88" i="190" s="1"/>
  <c r="D88" i="190" s="1"/>
  <c r="C58" i="190"/>
  <c r="F13" i="191"/>
  <c r="J48" i="191"/>
  <c r="C87" i="192"/>
  <c r="C88" i="192" s="1"/>
  <c r="D88" i="192" s="1"/>
  <c r="E88" i="192" s="1"/>
  <c r="F88" i="192" s="1"/>
  <c r="G88" i="192" s="1"/>
  <c r="H88" i="192" s="1"/>
  <c r="I88" i="192" s="1"/>
  <c r="J88" i="192" s="1"/>
  <c r="K88" i="192" s="1"/>
  <c r="L88" i="192" s="1"/>
  <c r="M88" i="192" s="1"/>
  <c r="N56" i="192"/>
  <c r="N87" i="192" s="1"/>
  <c r="C58" i="192"/>
  <c r="C61" i="192" s="1"/>
  <c r="K50" i="193"/>
  <c r="K61" i="193"/>
  <c r="H13" i="193"/>
  <c r="D87" i="193"/>
  <c r="N56" i="193"/>
  <c r="N87" i="193" s="1"/>
  <c r="D58" i="193"/>
  <c r="F62" i="198"/>
  <c r="F72" i="198" s="1"/>
  <c r="J28" i="198"/>
  <c r="E47" i="180"/>
  <c r="M62" i="181"/>
  <c r="M72" i="181" s="1"/>
  <c r="D48" i="182"/>
  <c r="D50" i="182" s="1"/>
  <c r="H48" i="182"/>
  <c r="H50" i="182" s="1"/>
  <c r="H48" i="183"/>
  <c r="H61" i="183" s="1"/>
  <c r="H62" i="183" s="1"/>
  <c r="H72" i="183" s="1"/>
  <c r="C38" i="212"/>
  <c r="C42" i="212" s="1"/>
  <c r="C48" i="212" s="1"/>
  <c r="N38" i="181"/>
  <c r="N42" i="181" s="1"/>
  <c r="N24" i="180"/>
  <c r="N25" i="180"/>
  <c r="H48" i="181"/>
  <c r="H61" i="181" s="1"/>
  <c r="L48" i="181"/>
  <c r="L61" i="181" s="1"/>
  <c r="C85" i="183"/>
  <c r="G27" i="182"/>
  <c r="K27" i="182"/>
  <c r="N26" i="182"/>
  <c r="N34" i="182"/>
  <c r="D88" i="182"/>
  <c r="E88" i="182" s="1"/>
  <c r="F88" i="182" s="1"/>
  <c r="G88" i="182" s="1"/>
  <c r="H88" i="182" s="1"/>
  <c r="I88" i="182" s="1"/>
  <c r="J88" i="182" s="1"/>
  <c r="K88" i="182" s="1"/>
  <c r="L88" i="182" s="1"/>
  <c r="M88" i="182" s="1"/>
  <c r="N23" i="183"/>
  <c r="B27" i="183"/>
  <c r="J27" i="183"/>
  <c r="N25" i="183"/>
  <c r="N26" i="183"/>
  <c r="N87" i="183"/>
  <c r="D48" i="184"/>
  <c r="D61" i="184" s="1"/>
  <c r="D62" i="184" s="1"/>
  <c r="D72" i="184" s="1"/>
  <c r="C85" i="184"/>
  <c r="D87" i="184"/>
  <c r="D88" i="184" s="1"/>
  <c r="E88" i="184" s="1"/>
  <c r="F88" i="184" s="1"/>
  <c r="G88" i="184" s="1"/>
  <c r="H88" i="184" s="1"/>
  <c r="I88" i="184" s="1"/>
  <c r="J88" i="184" s="1"/>
  <c r="K88" i="184" s="1"/>
  <c r="L88" i="184" s="1"/>
  <c r="M88" i="184" s="1"/>
  <c r="N23" i="185"/>
  <c r="H48" i="185"/>
  <c r="H61" i="185" s="1"/>
  <c r="M48" i="185"/>
  <c r="M50" i="185" s="1"/>
  <c r="C61" i="185"/>
  <c r="C62" i="185" s="1"/>
  <c r="C72" i="185" s="1"/>
  <c r="N23" i="186"/>
  <c r="F27" i="186"/>
  <c r="D27" i="186"/>
  <c r="N26" i="186"/>
  <c r="D61" i="187"/>
  <c r="D62" i="187" s="1"/>
  <c r="D72" i="187" s="1"/>
  <c r="N24" i="188"/>
  <c r="B27" i="188"/>
  <c r="D27" i="189"/>
  <c r="H27" i="189"/>
  <c r="L27" i="189"/>
  <c r="H48" i="189"/>
  <c r="H61" i="189" s="1"/>
  <c r="G85" i="189"/>
  <c r="L48" i="190"/>
  <c r="L50" i="190" s="1"/>
  <c r="H48" i="193"/>
  <c r="H61" i="193" s="1"/>
  <c r="N11" i="194"/>
  <c r="L48" i="194"/>
  <c r="L61" i="194" s="1"/>
  <c r="C38" i="195"/>
  <c r="I47" i="180"/>
  <c r="I49" i="180" s="1"/>
  <c r="C50" i="181"/>
  <c r="J50" i="184"/>
  <c r="H50" i="186"/>
  <c r="D57" i="180"/>
  <c r="K27" i="180"/>
  <c r="K38" i="180"/>
  <c r="K41" i="180" s="1"/>
  <c r="K47" i="180" s="1"/>
  <c r="N45" i="180"/>
  <c r="N9" i="181"/>
  <c r="N13" i="181" s="1"/>
  <c r="I48" i="181"/>
  <c r="C88" i="181"/>
  <c r="D88" i="181" s="1"/>
  <c r="E88" i="181" s="1"/>
  <c r="I50" i="182"/>
  <c r="L48" i="182"/>
  <c r="L61" i="182" s="1"/>
  <c r="L62" i="182" s="1"/>
  <c r="L72" i="182" s="1"/>
  <c r="B58" i="183"/>
  <c r="N20" i="183"/>
  <c r="C48" i="183"/>
  <c r="C50" i="183" s="1"/>
  <c r="G48" i="183"/>
  <c r="G50" i="183" s="1"/>
  <c r="K48" i="183"/>
  <c r="K61" i="183" s="1"/>
  <c r="K62" i="183" s="1"/>
  <c r="K72" i="183" s="1"/>
  <c r="B85" i="183"/>
  <c r="N24" i="184"/>
  <c r="N34" i="185"/>
  <c r="I48" i="185"/>
  <c r="I50" i="185" s="1"/>
  <c r="G50" i="186"/>
  <c r="G62" i="186"/>
  <c r="G72" i="186" s="1"/>
  <c r="J27" i="186"/>
  <c r="I48" i="186"/>
  <c r="E85" i="189"/>
  <c r="N9" i="189"/>
  <c r="M48" i="189"/>
  <c r="M50" i="189" s="1"/>
  <c r="N11" i="190"/>
  <c r="H61" i="190"/>
  <c r="K48" i="191"/>
  <c r="E48" i="194"/>
  <c r="E50" i="194" s="1"/>
  <c r="H27" i="194"/>
  <c r="F38" i="194"/>
  <c r="F42" i="194" s="1"/>
  <c r="F48" i="194" s="1"/>
  <c r="F61" i="194" s="1"/>
  <c r="B58" i="194"/>
  <c r="N55" i="194"/>
  <c r="C27" i="197"/>
  <c r="N23" i="197"/>
  <c r="G50" i="199"/>
  <c r="L48" i="186"/>
  <c r="L61" i="186" s="1"/>
  <c r="L62" i="186" s="1"/>
  <c r="L72" i="186" s="1"/>
  <c r="E61" i="186"/>
  <c r="E62" i="186" s="1"/>
  <c r="E72" i="186" s="1"/>
  <c r="K27" i="188"/>
  <c r="G27" i="190"/>
  <c r="N58" i="190"/>
  <c r="N20" i="191"/>
  <c r="C48" i="191"/>
  <c r="C50" i="191" s="1"/>
  <c r="G48" i="191"/>
  <c r="G50" i="191" s="1"/>
  <c r="I13" i="192"/>
  <c r="D27" i="192"/>
  <c r="I27" i="192"/>
  <c r="H48" i="192"/>
  <c r="H61" i="192" s="1"/>
  <c r="N9" i="193"/>
  <c r="N11" i="193"/>
  <c r="C48" i="193"/>
  <c r="C50" i="193" s="1"/>
  <c r="G48" i="193"/>
  <c r="G61" i="193" s="1"/>
  <c r="J48" i="193"/>
  <c r="M13" i="194"/>
  <c r="I48" i="194"/>
  <c r="I61" i="194" s="1"/>
  <c r="I62" i="194" s="1"/>
  <c r="I72" i="194" s="1"/>
  <c r="B48" i="195"/>
  <c r="B61" i="195" s="1"/>
  <c r="B62" i="195" s="1"/>
  <c r="C85" i="195"/>
  <c r="N20" i="196"/>
  <c r="N24" i="197"/>
  <c r="N25" i="197"/>
  <c r="D48" i="197"/>
  <c r="F28" i="198"/>
  <c r="B85" i="199"/>
  <c r="C83" i="199"/>
  <c r="D83" i="202"/>
  <c r="C85" i="202"/>
  <c r="G38" i="203"/>
  <c r="G42" i="203" s="1"/>
  <c r="G48" i="203" s="1"/>
  <c r="I48" i="187"/>
  <c r="I61" i="187" s="1"/>
  <c r="C85" i="187"/>
  <c r="D48" i="188"/>
  <c r="D61" i="188" s="1"/>
  <c r="D62" i="188" s="1"/>
  <c r="D72" i="188" s="1"/>
  <c r="H48" i="188"/>
  <c r="H61" i="188" s="1"/>
  <c r="F27" i="188"/>
  <c r="E61" i="188"/>
  <c r="E62" i="188" s="1"/>
  <c r="E72" i="188" s="1"/>
  <c r="J27" i="189"/>
  <c r="N34" i="189"/>
  <c r="B27" i="190"/>
  <c r="J27" i="190"/>
  <c r="L48" i="191"/>
  <c r="D27" i="191"/>
  <c r="N24" i="191"/>
  <c r="F27" i="191"/>
  <c r="J27" i="191"/>
  <c r="N25" i="191"/>
  <c r="N26" i="191"/>
  <c r="N34" i="191"/>
  <c r="E48" i="191"/>
  <c r="E50" i="191" s="1"/>
  <c r="J13" i="192"/>
  <c r="N25" i="192"/>
  <c r="N26" i="192"/>
  <c r="N34" i="192"/>
  <c r="F27" i="193"/>
  <c r="I27" i="193"/>
  <c r="M27" i="193"/>
  <c r="N20" i="194"/>
  <c r="K48" i="194"/>
  <c r="K50" i="194" s="1"/>
  <c r="N9" i="195"/>
  <c r="N13" i="195" s="1"/>
  <c r="D48" i="195"/>
  <c r="D50" i="195" s="1"/>
  <c r="G48" i="195"/>
  <c r="G61" i="195" s="1"/>
  <c r="G62" i="195" s="1"/>
  <c r="G72" i="195" s="1"/>
  <c r="I27" i="195"/>
  <c r="N24" i="195"/>
  <c r="N26" i="195"/>
  <c r="D27" i="196"/>
  <c r="H27" i="196"/>
  <c r="N25" i="196"/>
  <c r="N26" i="196"/>
  <c r="N34" i="196"/>
  <c r="K48" i="196"/>
  <c r="K61" i="196" s="1"/>
  <c r="K62" i="196" s="1"/>
  <c r="K72" i="196" s="1"/>
  <c r="N58" i="196"/>
  <c r="N9" i="197"/>
  <c r="N13" i="197" s="1"/>
  <c r="N20" i="197"/>
  <c r="E50" i="197"/>
  <c r="I48" i="197"/>
  <c r="I50" i="197" s="1"/>
  <c r="G48" i="197"/>
  <c r="G27" i="198"/>
  <c r="G28" i="198" s="1"/>
  <c r="K50" i="199"/>
  <c r="K61" i="199"/>
  <c r="K62" i="199" s="1"/>
  <c r="K72" i="199" s="1"/>
  <c r="K28" i="199"/>
  <c r="B28" i="199"/>
  <c r="C83" i="200"/>
  <c r="B85" i="200"/>
  <c r="N20" i="187"/>
  <c r="J27" i="187"/>
  <c r="B48" i="187"/>
  <c r="B50" i="187" s="1"/>
  <c r="N9" i="188"/>
  <c r="D88" i="188"/>
  <c r="I48" i="189"/>
  <c r="N23" i="189"/>
  <c r="K27" i="189"/>
  <c r="F48" i="189"/>
  <c r="F85" i="189"/>
  <c r="C88" i="189"/>
  <c r="D88" i="189" s="1"/>
  <c r="E88" i="189" s="1"/>
  <c r="N9" i="190"/>
  <c r="N13" i="190" s="1"/>
  <c r="B85" i="190"/>
  <c r="N9" i="191"/>
  <c r="F48" i="191"/>
  <c r="C61" i="191"/>
  <c r="C62" i="191" s="1"/>
  <c r="C72" i="191" s="1"/>
  <c r="N20" i="192"/>
  <c r="G48" i="192"/>
  <c r="G61" i="192" s="1"/>
  <c r="H27" i="192"/>
  <c r="L48" i="192"/>
  <c r="L61" i="192" s="1"/>
  <c r="L62" i="192" s="1"/>
  <c r="L72" i="192" s="1"/>
  <c r="F58" i="193"/>
  <c r="L27" i="194"/>
  <c r="N24" i="194"/>
  <c r="K27" i="194"/>
  <c r="C88" i="195"/>
  <c r="D88" i="195" s="1"/>
  <c r="E88" i="195" s="1"/>
  <c r="F88" i="195" s="1"/>
  <c r="G88" i="195" s="1"/>
  <c r="H88" i="195" s="1"/>
  <c r="I88" i="195" s="1"/>
  <c r="J88" i="195" s="1"/>
  <c r="K88" i="195" s="1"/>
  <c r="L88" i="195" s="1"/>
  <c r="M88" i="195" s="1"/>
  <c r="N58" i="195"/>
  <c r="N20" i="195"/>
  <c r="H48" i="195"/>
  <c r="L48" i="195"/>
  <c r="L61" i="195" s="1"/>
  <c r="J48" i="195"/>
  <c r="J61" i="195" s="1"/>
  <c r="E48" i="196"/>
  <c r="E61" i="196" s="1"/>
  <c r="E62" i="196" s="1"/>
  <c r="E72" i="196" s="1"/>
  <c r="M48" i="196"/>
  <c r="M61" i="196" s="1"/>
  <c r="C48" i="197"/>
  <c r="K48" i="197"/>
  <c r="E50" i="200"/>
  <c r="I50" i="200"/>
  <c r="I61" i="200"/>
  <c r="I62" i="200" s="1"/>
  <c r="I72" i="200" s="1"/>
  <c r="E28" i="201"/>
  <c r="H48" i="197"/>
  <c r="H61" i="197" s="1"/>
  <c r="H62" i="197" s="1"/>
  <c r="H72" i="197" s="1"/>
  <c r="N9" i="198"/>
  <c r="N13" i="198" s="1"/>
  <c r="N20" i="198"/>
  <c r="C27" i="198"/>
  <c r="C28" i="198" s="1"/>
  <c r="D27" i="198"/>
  <c r="D28" i="198" s="1"/>
  <c r="H27" i="198"/>
  <c r="L27" i="198"/>
  <c r="L28" i="198" s="1"/>
  <c r="N25" i="198"/>
  <c r="N26" i="198"/>
  <c r="L48" i="198"/>
  <c r="L50" i="198" s="1"/>
  <c r="N46" i="198"/>
  <c r="E48" i="198"/>
  <c r="E61" i="198" s="1"/>
  <c r="C88" i="198"/>
  <c r="D88" i="198" s="1"/>
  <c r="E88" i="198" s="1"/>
  <c r="F88" i="198" s="1"/>
  <c r="G88" i="198" s="1"/>
  <c r="H88" i="198" s="1"/>
  <c r="I88" i="198" s="1"/>
  <c r="J88" i="198" s="1"/>
  <c r="K88" i="198" s="1"/>
  <c r="L88" i="198" s="1"/>
  <c r="M88" i="198" s="1"/>
  <c r="N20" i="199"/>
  <c r="H48" i="199"/>
  <c r="H61" i="199" s="1"/>
  <c r="L48" i="199"/>
  <c r="L61" i="199" s="1"/>
  <c r="N23" i="200"/>
  <c r="D13" i="200"/>
  <c r="D50" i="200" s="1"/>
  <c r="F13" i="201"/>
  <c r="F13" i="202"/>
  <c r="F28" i="202"/>
  <c r="J13" i="202"/>
  <c r="J28" i="202"/>
  <c r="N9" i="203"/>
  <c r="B28" i="204"/>
  <c r="I28" i="198"/>
  <c r="D48" i="198"/>
  <c r="D50" i="198" s="1"/>
  <c r="I28" i="199"/>
  <c r="M28" i="199"/>
  <c r="N24" i="199"/>
  <c r="N26" i="199"/>
  <c r="G61" i="199"/>
  <c r="G62" i="199" s="1"/>
  <c r="G72" i="199" s="1"/>
  <c r="E27" i="200"/>
  <c r="E28" i="200" s="1"/>
  <c r="I27" i="200"/>
  <c r="I28" i="200" s="1"/>
  <c r="L84" i="203"/>
  <c r="G84" i="203"/>
  <c r="N53" i="203"/>
  <c r="N58" i="203" s="1"/>
  <c r="E84" i="203"/>
  <c r="J84" i="203"/>
  <c r="I84" i="203"/>
  <c r="F84" i="203"/>
  <c r="E58" i="203"/>
  <c r="M84" i="204"/>
  <c r="E58" i="204"/>
  <c r="E84" i="204"/>
  <c r="G84" i="204"/>
  <c r="H84" i="204"/>
  <c r="I84" i="204"/>
  <c r="K84" i="204"/>
  <c r="L84" i="204"/>
  <c r="D28" i="205"/>
  <c r="K38" i="205"/>
  <c r="K42" i="205" s="1"/>
  <c r="K48" i="205"/>
  <c r="K61" i="205" s="1"/>
  <c r="K62" i="205" s="1"/>
  <c r="K72" i="205" s="1"/>
  <c r="D27" i="206"/>
  <c r="D28" i="206" s="1"/>
  <c r="N24" i="206"/>
  <c r="E50" i="212"/>
  <c r="E61" i="212"/>
  <c r="E62" i="212" s="1"/>
  <c r="E72" i="212" s="1"/>
  <c r="L48" i="197"/>
  <c r="L50" i="197" s="1"/>
  <c r="N46" i="197"/>
  <c r="C88" i="197"/>
  <c r="D88" i="197" s="1"/>
  <c r="E88" i="197" s="1"/>
  <c r="F88" i="197" s="1"/>
  <c r="G88" i="197" s="1"/>
  <c r="H88" i="197" s="1"/>
  <c r="I88" i="197" s="1"/>
  <c r="J88" i="197" s="1"/>
  <c r="K88" i="197" s="1"/>
  <c r="L88" i="197" s="1"/>
  <c r="M88" i="197" s="1"/>
  <c r="B85" i="198"/>
  <c r="N9" i="199"/>
  <c r="N13" i="199" s="1"/>
  <c r="J27" i="199"/>
  <c r="J28" i="199" s="1"/>
  <c r="C88" i="199"/>
  <c r="D88" i="199" s="1"/>
  <c r="E88" i="199" s="1"/>
  <c r="F88" i="199" s="1"/>
  <c r="G88" i="199" s="1"/>
  <c r="H88" i="199" s="1"/>
  <c r="I88" i="199" s="1"/>
  <c r="J88" i="199" s="1"/>
  <c r="K88" i="199" s="1"/>
  <c r="L88" i="199" s="1"/>
  <c r="M88" i="199" s="1"/>
  <c r="E13" i="199"/>
  <c r="B13" i="200"/>
  <c r="H27" i="200"/>
  <c r="H28" i="200" s="1"/>
  <c r="L27" i="200"/>
  <c r="L28" i="200" s="1"/>
  <c r="N25" i="200"/>
  <c r="N26" i="200"/>
  <c r="C28" i="202"/>
  <c r="M84" i="203"/>
  <c r="H13" i="203"/>
  <c r="J84" i="204"/>
  <c r="F61" i="204"/>
  <c r="B50" i="205"/>
  <c r="B62" i="205"/>
  <c r="B63" i="205" s="1"/>
  <c r="B48" i="201"/>
  <c r="F48" i="201"/>
  <c r="B28" i="201"/>
  <c r="M28" i="201"/>
  <c r="D13" i="202"/>
  <c r="D27" i="202"/>
  <c r="H27" i="202"/>
  <c r="L27" i="202"/>
  <c r="L28" i="202" s="1"/>
  <c r="C88" i="202"/>
  <c r="D88" i="202" s="1"/>
  <c r="E88" i="202" s="1"/>
  <c r="F88" i="202" s="1"/>
  <c r="G88" i="202" s="1"/>
  <c r="H88" i="202" s="1"/>
  <c r="I88" i="202" s="1"/>
  <c r="J88" i="202" s="1"/>
  <c r="K88" i="202" s="1"/>
  <c r="L88" i="202" s="1"/>
  <c r="M88" i="202" s="1"/>
  <c r="K48" i="203"/>
  <c r="C27" i="203"/>
  <c r="C28" i="203" s="1"/>
  <c r="K27" i="203"/>
  <c r="K28" i="203" s="1"/>
  <c r="E48" i="203"/>
  <c r="E50" i="203" s="1"/>
  <c r="H13" i="204"/>
  <c r="M48" i="204"/>
  <c r="M61" i="204" s="1"/>
  <c r="I28" i="204"/>
  <c r="M28" i="204"/>
  <c r="J61" i="206"/>
  <c r="M50" i="207"/>
  <c r="B85" i="209"/>
  <c r="I50" i="212"/>
  <c r="I61" i="212"/>
  <c r="I62" i="212" s="1"/>
  <c r="I72" i="212" s="1"/>
  <c r="E27" i="212"/>
  <c r="E28" i="212" s="1"/>
  <c r="I27" i="212"/>
  <c r="I28" i="212" s="1"/>
  <c r="D48" i="213"/>
  <c r="D50" i="213" s="1"/>
  <c r="N20" i="201"/>
  <c r="H13" i="202"/>
  <c r="E48" i="202"/>
  <c r="E50" i="202" s="1"/>
  <c r="N24" i="202"/>
  <c r="N25" i="202"/>
  <c r="N26" i="202"/>
  <c r="N11" i="203"/>
  <c r="D48" i="203"/>
  <c r="D61" i="203" s="1"/>
  <c r="H48" i="203"/>
  <c r="H61" i="203" s="1"/>
  <c r="H62" i="203" s="1"/>
  <c r="H72" i="203" s="1"/>
  <c r="L48" i="203"/>
  <c r="L61" i="203" s="1"/>
  <c r="L62" i="203" s="1"/>
  <c r="L72" i="203" s="1"/>
  <c r="D27" i="203"/>
  <c r="D28" i="203" s="1"/>
  <c r="H27" i="203"/>
  <c r="H28" i="203" s="1"/>
  <c r="F27" i="203"/>
  <c r="F28" i="203" s="1"/>
  <c r="J27" i="203"/>
  <c r="J28" i="203" s="1"/>
  <c r="N26" i="203"/>
  <c r="N34" i="203"/>
  <c r="N46" i="203"/>
  <c r="B58" i="203"/>
  <c r="B61" i="203" s="1"/>
  <c r="J48" i="204"/>
  <c r="J61" i="204" s="1"/>
  <c r="N9" i="204"/>
  <c r="G27" i="204"/>
  <c r="G28" i="204" s="1"/>
  <c r="N46" i="204"/>
  <c r="B58" i="204"/>
  <c r="J28" i="209"/>
  <c r="B28" i="209"/>
  <c r="M48" i="209"/>
  <c r="N23" i="211"/>
  <c r="F27" i="211"/>
  <c r="F28" i="211" s="1"/>
  <c r="J38" i="212"/>
  <c r="J42" i="212" s="1"/>
  <c r="J48" i="212" s="1"/>
  <c r="I27" i="213"/>
  <c r="E27" i="213"/>
  <c r="C27" i="201"/>
  <c r="C28" i="201" s="1"/>
  <c r="N25" i="201"/>
  <c r="N26" i="201"/>
  <c r="N34" i="201"/>
  <c r="M48" i="201"/>
  <c r="M61" i="201" s="1"/>
  <c r="M62" i="201" s="1"/>
  <c r="M72" i="201" s="1"/>
  <c r="C13" i="202"/>
  <c r="G13" i="202"/>
  <c r="G27" i="202"/>
  <c r="G28" i="202" s="1"/>
  <c r="M61" i="202"/>
  <c r="E28" i="203"/>
  <c r="J28" i="204"/>
  <c r="K48" i="204"/>
  <c r="K61" i="204" s="1"/>
  <c r="D48" i="206"/>
  <c r="D50" i="206" s="1"/>
  <c r="H48" i="206"/>
  <c r="H61" i="206" s="1"/>
  <c r="H62" i="206" s="1"/>
  <c r="H72" i="206" s="1"/>
  <c r="N56" i="207"/>
  <c r="N87" i="207" s="1"/>
  <c r="M87" i="207"/>
  <c r="M84" i="208"/>
  <c r="M58" i="208"/>
  <c r="D13" i="209"/>
  <c r="D28" i="209"/>
  <c r="C61" i="209"/>
  <c r="N23" i="209"/>
  <c r="E48" i="209"/>
  <c r="H38" i="211"/>
  <c r="H42" i="211" s="1"/>
  <c r="H48" i="211" s="1"/>
  <c r="G48" i="212"/>
  <c r="G50" i="212" s="1"/>
  <c r="K61" i="212"/>
  <c r="K62" i="212" s="1"/>
  <c r="K72" i="212" s="1"/>
  <c r="F48" i="213"/>
  <c r="E27" i="205"/>
  <c r="E28" i="205" s="1"/>
  <c r="N24" i="205"/>
  <c r="L48" i="205"/>
  <c r="L50" i="205" s="1"/>
  <c r="N46" i="205"/>
  <c r="I48" i="205"/>
  <c r="I61" i="205" s="1"/>
  <c r="M48" i="205"/>
  <c r="C88" i="205"/>
  <c r="D88" i="205" s="1"/>
  <c r="E88" i="205" s="1"/>
  <c r="F88" i="205" s="1"/>
  <c r="G88" i="205" s="1"/>
  <c r="H88" i="205" s="1"/>
  <c r="I88" i="205" s="1"/>
  <c r="J88" i="205" s="1"/>
  <c r="K88" i="205" s="1"/>
  <c r="L88" i="205" s="1"/>
  <c r="M88" i="205" s="1"/>
  <c r="J28" i="206"/>
  <c r="N87" i="206"/>
  <c r="K61" i="206"/>
  <c r="K62" i="206" s="1"/>
  <c r="K72" i="206" s="1"/>
  <c r="E28" i="207"/>
  <c r="L28" i="207"/>
  <c r="G27" i="207"/>
  <c r="G28" i="207" s="1"/>
  <c r="K27" i="207"/>
  <c r="K28" i="207" s="1"/>
  <c r="N26" i="207"/>
  <c r="N34" i="207"/>
  <c r="I48" i="207"/>
  <c r="I50" i="207" s="1"/>
  <c r="L48" i="207"/>
  <c r="L50" i="207" s="1"/>
  <c r="D48" i="208"/>
  <c r="E61" i="209"/>
  <c r="L28" i="209"/>
  <c r="N9" i="209"/>
  <c r="N13" i="209" s="1"/>
  <c r="C62" i="209"/>
  <c r="C72" i="209" s="1"/>
  <c r="D48" i="209"/>
  <c r="H48" i="209"/>
  <c r="H61" i="209" s="1"/>
  <c r="H62" i="209" s="1"/>
  <c r="H72" i="209" s="1"/>
  <c r="L48" i="209"/>
  <c r="K28" i="209"/>
  <c r="N24" i="209"/>
  <c r="G27" i="209"/>
  <c r="G28" i="209" s="1"/>
  <c r="N25" i="209"/>
  <c r="N34" i="209"/>
  <c r="I61" i="209"/>
  <c r="L50" i="211"/>
  <c r="C27" i="211"/>
  <c r="C28" i="211" s="1"/>
  <c r="F48" i="211"/>
  <c r="N58" i="211"/>
  <c r="N34" i="213"/>
  <c r="N20" i="213"/>
  <c r="B28" i="206"/>
  <c r="K28" i="206"/>
  <c r="N34" i="206"/>
  <c r="C48" i="206"/>
  <c r="C61" i="206" s="1"/>
  <c r="C62" i="206" s="1"/>
  <c r="C72" i="206" s="1"/>
  <c r="H48" i="207"/>
  <c r="N23" i="207"/>
  <c r="C88" i="207"/>
  <c r="D88" i="207" s="1"/>
  <c r="E88" i="207" s="1"/>
  <c r="F88" i="207" s="1"/>
  <c r="G88" i="207" s="1"/>
  <c r="H88" i="207" s="1"/>
  <c r="I88" i="207" s="1"/>
  <c r="J88" i="207" s="1"/>
  <c r="K88" i="207" s="1"/>
  <c r="L88" i="207" s="1"/>
  <c r="M88" i="207" s="1"/>
  <c r="N9" i="208"/>
  <c r="G13" i="208"/>
  <c r="N20" i="208"/>
  <c r="I28" i="209"/>
  <c r="N9" i="211"/>
  <c r="N13" i="211" s="1"/>
  <c r="N20" i="211"/>
  <c r="E28" i="211"/>
  <c r="J27" i="211"/>
  <c r="J28" i="211" s="1"/>
  <c r="M28" i="211"/>
  <c r="N25" i="211"/>
  <c r="N26" i="211"/>
  <c r="N34" i="211"/>
  <c r="J48" i="211"/>
  <c r="J61" i="211" s="1"/>
  <c r="J62" i="211" s="1"/>
  <c r="J72" i="211" s="1"/>
  <c r="N25" i="213"/>
  <c r="N24" i="213"/>
  <c r="I27" i="205"/>
  <c r="I28" i="205" s="1"/>
  <c r="L27" i="205"/>
  <c r="L28" i="205" s="1"/>
  <c r="N20" i="206"/>
  <c r="H27" i="206"/>
  <c r="H28" i="206" s="1"/>
  <c r="E48" i="207"/>
  <c r="E61" i="207" s="1"/>
  <c r="E62" i="207" s="1"/>
  <c r="E72" i="207" s="1"/>
  <c r="M28" i="207"/>
  <c r="M84" i="207"/>
  <c r="M58" i="207"/>
  <c r="D88" i="208"/>
  <c r="E88" i="208" s="1"/>
  <c r="F88" i="208" s="1"/>
  <c r="G88" i="208" s="1"/>
  <c r="H88" i="208" s="1"/>
  <c r="I88" i="208" s="1"/>
  <c r="J88" i="208" s="1"/>
  <c r="K88" i="208" s="1"/>
  <c r="J13" i="208"/>
  <c r="F27" i="209"/>
  <c r="F28" i="209" s="1"/>
  <c r="C88" i="209"/>
  <c r="D88" i="209" s="1"/>
  <c r="E88" i="209" s="1"/>
  <c r="F88" i="209" s="1"/>
  <c r="G88" i="209" s="1"/>
  <c r="H88" i="209" s="1"/>
  <c r="I88" i="209" s="1"/>
  <c r="J88" i="209" s="1"/>
  <c r="K88" i="209" s="1"/>
  <c r="L88" i="209" s="1"/>
  <c r="M88" i="209" s="1"/>
  <c r="B27" i="211"/>
  <c r="B28" i="211" s="1"/>
  <c r="K48" i="211"/>
  <c r="K61" i="211" s="1"/>
  <c r="K62" i="211" s="1"/>
  <c r="K72" i="211" s="1"/>
  <c r="D27" i="212"/>
  <c r="D28" i="212" s="1"/>
  <c r="L27" i="212"/>
  <c r="L28" i="212" s="1"/>
  <c r="N25" i="212"/>
  <c r="N26" i="212"/>
  <c r="C57" i="180"/>
  <c r="C60" i="180" s="1"/>
  <c r="N55" i="180"/>
  <c r="F38" i="185"/>
  <c r="F42" i="185" s="1"/>
  <c r="F48" i="185" s="1"/>
  <c r="M50" i="186"/>
  <c r="F61" i="191"/>
  <c r="E83" i="181"/>
  <c r="F88" i="181"/>
  <c r="G88" i="181" s="1"/>
  <c r="H88" i="181" s="1"/>
  <c r="I88" i="181" s="1"/>
  <c r="J88" i="181" s="1"/>
  <c r="K88" i="181" s="1"/>
  <c r="L88" i="181" s="1"/>
  <c r="M88" i="181" s="1"/>
  <c r="C27" i="180"/>
  <c r="N23" i="180"/>
  <c r="N26" i="180"/>
  <c r="N34" i="180"/>
  <c r="D38" i="180"/>
  <c r="F49" i="180"/>
  <c r="G47" i="180"/>
  <c r="G49" i="180" s="1"/>
  <c r="L86" i="180"/>
  <c r="L57" i="180"/>
  <c r="C82" i="180"/>
  <c r="B84" i="180"/>
  <c r="B62" i="181"/>
  <c r="B50" i="181"/>
  <c r="F50" i="181"/>
  <c r="H62" i="181"/>
  <c r="H72" i="181" s="1"/>
  <c r="J50" i="181"/>
  <c r="J62" i="181"/>
  <c r="J72" i="181" s="1"/>
  <c r="L62" i="181"/>
  <c r="L72" i="181" s="1"/>
  <c r="L50" i="181"/>
  <c r="E48" i="181"/>
  <c r="E50" i="181" s="1"/>
  <c r="D48" i="181"/>
  <c r="D61" i="181" s="1"/>
  <c r="D62" i="181" s="1"/>
  <c r="D72" i="181" s="1"/>
  <c r="D85" i="183"/>
  <c r="M62" i="182"/>
  <c r="M72" i="182" s="1"/>
  <c r="C50" i="182"/>
  <c r="C62" i="182"/>
  <c r="C72" i="182" s="1"/>
  <c r="K62" i="182"/>
  <c r="K72" i="182" s="1"/>
  <c r="J48" i="182"/>
  <c r="J61" i="182" s="1"/>
  <c r="J62" i="182" s="1"/>
  <c r="J72" i="182" s="1"/>
  <c r="E50" i="183"/>
  <c r="M62" i="183"/>
  <c r="M72" i="183" s="1"/>
  <c r="D48" i="183"/>
  <c r="D61" i="183" s="1"/>
  <c r="D62" i="183" s="1"/>
  <c r="D72" i="183" s="1"/>
  <c r="C62" i="184"/>
  <c r="C72" i="184" s="1"/>
  <c r="C50" i="184"/>
  <c r="F62" i="184"/>
  <c r="F72" i="184" s="1"/>
  <c r="F50" i="184"/>
  <c r="K50" i="184"/>
  <c r="B48" i="184"/>
  <c r="B50" i="184" s="1"/>
  <c r="I48" i="184"/>
  <c r="I61" i="184" s="1"/>
  <c r="I62" i="184" s="1"/>
  <c r="I72" i="184" s="1"/>
  <c r="I27" i="184"/>
  <c r="H48" i="184"/>
  <c r="H61" i="184" s="1"/>
  <c r="N87" i="184"/>
  <c r="C50" i="185"/>
  <c r="D50" i="185"/>
  <c r="L62" i="185"/>
  <c r="L72" i="185" s="1"/>
  <c r="L50" i="185"/>
  <c r="E48" i="185"/>
  <c r="E50" i="185" s="1"/>
  <c r="J38" i="185"/>
  <c r="J42" i="185" s="1"/>
  <c r="J48" i="185" s="1"/>
  <c r="J61" i="185" s="1"/>
  <c r="J62" i="185" s="1"/>
  <c r="J72" i="185" s="1"/>
  <c r="D61" i="185"/>
  <c r="D62" i="185" s="1"/>
  <c r="D72" i="185" s="1"/>
  <c r="L50" i="186"/>
  <c r="K50" i="189"/>
  <c r="J61" i="191"/>
  <c r="J62" i="191" s="1"/>
  <c r="J72" i="191" s="1"/>
  <c r="J50" i="191"/>
  <c r="B38" i="183"/>
  <c r="H50" i="184"/>
  <c r="C86" i="180"/>
  <c r="C87" i="180" s="1"/>
  <c r="D87" i="180" s="1"/>
  <c r="E87" i="180" s="1"/>
  <c r="N11" i="180"/>
  <c r="C13" i="180"/>
  <c r="M47" i="180"/>
  <c r="M60" i="180" s="1"/>
  <c r="M61" i="180" s="1"/>
  <c r="M71" i="180" s="1"/>
  <c r="H38" i="180"/>
  <c r="H41" i="180" s="1"/>
  <c r="H47" i="180" s="1"/>
  <c r="J60" i="180"/>
  <c r="J61" i="180" s="1"/>
  <c r="J71" i="180" s="1"/>
  <c r="N24" i="181"/>
  <c r="C27" i="181"/>
  <c r="F61" i="181"/>
  <c r="F62" i="181" s="1"/>
  <c r="F72" i="181" s="1"/>
  <c r="E61" i="181"/>
  <c r="E62" i="181" s="1"/>
  <c r="E72" i="181" s="1"/>
  <c r="C27" i="182"/>
  <c r="N24" i="182"/>
  <c r="N27" i="182" s="1"/>
  <c r="F48" i="182"/>
  <c r="F61" i="182" s="1"/>
  <c r="F62" i="182" s="1"/>
  <c r="F72" i="182" s="1"/>
  <c r="H62" i="184"/>
  <c r="H72" i="184" s="1"/>
  <c r="L50" i="184"/>
  <c r="L62" i="184"/>
  <c r="L72" i="184" s="1"/>
  <c r="G61" i="184"/>
  <c r="G62" i="184" s="1"/>
  <c r="G72" i="184" s="1"/>
  <c r="K61" i="184"/>
  <c r="K62" i="184" s="1"/>
  <c r="K72" i="184" s="1"/>
  <c r="K61" i="186"/>
  <c r="K62" i="186" s="1"/>
  <c r="K72" i="186" s="1"/>
  <c r="K50" i="186"/>
  <c r="E50" i="182"/>
  <c r="B42" i="182"/>
  <c r="B48" i="182" s="1"/>
  <c r="B50" i="182" s="1"/>
  <c r="N38" i="182"/>
  <c r="N42" i="182" s="1"/>
  <c r="N48" i="182" s="1"/>
  <c r="N61" i="182" s="1"/>
  <c r="N62" i="182" s="1"/>
  <c r="P72" i="182" s="1"/>
  <c r="C83" i="182"/>
  <c r="B85" i="182"/>
  <c r="L50" i="183"/>
  <c r="L62" i="183"/>
  <c r="L72" i="183" s="1"/>
  <c r="C87" i="183"/>
  <c r="C88" i="183" s="1"/>
  <c r="D88" i="183" s="1"/>
  <c r="E88" i="183" s="1"/>
  <c r="F88" i="183" s="1"/>
  <c r="G88" i="183" s="1"/>
  <c r="H88" i="183" s="1"/>
  <c r="I88" i="183" s="1"/>
  <c r="J88" i="183" s="1"/>
  <c r="K88" i="183" s="1"/>
  <c r="L88" i="183" s="1"/>
  <c r="M88" i="183" s="1"/>
  <c r="C58" i="183"/>
  <c r="C61" i="183" s="1"/>
  <c r="C62" i="183" s="1"/>
  <c r="C72" i="183" s="1"/>
  <c r="E83" i="186"/>
  <c r="D85" i="186"/>
  <c r="I61" i="189"/>
  <c r="I62" i="189" s="1"/>
  <c r="I72" i="189" s="1"/>
  <c r="I27" i="180"/>
  <c r="I86" i="180"/>
  <c r="I57" i="180"/>
  <c r="I60" i="180" s="1"/>
  <c r="I61" i="180" s="1"/>
  <c r="I71" i="180" s="1"/>
  <c r="N48" i="181"/>
  <c r="B27" i="181"/>
  <c r="N23" i="181"/>
  <c r="H50" i="181"/>
  <c r="L38" i="180"/>
  <c r="L41" i="180" s="1"/>
  <c r="L47" i="180" s="1"/>
  <c r="L49" i="180" s="1"/>
  <c r="F60" i="180"/>
  <c r="F61" i="180" s="1"/>
  <c r="F71" i="180" s="1"/>
  <c r="E85" i="183"/>
  <c r="F83" i="183"/>
  <c r="G62" i="182"/>
  <c r="G72" i="182" s="1"/>
  <c r="J50" i="182"/>
  <c r="K48" i="182"/>
  <c r="K61" i="182" s="1"/>
  <c r="J48" i="183"/>
  <c r="J50" i="183" s="1"/>
  <c r="N24" i="183"/>
  <c r="D27" i="183"/>
  <c r="F38" i="183"/>
  <c r="F42" i="183" s="1"/>
  <c r="F48" i="183"/>
  <c r="F50" i="183" s="1"/>
  <c r="N58" i="183"/>
  <c r="G50" i="184"/>
  <c r="E27" i="184"/>
  <c r="N23" i="184"/>
  <c r="N27" i="184" s="1"/>
  <c r="E38" i="184"/>
  <c r="E42" i="184" s="1"/>
  <c r="E48" i="184" s="1"/>
  <c r="M38" i="184"/>
  <c r="M42" i="184" s="1"/>
  <c r="M48" i="184" s="1"/>
  <c r="B61" i="184"/>
  <c r="B62" i="184" s="1"/>
  <c r="C87" i="185"/>
  <c r="C88" i="185" s="1"/>
  <c r="D88" i="185" s="1"/>
  <c r="E88" i="185" s="1"/>
  <c r="F88" i="185" s="1"/>
  <c r="G88" i="185" s="1"/>
  <c r="H88" i="185" s="1"/>
  <c r="I88" i="185" s="1"/>
  <c r="J88" i="185" s="1"/>
  <c r="K88" i="185" s="1"/>
  <c r="L88" i="185" s="1"/>
  <c r="M88" i="185" s="1"/>
  <c r="N56" i="185"/>
  <c r="N87" i="185" s="1"/>
  <c r="H62" i="185"/>
  <c r="H72" i="185" s="1"/>
  <c r="H50" i="185"/>
  <c r="N24" i="185"/>
  <c r="N27" i="185" s="1"/>
  <c r="N25" i="185"/>
  <c r="B42" i="185"/>
  <c r="B48" i="185" s="1"/>
  <c r="B61" i="185" s="1"/>
  <c r="B62" i="185" s="1"/>
  <c r="B42" i="186"/>
  <c r="B48" i="186" s="1"/>
  <c r="B50" i="186" s="1"/>
  <c r="F48" i="187"/>
  <c r="B42" i="190"/>
  <c r="B48" i="190" s="1"/>
  <c r="B61" i="190" s="1"/>
  <c r="B62" i="190" s="1"/>
  <c r="I62" i="187"/>
  <c r="I72" i="187" s="1"/>
  <c r="C38" i="186"/>
  <c r="C42" i="186" s="1"/>
  <c r="C48" i="186" s="1"/>
  <c r="F83" i="187"/>
  <c r="F87" i="186"/>
  <c r="F88" i="186" s="1"/>
  <c r="G88" i="186" s="1"/>
  <c r="H88" i="186" s="1"/>
  <c r="I88" i="186" s="1"/>
  <c r="J88" i="186" s="1"/>
  <c r="K88" i="186" s="1"/>
  <c r="L88" i="186" s="1"/>
  <c r="M88" i="186" s="1"/>
  <c r="F58" i="186"/>
  <c r="N57" i="186"/>
  <c r="E61" i="187"/>
  <c r="E62" i="187" s="1"/>
  <c r="E72" i="187" s="1"/>
  <c r="J62" i="187"/>
  <c r="J72" i="187" s="1"/>
  <c r="K48" i="187"/>
  <c r="K61" i="187" s="1"/>
  <c r="K62" i="187" s="1"/>
  <c r="K72" i="187" s="1"/>
  <c r="N23" i="188"/>
  <c r="M48" i="188"/>
  <c r="F48" i="188"/>
  <c r="F50" i="188" s="1"/>
  <c r="E48" i="189"/>
  <c r="E50" i="189" s="1"/>
  <c r="B27" i="189"/>
  <c r="N24" i="189"/>
  <c r="N27" i="189" s="1"/>
  <c r="F87" i="189"/>
  <c r="F88" i="189" s="1"/>
  <c r="G88" i="189" s="1"/>
  <c r="H88" i="189" s="1"/>
  <c r="I88" i="189" s="1"/>
  <c r="J88" i="189" s="1"/>
  <c r="K88" i="189" s="1"/>
  <c r="L88" i="189" s="1"/>
  <c r="M88" i="189" s="1"/>
  <c r="F58" i="189"/>
  <c r="I62" i="190"/>
  <c r="I72" i="190" s="1"/>
  <c r="G38" i="190"/>
  <c r="G42" i="190" s="1"/>
  <c r="G48" i="190" s="1"/>
  <c r="D38" i="191"/>
  <c r="D42" i="191" s="1"/>
  <c r="D48" i="191" s="1"/>
  <c r="D61" i="191" s="1"/>
  <c r="D62" i="191" s="1"/>
  <c r="D72" i="191" s="1"/>
  <c r="I50" i="188"/>
  <c r="I62" i="188"/>
  <c r="I72" i="188" s="1"/>
  <c r="E50" i="190"/>
  <c r="H61" i="195"/>
  <c r="H62" i="195" s="1"/>
  <c r="H72" i="195" s="1"/>
  <c r="H50" i="195"/>
  <c r="K50" i="185"/>
  <c r="B27" i="186"/>
  <c r="D85" i="187"/>
  <c r="J50" i="187"/>
  <c r="D50" i="187"/>
  <c r="M48" i="187"/>
  <c r="M61" i="187" s="1"/>
  <c r="M62" i="187" s="1"/>
  <c r="M72" i="187" s="1"/>
  <c r="D87" i="187"/>
  <c r="D88" i="187" s="1"/>
  <c r="E88" i="187" s="1"/>
  <c r="F88" i="187" s="1"/>
  <c r="G88" i="187" s="1"/>
  <c r="H88" i="187" s="1"/>
  <c r="I88" i="187" s="1"/>
  <c r="J88" i="187" s="1"/>
  <c r="K88" i="187" s="1"/>
  <c r="L88" i="187" s="1"/>
  <c r="M88" i="187" s="1"/>
  <c r="N56" i="187"/>
  <c r="N87" i="187" s="1"/>
  <c r="C58" i="188"/>
  <c r="D50" i="188"/>
  <c r="H50" i="188"/>
  <c r="H62" i="188"/>
  <c r="H72" i="188" s="1"/>
  <c r="G48" i="188"/>
  <c r="G50" i="188" s="1"/>
  <c r="N34" i="188"/>
  <c r="N57" i="188"/>
  <c r="F58" i="188"/>
  <c r="J61" i="188"/>
  <c r="J62" i="188" s="1"/>
  <c r="J72" i="188" s="1"/>
  <c r="C50" i="189"/>
  <c r="B48" i="189"/>
  <c r="B50" i="189" s="1"/>
  <c r="J48" i="189"/>
  <c r="J50" i="189" s="1"/>
  <c r="C58" i="189"/>
  <c r="C61" i="189" s="1"/>
  <c r="C62" i="189" s="1"/>
  <c r="C72" i="189" s="1"/>
  <c r="N56" i="189"/>
  <c r="N87" i="189" s="1"/>
  <c r="E61" i="189"/>
  <c r="E62" i="189" s="1"/>
  <c r="E72" i="189" s="1"/>
  <c r="C48" i="190"/>
  <c r="C50" i="190" s="1"/>
  <c r="J48" i="190"/>
  <c r="J61" i="190" s="1"/>
  <c r="D48" i="190"/>
  <c r="D61" i="190" s="1"/>
  <c r="D62" i="190" s="1"/>
  <c r="D72" i="190" s="1"/>
  <c r="L27" i="190"/>
  <c r="N24" i="190"/>
  <c r="C27" i="190"/>
  <c r="N25" i="190"/>
  <c r="E87" i="190"/>
  <c r="E88" i="190" s="1"/>
  <c r="E58" i="190"/>
  <c r="E61" i="190" s="1"/>
  <c r="E62" i="190" s="1"/>
  <c r="E72" i="190" s="1"/>
  <c r="C83" i="190"/>
  <c r="N23" i="191"/>
  <c r="N11" i="191"/>
  <c r="N13" i="191" s="1"/>
  <c r="B42" i="191"/>
  <c r="B48" i="191" s="1"/>
  <c r="G50" i="192"/>
  <c r="G62" i="192"/>
  <c r="G72" i="192" s="1"/>
  <c r="N13" i="193"/>
  <c r="L50" i="193"/>
  <c r="L62" i="193"/>
  <c r="L72" i="193" s="1"/>
  <c r="H38" i="187"/>
  <c r="H42" i="187" s="1"/>
  <c r="H48" i="187" s="1"/>
  <c r="H61" i="187" s="1"/>
  <c r="H62" i="187" s="1"/>
  <c r="H72" i="187" s="1"/>
  <c r="L50" i="188"/>
  <c r="I50" i="189"/>
  <c r="M50" i="191"/>
  <c r="D50" i="192"/>
  <c r="D62" i="192"/>
  <c r="D72" i="192" s="1"/>
  <c r="N56" i="186"/>
  <c r="H27" i="186"/>
  <c r="N23" i="187"/>
  <c r="L50" i="187"/>
  <c r="K50" i="187"/>
  <c r="N24" i="187"/>
  <c r="N34" i="187"/>
  <c r="G48" i="187"/>
  <c r="G61" i="187" s="1"/>
  <c r="G62" i="187" s="1"/>
  <c r="G72" i="187" s="1"/>
  <c r="B58" i="187"/>
  <c r="B61" i="187" s="1"/>
  <c r="B62" i="187" s="1"/>
  <c r="N55" i="187"/>
  <c r="C48" i="188"/>
  <c r="C50" i="188" s="1"/>
  <c r="K50" i="188"/>
  <c r="B38" i="188"/>
  <c r="E87" i="188"/>
  <c r="G61" i="188"/>
  <c r="G62" i="188" s="1"/>
  <c r="G72" i="188" s="1"/>
  <c r="K61" i="188"/>
  <c r="K62" i="188" s="1"/>
  <c r="K72" i="188" s="1"/>
  <c r="H13" i="189"/>
  <c r="L38" i="189"/>
  <c r="L42" i="189" s="1"/>
  <c r="L48" i="189" s="1"/>
  <c r="I50" i="190"/>
  <c r="H50" i="190"/>
  <c r="M50" i="190"/>
  <c r="M62" i="190"/>
  <c r="M72" i="190" s="1"/>
  <c r="N23" i="190"/>
  <c r="F38" i="190"/>
  <c r="F42" i="190" s="1"/>
  <c r="F48" i="190" s="1"/>
  <c r="K50" i="191"/>
  <c r="B27" i="191"/>
  <c r="H38" i="191"/>
  <c r="H42" i="191" s="1"/>
  <c r="H48" i="191" s="1"/>
  <c r="K61" i="191"/>
  <c r="K62" i="191" s="1"/>
  <c r="K72" i="191" s="1"/>
  <c r="D83" i="191"/>
  <c r="C85" i="191"/>
  <c r="C50" i="192"/>
  <c r="C62" i="192"/>
  <c r="C72" i="192" s="1"/>
  <c r="K50" i="192"/>
  <c r="K62" i="192"/>
  <c r="K72" i="192" s="1"/>
  <c r="B61" i="192"/>
  <c r="B62" i="192" s="1"/>
  <c r="E83" i="193"/>
  <c r="D85" i="193"/>
  <c r="C61" i="193"/>
  <c r="C62" i="193" s="1"/>
  <c r="C72" i="193" s="1"/>
  <c r="N56" i="194"/>
  <c r="N87" i="194" s="1"/>
  <c r="C87" i="194"/>
  <c r="C88" i="194" s="1"/>
  <c r="D88" i="194" s="1"/>
  <c r="E50" i="195"/>
  <c r="C27" i="196"/>
  <c r="N23" i="196"/>
  <c r="C85" i="206"/>
  <c r="D83" i="206"/>
  <c r="F87" i="190"/>
  <c r="E58" i="191"/>
  <c r="E61" i="191" s="1"/>
  <c r="E62" i="191" s="1"/>
  <c r="E72" i="191" s="1"/>
  <c r="C87" i="191"/>
  <c r="C88" i="191" s="1"/>
  <c r="D88" i="191" s="1"/>
  <c r="E88" i="191" s="1"/>
  <c r="N56" i="191"/>
  <c r="N87" i="191" s="1"/>
  <c r="I48" i="191"/>
  <c r="I61" i="191" s="1"/>
  <c r="I62" i="191" s="1"/>
  <c r="I72" i="191" s="1"/>
  <c r="F87" i="191"/>
  <c r="I48" i="192"/>
  <c r="N38" i="192"/>
  <c r="N42" i="192" s="1"/>
  <c r="N48" i="192" s="1"/>
  <c r="F27" i="192"/>
  <c r="M58" i="192"/>
  <c r="G62" i="193"/>
  <c r="G72" i="193" s="1"/>
  <c r="J50" i="193"/>
  <c r="I61" i="193"/>
  <c r="H50" i="194"/>
  <c r="C48" i="194"/>
  <c r="C50" i="194" s="1"/>
  <c r="J48" i="194"/>
  <c r="J61" i="194" s="1"/>
  <c r="N25" i="194"/>
  <c r="N26" i="194"/>
  <c r="B27" i="194"/>
  <c r="N34" i="194"/>
  <c r="D48" i="194"/>
  <c r="D61" i="194" s="1"/>
  <c r="D62" i="194" s="1"/>
  <c r="D72" i="194" s="1"/>
  <c r="G48" i="194"/>
  <c r="G61" i="194" s="1"/>
  <c r="G62" i="194" s="1"/>
  <c r="G72" i="194" s="1"/>
  <c r="D61" i="195"/>
  <c r="D62" i="195" s="1"/>
  <c r="D72" i="195" s="1"/>
  <c r="M48" i="195"/>
  <c r="G83" i="198"/>
  <c r="G50" i="196"/>
  <c r="H48" i="196"/>
  <c r="K50" i="197"/>
  <c r="K61" i="197"/>
  <c r="K62" i="197" s="1"/>
  <c r="K72" i="197" s="1"/>
  <c r="B27" i="198"/>
  <c r="B28" i="198" s="1"/>
  <c r="N23" i="198"/>
  <c r="F27" i="199"/>
  <c r="F28" i="199" s="1"/>
  <c r="N23" i="199"/>
  <c r="N27" i="199" s="1"/>
  <c r="N28" i="199" s="1"/>
  <c r="M50" i="205"/>
  <c r="M61" i="205"/>
  <c r="M62" i="205" s="1"/>
  <c r="M72" i="205" s="1"/>
  <c r="N11" i="189"/>
  <c r="D48" i="189"/>
  <c r="M48" i="192"/>
  <c r="M50" i="192" s="1"/>
  <c r="E48" i="192"/>
  <c r="E61" i="192" s="1"/>
  <c r="E62" i="192" s="1"/>
  <c r="E72" i="192" s="1"/>
  <c r="H13" i="192"/>
  <c r="K62" i="193"/>
  <c r="K72" i="193" s="1"/>
  <c r="E48" i="193"/>
  <c r="J27" i="193"/>
  <c r="J61" i="193"/>
  <c r="J62" i="193" s="1"/>
  <c r="J72" i="193" s="1"/>
  <c r="N23" i="194"/>
  <c r="L50" i="194"/>
  <c r="L62" i="194"/>
  <c r="L72" i="194" s="1"/>
  <c r="B85" i="194"/>
  <c r="C83" i="194"/>
  <c r="I50" i="195"/>
  <c r="L62" i="195"/>
  <c r="L72" i="195" s="1"/>
  <c r="E27" i="195"/>
  <c r="N23" i="195"/>
  <c r="K48" i="195"/>
  <c r="K61" i="195" s="1"/>
  <c r="K62" i="195" s="1"/>
  <c r="K72" i="195" s="1"/>
  <c r="F38" i="197"/>
  <c r="F42" i="197" s="1"/>
  <c r="F48" i="197" s="1"/>
  <c r="N11" i="192"/>
  <c r="N13" i="192" s="1"/>
  <c r="F48" i="192"/>
  <c r="F50" i="192" s="1"/>
  <c r="J48" i="192"/>
  <c r="B27" i="192"/>
  <c r="N23" i="192"/>
  <c r="J27" i="192"/>
  <c r="C83" i="192"/>
  <c r="B85" i="192"/>
  <c r="M84" i="192"/>
  <c r="F48" i="193"/>
  <c r="F50" i="193" s="1"/>
  <c r="M48" i="193"/>
  <c r="M61" i="193" s="1"/>
  <c r="M62" i="193" s="1"/>
  <c r="M72" i="193" s="1"/>
  <c r="N23" i="193"/>
  <c r="N24" i="193"/>
  <c r="N25" i="193"/>
  <c r="B27" i="193"/>
  <c r="D38" i="193"/>
  <c r="D42" i="193" s="1"/>
  <c r="D48" i="193" s="1"/>
  <c r="C88" i="193"/>
  <c r="C58" i="194"/>
  <c r="B72" i="195"/>
  <c r="B63" i="195"/>
  <c r="B38" i="194"/>
  <c r="E87" i="194"/>
  <c r="E58" i="194"/>
  <c r="L50" i="195"/>
  <c r="C27" i="195"/>
  <c r="N25" i="195"/>
  <c r="I61" i="195"/>
  <c r="I62" i="195" s="1"/>
  <c r="I72" i="195" s="1"/>
  <c r="B38" i="196"/>
  <c r="M50" i="199"/>
  <c r="M61" i="199"/>
  <c r="M62" i="199" s="1"/>
  <c r="M72" i="199" s="1"/>
  <c r="C13" i="200"/>
  <c r="C28" i="200"/>
  <c r="G62" i="200"/>
  <c r="G72" i="200" s="1"/>
  <c r="G50" i="200"/>
  <c r="H50" i="200"/>
  <c r="H61" i="200"/>
  <c r="H62" i="200" s="1"/>
  <c r="H72" i="200" s="1"/>
  <c r="L50" i="200"/>
  <c r="F38" i="200"/>
  <c r="B50" i="200"/>
  <c r="B61" i="200"/>
  <c r="C85" i="200"/>
  <c r="D83" i="200"/>
  <c r="K27" i="193"/>
  <c r="N9" i="194"/>
  <c r="J13" i="194"/>
  <c r="I48" i="196"/>
  <c r="I61" i="196" s="1"/>
  <c r="N27" i="197"/>
  <c r="B38" i="197"/>
  <c r="G61" i="197"/>
  <c r="G62" i="197" s="1"/>
  <c r="G72" i="197" s="1"/>
  <c r="G50" i="197"/>
  <c r="B85" i="197"/>
  <c r="C83" i="197"/>
  <c r="E50" i="198"/>
  <c r="E62" i="198"/>
  <c r="E72" i="198" s="1"/>
  <c r="G50" i="198"/>
  <c r="G62" i="198"/>
  <c r="G72" i="198" s="1"/>
  <c r="I62" i="198"/>
  <c r="I72" i="198" s="1"/>
  <c r="I50" i="198"/>
  <c r="M62" i="198"/>
  <c r="M72" i="198" s="1"/>
  <c r="C48" i="198"/>
  <c r="C61" i="198" s="1"/>
  <c r="C62" i="198" s="1"/>
  <c r="C72" i="198" s="1"/>
  <c r="K48" i="198"/>
  <c r="K61" i="198" s="1"/>
  <c r="K62" i="198" s="1"/>
  <c r="K72" i="198" s="1"/>
  <c r="AB33" i="198"/>
  <c r="AP33" i="198" s="1"/>
  <c r="N34" i="198"/>
  <c r="H38" i="198"/>
  <c r="H42" i="198" s="1"/>
  <c r="H48" i="198" s="1"/>
  <c r="H62" i="199"/>
  <c r="H72" i="199" s="1"/>
  <c r="H50" i="199"/>
  <c r="J50" i="199"/>
  <c r="J62" i="199"/>
  <c r="J72" i="199" s="1"/>
  <c r="D48" i="199"/>
  <c r="D61" i="199" s="1"/>
  <c r="D62" i="199" s="1"/>
  <c r="D72" i="199" s="1"/>
  <c r="D27" i="199"/>
  <c r="D28" i="199" s="1"/>
  <c r="B42" i="199"/>
  <c r="B48" i="199" s="1"/>
  <c r="I48" i="199"/>
  <c r="H50" i="202"/>
  <c r="H62" i="202"/>
  <c r="H72" i="202" s="1"/>
  <c r="B27" i="205"/>
  <c r="B28" i="205" s="1"/>
  <c r="N23" i="205"/>
  <c r="N27" i="205" s="1"/>
  <c r="N28" i="205" s="1"/>
  <c r="L61" i="205"/>
  <c r="L62" i="205" s="1"/>
  <c r="L72" i="205" s="1"/>
  <c r="C83" i="205"/>
  <c r="B85" i="205"/>
  <c r="B42" i="193"/>
  <c r="B48" i="193" s="1"/>
  <c r="B50" i="193" s="1"/>
  <c r="G27" i="193"/>
  <c r="N46" i="193"/>
  <c r="H62" i="194"/>
  <c r="H72" i="194" s="1"/>
  <c r="F13" i="194"/>
  <c r="I27" i="194"/>
  <c r="F87" i="194"/>
  <c r="J62" i="195"/>
  <c r="J72" i="195" s="1"/>
  <c r="F48" i="195"/>
  <c r="F50" i="195" s="1"/>
  <c r="L48" i="196"/>
  <c r="J38" i="196"/>
  <c r="J42" i="196" s="1"/>
  <c r="J48" i="196" s="1"/>
  <c r="N34" i="197"/>
  <c r="C61" i="197"/>
  <c r="C62" i="197" s="1"/>
  <c r="C72" i="197" s="1"/>
  <c r="C50" i="197"/>
  <c r="N55" i="197"/>
  <c r="N58" i="197" s="1"/>
  <c r="B58" i="197"/>
  <c r="D61" i="197"/>
  <c r="D62" i="197" s="1"/>
  <c r="D72" i="197" s="1"/>
  <c r="N24" i="198"/>
  <c r="M50" i="198"/>
  <c r="N55" i="198"/>
  <c r="N58" i="198" s="1"/>
  <c r="B58" i="198"/>
  <c r="L61" i="198"/>
  <c r="L62" i="198" s="1"/>
  <c r="L72" i="198" s="1"/>
  <c r="L62" i="199"/>
  <c r="L72" i="199" s="1"/>
  <c r="H27" i="199"/>
  <c r="H28" i="199" s="1"/>
  <c r="E62" i="199"/>
  <c r="E72" i="199" s="1"/>
  <c r="E50" i="199"/>
  <c r="F61" i="201"/>
  <c r="F62" i="201" s="1"/>
  <c r="F72" i="201" s="1"/>
  <c r="F50" i="201"/>
  <c r="I13" i="193"/>
  <c r="C27" i="193"/>
  <c r="F87" i="193"/>
  <c r="B85" i="193"/>
  <c r="C50" i="196"/>
  <c r="G62" i="196"/>
  <c r="G72" i="196" s="1"/>
  <c r="I62" i="196"/>
  <c r="I72" i="196" s="1"/>
  <c r="K50" i="196"/>
  <c r="M62" i="196"/>
  <c r="M72" i="196" s="1"/>
  <c r="M50" i="196"/>
  <c r="B27" i="196"/>
  <c r="F27" i="196"/>
  <c r="J27" i="196"/>
  <c r="F38" i="196"/>
  <c r="F42" i="196" s="1"/>
  <c r="F48" i="196" s="1"/>
  <c r="F50" i="196" s="1"/>
  <c r="D50" i="197"/>
  <c r="I61" i="197"/>
  <c r="I62" i="197" s="1"/>
  <c r="I72" i="197" s="1"/>
  <c r="M48" i="197"/>
  <c r="J38" i="197"/>
  <c r="J42" i="197" s="1"/>
  <c r="J48" i="197" s="1"/>
  <c r="B38" i="198"/>
  <c r="J38" i="198"/>
  <c r="J42" i="198" s="1"/>
  <c r="J48" i="198" s="1"/>
  <c r="AB33" i="199"/>
  <c r="AP33" i="199" s="1"/>
  <c r="N34" i="199"/>
  <c r="C38" i="199"/>
  <c r="C42" i="199" s="1"/>
  <c r="C48" i="199" s="1"/>
  <c r="C50" i="199" s="1"/>
  <c r="N24" i="200"/>
  <c r="D27" i="200"/>
  <c r="D28" i="200" s="1"/>
  <c r="E27" i="202"/>
  <c r="E28" i="202" s="1"/>
  <c r="N23" i="202"/>
  <c r="C42" i="202"/>
  <c r="F50" i="202"/>
  <c r="H62" i="204"/>
  <c r="H72" i="204" s="1"/>
  <c r="H50" i="204"/>
  <c r="K50" i="204"/>
  <c r="K62" i="204"/>
  <c r="K72" i="204" s="1"/>
  <c r="G38" i="204"/>
  <c r="G42" i="204" s="1"/>
  <c r="G48" i="204" s="1"/>
  <c r="G27" i="200"/>
  <c r="G28" i="200" s="1"/>
  <c r="B61" i="201"/>
  <c r="C42" i="201"/>
  <c r="C48" i="201" s="1"/>
  <c r="C50" i="201" s="1"/>
  <c r="C88" i="201"/>
  <c r="D88" i="201" s="1"/>
  <c r="E88" i="201" s="1"/>
  <c r="F88" i="201" s="1"/>
  <c r="G88" i="201" s="1"/>
  <c r="H88" i="201" s="1"/>
  <c r="I88" i="201" s="1"/>
  <c r="J88" i="201" s="1"/>
  <c r="K88" i="201" s="1"/>
  <c r="L88" i="201" s="1"/>
  <c r="M88" i="201" s="1"/>
  <c r="G50" i="202"/>
  <c r="B48" i="202"/>
  <c r="B50" i="202" s="1"/>
  <c r="D28" i="202"/>
  <c r="H28" i="202"/>
  <c r="L50" i="203"/>
  <c r="D83" i="203"/>
  <c r="C85" i="203"/>
  <c r="C27" i="207"/>
  <c r="C28" i="207" s="1"/>
  <c r="N24" i="207"/>
  <c r="D48" i="196"/>
  <c r="K27" i="200"/>
  <c r="K28" i="200" s="1"/>
  <c r="D28" i="201"/>
  <c r="M50" i="201"/>
  <c r="J28" i="201"/>
  <c r="H38" i="201"/>
  <c r="H42" i="201" s="1"/>
  <c r="H48" i="201" s="1"/>
  <c r="B85" i="201"/>
  <c r="C83" i="201"/>
  <c r="E61" i="202"/>
  <c r="E62" i="202" s="1"/>
  <c r="E72" i="202" s="1"/>
  <c r="M62" i="202"/>
  <c r="M72" i="202" s="1"/>
  <c r="C48" i="202"/>
  <c r="C61" i="202" s="1"/>
  <c r="C62" i="202" s="1"/>
  <c r="C72" i="202" s="1"/>
  <c r="I38" i="202"/>
  <c r="I42" i="202" s="1"/>
  <c r="I48" i="202" s="1"/>
  <c r="I61" i="202" s="1"/>
  <c r="N13" i="203"/>
  <c r="D62" i="203"/>
  <c r="D72" i="203" s="1"/>
  <c r="F13" i="208"/>
  <c r="F28" i="208"/>
  <c r="L13" i="208"/>
  <c r="L28" i="208"/>
  <c r="N11" i="208"/>
  <c r="N13" i="208" s="1"/>
  <c r="C13" i="208"/>
  <c r="G50" i="208"/>
  <c r="G62" i="208"/>
  <c r="G72" i="208" s="1"/>
  <c r="I38" i="208"/>
  <c r="I42" i="208" s="1"/>
  <c r="I48" i="208" s="1"/>
  <c r="B58" i="208"/>
  <c r="N55" i="208"/>
  <c r="H28" i="198"/>
  <c r="K48" i="200"/>
  <c r="E48" i="201"/>
  <c r="E50" i="201" s="1"/>
  <c r="I48" i="201"/>
  <c r="I61" i="201" s="1"/>
  <c r="I62" i="201" s="1"/>
  <c r="I72" i="201" s="1"/>
  <c r="G27" i="201"/>
  <c r="G28" i="201" s="1"/>
  <c r="N24" i="201"/>
  <c r="D38" i="201"/>
  <c r="D42" i="201" s="1"/>
  <c r="D48" i="201" s="1"/>
  <c r="N46" i="201"/>
  <c r="J48" i="202"/>
  <c r="J61" i="202" s="1"/>
  <c r="J62" i="202" s="1"/>
  <c r="J72" i="202" s="1"/>
  <c r="B58" i="202"/>
  <c r="N55" i="202"/>
  <c r="N58" i="202" s="1"/>
  <c r="M50" i="203"/>
  <c r="M61" i="203"/>
  <c r="M62" i="203" s="1"/>
  <c r="M72" i="203" s="1"/>
  <c r="B27" i="203"/>
  <c r="B28" i="203" s="1"/>
  <c r="N24" i="203"/>
  <c r="N27" i="203" s="1"/>
  <c r="N28" i="203" s="1"/>
  <c r="J38" i="203"/>
  <c r="J42" i="203" s="1"/>
  <c r="J48" i="203" s="1"/>
  <c r="C83" i="204"/>
  <c r="B85" i="204"/>
  <c r="J48" i="200"/>
  <c r="J61" i="200" s="1"/>
  <c r="J62" i="200" s="1"/>
  <c r="J72" i="200" s="1"/>
  <c r="J48" i="201"/>
  <c r="J61" i="201" s="1"/>
  <c r="J62" i="201" s="1"/>
  <c r="J72" i="201" s="1"/>
  <c r="M28" i="202"/>
  <c r="D48" i="202"/>
  <c r="D61" i="202" s="1"/>
  <c r="D62" i="202" s="1"/>
  <c r="D72" i="202" s="1"/>
  <c r="K48" i="202"/>
  <c r="F38" i="203"/>
  <c r="F50" i="204"/>
  <c r="F62" i="204"/>
  <c r="F72" i="204" s="1"/>
  <c r="C38" i="204"/>
  <c r="C42" i="204" s="1"/>
  <c r="C48" i="204" s="1"/>
  <c r="G48" i="205"/>
  <c r="G61" i="205" s="1"/>
  <c r="G61" i="206"/>
  <c r="C83" i="207"/>
  <c r="B85" i="207"/>
  <c r="M61" i="207"/>
  <c r="M62" i="207" s="1"/>
  <c r="M72" i="207" s="1"/>
  <c r="K28" i="201"/>
  <c r="N87" i="201"/>
  <c r="N11" i="202"/>
  <c r="N13" i="202" s="1"/>
  <c r="L48" i="202"/>
  <c r="B85" i="202"/>
  <c r="C13" i="203"/>
  <c r="F13" i="203"/>
  <c r="N87" i="203"/>
  <c r="C88" i="203"/>
  <c r="D88" i="203" s="1"/>
  <c r="E88" i="203" s="1"/>
  <c r="F88" i="203" s="1"/>
  <c r="G88" i="203" s="1"/>
  <c r="H88" i="203" s="1"/>
  <c r="I88" i="203" s="1"/>
  <c r="J88" i="203" s="1"/>
  <c r="K88" i="203" s="1"/>
  <c r="L88" i="203" s="1"/>
  <c r="M88" i="203" s="1"/>
  <c r="D13" i="204"/>
  <c r="N23" i="204"/>
  <c r="N27" i="204" s="1"/>
  <c r="N28" i="204" s="1"/>
  <c r="I48" i="204"/>
  <c r="I61" i="204" s="1"/>
  <c r="I62" i="204" s="1"/>
  <c r="I72" i="204" s="1"/>
  <c r="D48" i="205"/>
  <c r="D61" i="205" s="1"/>
  <c r="D62" i="205" s="1"/>
  <c r="D72" i="205" s="1"/>
  <c r="C42" i="205"/>
  <c r="N38" i="205"/>
  <c r="N42" i="205" s="1"/>
  <c r="N48" i="205" s="1"/>
  <c r="F61" i="206"/>
  <c r="F62" i="206" s="1"/>
  <c r="F72" i="206" s="1"/>
  <c r="D50" i="203"/>
  <c r="N20" i="203"/>
  <c r="J13" i="204"/>
  <c r="M50" i="204"/>
  <c r="M62" i="204"/>
  <c r="M72" i="204" s="1"/>
  <c r="N11" i="204"/>
  <c r="N13" i="204" s="1"/>
  <c r="B42" i="204"/>
  <c r="B48" i="204" s="1"/>
  <c r="B50" i="204" s="1"/>
  <c r="N38" i="204"/>
  <c r="N42" i="204" s="1"/>
  <c r="N48" i="204" s="1"/>
  <c r="N61" i="204" s="1"/>
  <c r="E48" i="205"/>
  <c r="E61" i="205" s="1"/>
  <c r="G13" i="206"/>
  <c r="G28" i="206"/>
  <c r="C27" i="206"/>
  <c r="C28" i="206" s="1"/>
  <c r="N23" i="206"/>
  <c r="L48" i="204"/>
  <c r="L61" i="204" s="1"/>
  <c r="L62" i="204" s="1"/>
  <c r="L72" i="204" s="1"/>
  <c r="G28" i="205"/>
  <c r="N58" i="206"/>
  <c r="K50" i="206"/>
  <c r="D88" i="206"/>
  <c r="E88" i="206" s="1"/>
  <c r="F88" i="206" s="1"/>
  <c r="G88" i="206" s="1"/>
  <c r="H88" i="206" s="1"/>
  <c r="I88" i="206" s="1"/>
  <c r="J88" i="206" s="1"/>
  <c r="K88" i="206" s="1"/>
  <c r="L88" i="206" s="1"/>
  <c r="M88" i="206" s="1"/>
  <c r="K50" i="207"/>
  <c r="D48" i="207"/>
  <c r="B42" i="207"/>
  <c r="B48" i="207" s="1"/>
  <c r="B50" i="207" s="1"/>
  <c r="I48" i="203"/>
  <c r="G13" i="205"/>
  <c r="E13" i="205"/>
  <c r="H13" i="205"/>
  <c r="F48" i="205"/>
  <c r="F61" i="205" s="1"/>
  <c r="F62" i="205" s="1"/>
  <c r="F72" i="205" s="1"/>
  <c r="K27" i="205"/>
  <c r="K28" i="205" s="1"/>
  <c r="E48" i="206"/>
  <c r="M48" i="206"/>
  <c r="M61" i="206" s="1"/>
  <c r="M62" i="206" s="1"/>
  <c r="M72" i="206" s="1"/>
  <c r="D61" i="206"/>
  <c r="D62" i="206" s="1"/>
  <c r="D72" i="206" s="1"/>
  <c r="G38" i="207"/>
  <c r="G42" i="207" s="1"/>
  <c r="G48" i="207" s="1"/>
  <c r="H61" i="207"/>
  <c r="H62" i="207" s="1"/>
  <c r="H72" i="207" s="1"/>
  <c r="L61" i="207"/>
  <c r="L62" i="207" s="1"/>
  <c r="L72" i="207" s="1"/>
  <c r="B13" i="203"/>
  <c r="D28" i="204"/>
  <c r="H28" i="204"/>
  <c r="D48" i="204"/>
  <c r="D61" i="204" s="1"/>
  <c r="I13" i="205"/>
  <c r="J48" i="205"/>
  <c r="J62" i="206"/>
  <c r="J72" i="206" s="1"/>
  <c r="J50" i="206"/>
  <c r="L62" i="206"/>
  <c r="L72" i="206" s="1"/>
  <c r="L50" i="206"/>
  <c r="B13" i="206"/>
  <c r="N11" i="206"/>
  <c r="H50" i="207"/>
  <c r="J62" i="207"/>
  <c r="J72" i="207" s="1"/>
  <c r="F48" i="207"/>
  <c r="N25" i="207"/>
  <c r="C38" i="207"/>
  <c r="C42" i="207" s="1"/>
  <c r="C48" i="207"/>
  <c r="C50" i="207" s="1"/>
  <c r="L58" i="208"/>
  <c r="L61" i="208" s="1"/>
  <c r="L87" i="208"/>
  <c r="L88" i="208" s="1"/>
  <c r="M88" i="208" s="1"/>
  <c r="N56" i="208"/>
  <c r="N87" i="208" s="1"/>
  <c r="F50" i="211"/>
  <c r="J50" i="211"/>
  <c r="C48" i="205"/>
  <c r="N38" i="206"/>
  <c r="N42" i="206" s="1"/>
  <c r="N48" i="206" s="1"/>
  <c r="B58" i="206"/>
  <c r="B61" i="206" s="1"/>
  <c r="L84" i="207"/>
  <c r="K84" i="207"/>
  <c r="D28" i="207"/>
  <c r="N55" i="207"/>
  <c r="N58" i="207" s="1"/>
  <c r="N23" i="208"/>
  <c r="E38" i="208"/>
  <c r="F84" i="208"/>
  <c r="N53" i="208"/>
  <c r="I84" i="208"/>
  <c r="K84" i="208"/>
  <c r="E84" i="208"/>
  <c r="G84" i="208"/>
  <c r="J84" i="208"/>
  <c r="H50" i="209"/>
  <c r="J48" i="209"/>
  <c r="C27" i="209"/>
  <c r="C28" i="209" s="1"/>
  <c r="B38" i="209"/>
  <c r="H13" i="208"/>
  <c r="H28" i="208"/>
  <c r="K50" i="208"/>
  <c r="K61" i="208"/>
  <c r="K62" i="208" s="1"/>
  <c r="K72" i="208" s="1"/>
  <c r="C83" i="208"/>
  <c r="B85" i="208"/>
  <c r="E62" i="209"/>
  <c r="E72" i="209" s="1"/>
  <c r="G50" i="209"/>
  <c r="G62" i="209"/>
  <c r="G72" i="209" s="1"/>
  <c r="I62" i="209"/>
  <c r="I72" i="209" s="1"/>
  <c r="I50" i="209"/>
  <c r="M50" i="209"/>
  <c r="F38" i="209"/>
  <c r="F42" i="209" s="1"/>
  <c r="F48" i="209" s="1"/>
  <c r="M61" i="209"/>
  <c r="M62" i="209" s="1"/>
  <c r="M72" i="209" s="1"/>
  <c r="B48" i="208"/>
  <c r="F48" i="208"/>
  <c r="F61" i="208" s="1"/>
  <c r="J48" i="208"/>
  <c r="B28" i="208"/>
  <c r="E27" i="208"/>
  <c r="E28" i="208" s="1"/>
  <c r="M38" i="208"/>
  <c r="M42" i="208" s="1"/>
  <c r="M48" i="208" s="1"/>
  <c r="M50" i="208" s="1"/>
  <c r="C50" i="209"/>
  <c r="E50" i="209"/>
  <c r="D83" i="209"/>
  <c r="C85" i="209"/>
  <c r="D27" i="211"/>
  <c r="D28" i="211" s="1"/>
  <c r="N24" i="211"/>
  <c r="N27" i="211" s="1"/>
  <c r="F62" i="212"/>
  <c r="F72" i="212" s="1"/>
  <c r="F50" i="212"/>
  <c r="C48" i="211"/>
  <c r="C61" i="211" s="1"/>
  <c r="C62" i="211" s="1"/>
  <c r="C72" i="211" s="1"/>
  <c r="G48" i="211"/>
  <c r="G61" i="211" s="1"/>
  <c r="G62" i="211" s="1"/>
  <c r="G72" i="211" s="1"/>
  <c r="H27" i="211"/>
  <c r="H28" i="211" s="1"/>
  <c r="D50" i="212"/>
  <c r="D62" i="212"/>
  <c r="D72" i="212" s="1"/>
  <c r="L62" i="212"/>
  <c r="L72" i="212" s="1"/>
  <c r="L50" i="212"/>
  <c r="B42" i="211"/>
  <c r="B48" i="211" s="1"/>
  <c r="B61" i="211" s="1"/>
  <c r="B62" i="211" s="1"/>
  <c r="F61" i="211"/>
  <c r="F62" i="211" s="1"/>
  <c r="F72" i="211" s="1"/>
  <c r="F27" i="212"/>
  <c r="F28" i="212" s="1"/>
  <c r="N23" i="212"/>
  <c r="N27" i="212" s="1"/>
  <c r="N28" i="212" s="1"/>
  <c r="B42" i="212"/>
  <c r="B48" i="212" s="1"/>
  <c r="G28" i="211"/>
  <c r="L27" i="211"/>
  <c r="L28" i="211" s="1"/>
  <c r="E38" i="211"/>
  <c r="E42" i="211" s="1"/>
  <c r="E48" i="211" s="1"/>
  <c r="M38" i="211"/>
  <c r="M42" i="211" s="1"/>
  <c r="H50" i="212"/>
  <c r="H62" i="212"/>
  <c r="H72" i="212" s="1"/>
  <c r="N26" i="213"/>
  <c r="K27" i="213"/>
  <c r="K28" i="213" s="1"/>
  <c r="G27" i="213"/>
  <c r="G28" i="213" s="1"/>
  <c r="M46" i="211"/>
  <c r="L61" i="213"/>
  <c r="L62" i="213" s="1"/>
  <c r="L72" i="213" s="1"/>
  <c r="J61" i="213"/>
  <c r="J62" i="213" s="1"/>
  <c r="J72" i="213" s="1"/>
  <c r="H61" i="213"/>
  <c r="H62" i="213" s="1"/>
  <c r="H72" i="213" s="1"/>
  <c r="F61" i="213"/>
  <c r="F62" i="213" s="1"/>
  <c r="F72" i="213" s="1"/>
  <c r="D61" i="213"/>
  <c r="D62" i="213" s="1"/>
  <c r="D72" i="213" s="1"/>
  <c r="F50" i="214"/>
  <c r="F61" i="214"/>
  <c r="F62" i="214" s="1"/>
  <c r="F72" i="214" s="1"/>
  <c r="D50" i="214"/>
  <c r="D61" i="214"/>
  <c r="D62" i="214" s="1"/>
  <c r="D72" i="214" s="1"/>
  <c r="N46" i="211"/>
  <c r="I28" i="213"/>
  <c r="E28" i="213"/>
  <c r="N9" i="213"/>
  <c r="N13" i="213" s="1"/>
  <c r="M48" i="213"/>
  <c r="M61" i="213" s="1"/>
  <c r="M62" i="213" s="1"/>
  <c r="M72" i="213" s="1"/>
  <c r="J50" i="213"/>
  <c r="F50" i="213"/>
  <c r="M27" i="213"/>
  <c r="M28" i="213" s="1"/>
  <c r="K48" i="213"/>
  <c r="K61" i="213" s="1"/>
  <c r="K62" i="213" s="1"/>
  <c r="K72" i="213" s="1"/>
  <c r="I48" i="213"/>
  <c r="I50" i="213" s="1"/>
  <c r="G48" i="213"/>
  <c r="G50" i="213" s="1"/>
  <c r="G61" i="213"/>
  <c r="G62" i="213" s="1"/>
  <c r="G72" i="213" s="1"/>
  <c r="E48" i="213"/>
  <c r="E50" i="213" s="1"/>
  <c r="C48" i="213"/>
  <c r="C50" i="213" s="1"/>
  <c r="N38" i="213"/>
  <c r="N42" i="213" s="1"/>
  <c r="N48" i="213" s="1"/>
  <c r="N61" i="213" s="1"/>
  <c r="B42" i="213"/>
  <c r="B48" i="213" s="1"/>
  <c r="B61" i="213" s="1"/>
  <c r="B62" i="213" s="1"/>
  <c r="C27" i="213"/>
  <c r="C28" i="213" s="1"/>
  <c r="K63" i="222"/>
  <c r="J73" i="222"/>
  <c r="J64" i="222"/>
  <c r="J74" i="222" s="1"/>
  <c r="J84" i="200"/>
  <c r="F84" i="200"/>
  <c r="E58" i="200"/>
  <c r="E61" i="200" s="1"/>
  <c r="E62" i="200" s="1"/>
  <c r="J84" i="201"/>
  <c r="F84" i="201"/>
  <c r="E58" i="201"/>
  <c r="N53" i="201"/>
  <c r="N58" i="201" s="1"/>
  <c r="I28" i="202"/>
  <c r="I13" i="202"/>
  <c r="K84" i="202"/>
  <c r="G84" i="202"/>
  <c r="C28" i="205"/>
  <c r="M84" i="205"/>
  <c r="I84" i="205"/>
  <c r="E84" i="205"/>
  <c r="N53" i="205"/>
  <c r="N58" i="205" s="1"/>
  <c r="H73" i="221"/>
  <c r="H64" i="221"/>
  <c r="H74" i="221" s="1"/>
  <c r="I63" i="221"/>
  <c r="H73" i="220"/>
  <c r="H64" i="220"/>
  <c r="H74" i="220" s="1"/>
  <c r="I63" i="220"/>
  <c r="H63" i="219"/>
  <c r="G73" i="219"/>
  <c r="G64" i="219"/>
  <c r="G74" i="219" s="1"/>
  <c r="E73" i="218"/>
  <c r="E64" i="218"/>
  <c r="E74" i="218" s="1"/>
  <c r="F63" i="218"/>
  <c r="F63" i="217"/>
  <c r="E73" i="217"/>
  <c r="E64" i="217"/>
  <c r="E74" i="217" s="1"/>
  <c r="D73" i="216"/>
  <c r="D64" i="216"/>
  <c r="D74" i="216" s="1"/>
  <c r="E63" i="216"/>
  <c r="N50" i="215"/>
  <c r="O50" i="215" s="1"/>
  <c r="B73" i="215"/>
  <c r="B64" i="215"/>
  <c r="B74" i="215" s="1"/>
  <c r="C63" i="215"/>
  <c r="L61" i="214"/>
  <c r="L62" i="214" s="1"/>
  <c r="L72" i="214" s="1"/>
  <c r="N48" i="214"/>
  <c r="N61" i="214" s="1"/>
  <c r="N62" i="214" s="1"/>
  <c r="H61" i="214"/>
  <c r="H62" i="214" s="1"/>
  <c r="H72" i="214" s="1"/>
  <c r="M50" i="214"/>
  <c r="E50" i="214"/>
  <c r="B61" i="214"/>
  <c r="B62" i="214" s="1"/>
  <c r="B63" i="214" s="1"/>
  <c r="B50" i="214"/>
  <c r="N27" i="214"/>
  <c r="N28" i="214" s="1"/>
  <c r="J61" i="214"/>
  <c r="J62" i="214" s="1"/>
  <c r="J72" i="214" s="1"/>
  <c r="K49" i="180" l="1"/>
  <c r="K60" i="180"/>
  <c r="K61" i="180" s="1"/>
  <c r="K71" i="180" s="1"/>
  <c r="N61" i="181"/>
  <c r="N62" i="181" s="1"/>
  <c r="P72" i="181" s="1"/>
  <c r="J50" i="207"/>
  <c r="N58" i="193"/>
  <c r="M48" i="211"/>
  <c r="I50" i="194"/>
  <c r="F50" i="189"/>
  <c r="C61" i="213"/>
  <c r="C62" i="213" s="1"/>
  <c r="C72" i="213" s="1"/>
  <c r="B50" i="213"/>
  <c r="D61" i="186"/>
  <c r="D62" i="186" s="1"/>
  <c r="D72" i="186" s="1"/>
  <c r="N13" i="205"/>
  <c r="N87" i="186"/>
  <c r="N27" i="209"/>
  <c r="N28" i="209" s="1"/>
  <c r="B50" i="195"/>
  <c r="N13" i="180"/>
  <c r="M62" i="194"/>
  <c r="M72" i="194" s="1"/>
  <c r="C50" i="206"/>
  <c r="F62" i="202"/>
  <c r="F72" i="202" s="1"/>
  <c r="G50" i="201"/>
  <c r="E61" i="201"/>
  <c r="E62" i="201" s="1"/>
  <c r="B62" i="201"/>
  <c r="L61" i="201"/>
  <c r="L62" i="201" s="1"/>
  <c r="L72" i="201" s="1"/>
  <c r="N13" i="201"/>
  <c r="B50" i="201"/>
  <c r="G61" i="189"/>
  <c r="G62" i="189" s="1"/>
  <c r="G72" i="189" s="1"/>
  <c r="G50" i="189"/>
  <c r="M50" i="212"/>
  <c r="M61" i="212"/>
  <c r="M62" i="212" s="1"/>
  <c r="M72" i="212" s="1"/>
  <c r="I61" i="211"/>
  <c r="I62" i="211" s="1"/>
  <c r="I72" i="211" s="1"/>
  <c r="I50" i="211"/>
  <c r="D83" i="196"/>
  <c r="C85" i="196"/>
  <c r="J50" i="208"/>
  <c r="N27" i="206"/>
  <c r="N28" i="206" s="1"/>
  <c r="D61" i="198"/>
  <c r="D62" i="198" s="1"/>
  <c r="D72" i="198" s="1"/>
  <c r="F50" i="199"/>
  <c r="M50" i="200"/>
  <c r="F85" i="195"/>
  <c r="D85" i="185"/>
  <c r="N27" i="183"/>
  <c r="N13" i="188"/>
  <c r="H62" i="193"/>
  <c r="H72" i="193" s="1"/>
  <c r="F50" i="198"/>
  <c r="K50" i="201"/>
  <c r="N38" i="191"/>
  <c r="N42" i="191" s="1"/>
  <c r="N48" i="191" s="1"/>
  <c r="F50" i="186"/>
  <c r="M50" i="213"/>
  <c r="K50" i="213"/>
  <c r="N28" i="211"/>
  <c r="B72" i="205"/>
  <c r="N27" i="201"/>
  <c r="N28" i="201" s="1"/>
  <c r="D50" i="199"/>
  <c r="L61" i="197"/>
  <c r="L62" i="197" s="1"/>
  <c r="L72" i="197" s="1"/>
  <c r="B50" i="199"/>
  <c r="N27" i="192"/>
  <c r="E88" i="188"/>
  <c r="F88" i="188" s="1"/>
  <c r="G88" i="188" s="1"/>
  <c r="H88" i="188" s="1"/>
  <c r="I88" i="188" s="1"/>
  <c r="J88" i="188" s="1"/>
  <c r="K88" i="188" s="1"/>
  <c r="L88" i="188" s="1"/>
  <c r="M88" i="188" s="1"/>
  <c r="N58" i="187"/>
  <c r="F61" i="188"/>
  <c r="F62" i="188" s="1"/>
  <c r="F72" i="188" s="1"/>
  <c r="L50" i="192"/>
  <c r="F61" i="189"/>
  <c r="F62" i="189" s="1"/>
  <c r="F72" i="189" s="1"/>
  <c r="F61" i="187"/>
  <c r="F62" i="187" s="1"/>
  <c r="F72" i="187" s="1"/>
  <c r="K50" i="183"/>
  <c r="N27" i="207"/>
  <c r="N28" i="207" s="1"/>
  <c r="M50" i="194"/>
  <c r="H62" i="190"/>
  <c r="H72" i="190" s="1"/>
  <c r="D61" i="182"/>
  <c r="D62" i="182" s="1"/>
  <c r="D72" i="182" s="1"/>
  <c r="H50" i="183"/>
  <c r="I83" i="189"/>
  <c r="J83" i="189" s="1"/>
  <c r="I61" i="206"/>
  <c r="I62" i="206" s="1"/>
  <c r="I72" i="206" s="1"/>
  <c r="I50" i="206"/>
  <c r="K50" i="190"/>
  <c r="K61" i="190"/>
  <c r="K62" i="190" s="1"/>
  <c r="K72" i="190" s="1"/>
  <c r="C85" i="188"/>
  <c r="D83" i="188"/>
  <c r="J50" i="186"/>
  <c r="N13" i="207"/>
  <c r="N13" i="206"/>
  <c r="H50" i="206"/>
  <c r="B50" i="208"/>
  <c r="N27" i="208"/>
  <c r="N28" i="208" s="1"/>
  <c r="M50" i="193"/>
  <c r="N13" i="194"/>
  <c r="B62" i="200"/>
  <c r="E61" i="194"/>
  <c r="E62" i="194" s="1"/>
  <c r="E72" i="194" s="1"/>
  <c r="N58" i="192"/>
  <c r="F61" i="192"/>
  <c r="F62" i="192" s="1"/>
  <c r="F72" i="192" s="1"/>
  <c r="J62" i="190"/>
  <c r="J72" i="190" s="1"/>
  <c r="N87" i="188"/>
  <c r="F61" i="186"/>
  <c r="F62" i="186" s="1"/>
  <c r="F72" i="186" s="1"/>
  <c r="F87" i="180"/>
  <c r="G87" i="180" s="1"/>
  <c r="H87" i="180" s="1"/>
  <c r="I87" i="180" s="1"/>
  <c r="J87" i="180" s="1"/>
  <c r="K87" i="180" s="1"/>
  <c r="L87" i="180" s="1"/>
  <c r="M87" i="180" s="1"/>
  <c r="K50" i="209"/>
  <c r="G62" i="202"/>
  <c r="G72" i="202" s="1"/>
  <c r="E50" i="207"/>
  <c r="E61" i="204"/>
  <c r="E62" i="204" s="1"/>
  <c r="E72" i="204" s="1"/>
  <c r="M61" i="189"/>
  <c r="M62" i="189" s="1"/>
  <c r="M72" i="189" s="1"/>
  <c r="D62" i="200"/>
  <c r="D72" i="200" s="1"/>
  <c r="J50" i="195"/>
  <c r="C50" i="187"/>
  <c r="M61" i="185"/>
  <c r="M62" i="185" s="1"/>
  <c r="M72" i="185" s="1"/>
  <c r="F50" i="191"/>
  <c r="H61" i="211"/>
  <c r="H62" i="211" s="1"/>
  <c r="H72" i="211" s="1"/>
  <c r="H50" i="211"/>
  <c r="G61" i="203"/>
  <c r="G62" i="203" s="1"/>
  <c r="G72" i="203" s="1"/>
  <c r="G50" i="203"/>
  <c r="G50" i="190"/>
  <c r="G61" i="190"/>
  <c r="G62" i="190" s="1"/>
  <c r="G72" i="190" s="1"/>
  <c r="J50" i="212"/>
  <c r="J61" i="212"/>
  <c r="J62" i="212" s="1"/>
  <c r="J72" i="212" s="1"/>
  <c r="C61" i="212"/>
  <c r="C62" i="212" s="1"/>
  <c r="C72" i="212" s="1"/>
  <c r="C50" i="212"/>
  <c r="H50" i="201"/>
  <c r="H61" i="201"/>
  <c r="H62" i="201" s="1"/>
  <c r="H72" i="201" s="1"/>
  <c r="E83" i="202"/>
  <c r="D85" i="202"/>
  <c r="K61" i="194"/>
  <c r="K62" i="194" s="1"/>
  <c r="K72" i="194" s="1"/>
  <c r="K50" i="205"/>
  <c r="C61" i="201"/>
  <c r="C62" i="201" s="1"/>
  <c r="C72" i="201" s="1"/>
  <c r="J50" i="201"/>
  <c r="H50" i="197"/>
  <c r="E50" i="196"/>
  <c r="N27" i="194"/>
  <c r="G50" i="193"/>
  <c r="G61" i="191"/>
  <c r="G62" i="191" s="1"/>
  <c r="G72" i="191" s="1"/>
  <c r="L61" i="190"/>
  <c r="L62" i="190" s="1"/>
  <c r="L72" i="190" s="1"/>
  <c r="L50" i="182"/>
  <c r="N27" i="188"/>
  <c r="K61" i="181"/>
  <c r="K62" i="181" s="1"/>
  <c r="K72" i="181" s="1"/>
  <c r="N27" i="181"/>
  <c r="G61" i="183"/>
  <c r="G62" i="183" s="1"/>
  <c r="G72" i="183" s="1"/>
  <c r="J61" i="183"/>
  <c r="J62" i="183" s="1"/>
  <c r="J72" i="183" s="1"/>
  <c r="H61" i="182"/>
  <c r="H62" i="182" s="1"/>
  <c r="H72" i="182" s="1"/>
  <c r="D50" i="181"/>
  <c r="F62" i="191"/>
  <c r="F72" i="191" s="1"/>
  <c r="K50" i="211"/>
  <c r="G50" i="195"/>
  <c r="L61" i="191"/>
  <c r="L62" i="191" s="1"/>
  <c r="L72" i="191" s="1"/>
  <c r="L50" i="191"/>
  <c r="C85" i="199"/>
  <c r="D83" i="199"/>
  <c r="N27" i="186"/>
  <c r="H50" i="193"/>
  <c r="N58" i="184"/>
  <c r="B61" i="207"/>
  <c r="B62" i="207" s="1"/>
  <c r="E61" i="213"/>
  <c r="E62" i="213" s="1"/>
  <c r="E72" i="213" s="1"/>
  <c r="I61" i="213"/>
  <c r="I62" i="213" s="1"/>
  <c r="I72" i="213" s="1"/>
  <c r="N27" i="213"/>
  <c r="N28" i="213" s="1"/>
  <c r="J61" i="208"/>
  <c r="J62" i="208" s="1"/>
  <c r="J72" i="208" s="1"/>
  <c r="M50" i="206"/>
  <c r="N61" i="206"/>
  <c r="H50" i="203"/>
  <c r="I61" i="207"/>
  <c r="I62" i="207" s="1"/>
  <c r="I72" i="207" s="1"/>
  <c r="C50" i="202"/>
  <c r="N27" i="200"/>
  <c r="N28" i="200" s="1"/>
  <c r="N38" i="190"/>
  <c r="N42" i="190" s="1"/>
  <c r="N48" i="190" s="1"/>
  <c r="N61" i="190" s="1"/>
  <c r="N62" i="190" s="1"/>
  <c r="P72" i="190" s="1"/>
  <c r="D50" i="183"/>
  <c r="G50" i="185"/>
  <c r="L50" i="209"/>
  <c r="L61" i="209"/>
  <c r="L62" i="209" s="1"/>
  <c r="L72" i="209" s="1"/>
  <c r="D61" i="208"/>
  <c r="D62" i="208" s="1"/>
  <c r="D72" i="208" s="1"/>
  <c r="D50" i="208"/>
  <c r="I50" i="183"/>
  <c r="I61" i="183"/>
  <c r="I62" i="183" s="1"/>
  <c r="I72" i="183" s="1"/>
  <c r="H83" i="195"/>
  <c r="G85" i="195"/>
  <c r="E85" i="184"/>
  <c r="F83" i="184"/>
  <c r="D50" i="209"/>
  <c r="D61" i="209"/>
  <c r="D62" i="209" s="1"/>
  <c r="D72" i="209" s="1"/>
  <c r="N38" i="212"/>
  <c r="N42" i="212" s="1"/>
  <c r="N48" i="212" s="1"/>
  <c r="N61" i="212" s="1"/>
  <c r="N62" i="212" s="1"/>
  <c r="N62" i="206"/>
  <c r="P72" i="206" s="1"/>
  <c r="N27" i="202"/>
  <c r="N28" i="202" s="1"/>
  <c r="D88" i="193"/>
  <c r="E88" i="193" s="1"/>
  <c r="F88" i="193" s="1"/>
  <c r="G88" i="193" s="1"/>
  <c r="H88" i="193" s="1"/>
  <c r="I88" i="193" s="1"/>
  <c r="J88" i="193" s="1"/>
  <c r="K88" i="193" s="1"/>
  <c r="L88" i="193" s="1"/>
  <c r="M88" i="193" s="1"/>
  <c r="E50" i="192"/>
  <c r="N27" i="195"/>
  <c r="N13" i="189"/>
  <c r="D50" i="194"/>
  <c r="N27" i="196"/>
  <c r="N27" i="190"/>
  <c r="D50" i="190"/>
  <c r="D50" i="191"/>
  <c r="N27" i="191"/>
  <c r="F88" i="190"/>
  <c r="G88" i="190" s="1"/>
  <c r="H88" i="190" s="1"/>
  <c r="I88" i="190" s="1"/>
  <c r="J88" i="190" s="1"/>
  <c r="K88" i="190" s="1"/>
  <c r="L88" i="190" s="1"/>
  <c r="M88" i="190" s="1"/>
  <c r="I50" i="187"/>
  <c r="N38" i="189"/>
  <c r="N42" i="189" s="1"/>
  <c r="N48" i="189" s="1"/>
  <c r="J50" i="185"/>
  <c r="G61" i="212"/>
  <c r="G62" i="212" s="1"/>
  <c r="G72" i="212" s="1"/>
  <c r="K50" i="203"/>
  <c r="K61" i="203"/>
  <c r="K62" i="203" s="1"/>
  <c r="K72" i="203" s="1"/>
  <c r="E61" i="203"/>
  <c r="E62" i="203" s="1"/>
  <c r="E72" i="203" s="1"/>
  <c r="L50" i="199"/>
  <c r="I50" i="186"/>
  <c r="I61" i="186"/>
  <c r="I62" i="186" s="1"/>
  <c r="I72" i="186" s="1"/>
  <c r="I50" i="181"/>
  <c r="I61" i="181"/>
  <c r="I62" i="181" s="1"/>
  <c r="I72" i="181" s="1"/>
  <c r="N38" i="195"/>
  <c r="N42" i="195" s="1"/>
  <c r="N48" i="195" s="1"/>
  <c r="N61" i="195" s="1"/>
  <c r="C42" i="195"/>
  <c r="C48" i="195" s="1"/>
  <c r="I61" i="185"/>
  <c r="I62" i="185" s="1"/>
  <c r="I72" i="185" s="1"/>
  <c r="E49" i="180"/>
  <c r="E60" i="180"/>
  <c r="E61" i="180" s="1"/>
  <c r="E71" i="180" s="1"/>
  <c r="G50" i="181"/>
  <c r="G61" i="181"/>
  <c r="G62" i="181" s="1"/>
  <c r="G72" i="181" s="1"/>
  <c r="D50" i="184"/>
  <c r="I85" i="189"/>
  <c r="J61" i="203"/>
  <c r="J62" i="203" s="1"/>
  <c r="J72" i="203" s="1"/>
  <c r="J50" i="203"/>
  <c r="J50" i="196"/>
  <c r="J61" i="196"/>
  <c r="J62" i="196" s="1"/>
  <c r="J72" i="196" s="1"/>
  <c r="H60" i="180"/>
  <c r="H61" i="180" s="1"/>
  <c r="H71" i="180" s="1"/>
  <c r="H49" i="180"/>
  <c r="F61" i="185"/>
  <c r="F62" i="185" s="1"/>
  <c r="F72" i="185" s="1"/>
  <c r="F50" i="185"/>
  <c r="C50" i="204"/>
  <c r="C61" i="204"/>
  <c r="C62" i="204" s="1"/>
  <c r="C72" i="204" s="1"/>
  <c r="H61" i="191"/>
  <c r="H62" i="191" s="1"/>
  <c r="H72" i="191" s="1"/>
  <c r="H50" i="191"/>
  <c r="B61" i="191"/>
  <c r="B62" i="191" s="1"/>
  <c r="B50" i="191"/>
  <c r="B72" i="201"/>
  <c r="B63" i="201"/>
  <c r="H50" i="198"/>
  <c r="H61" i="198"/>
  <c r="H62" i="198" s="1"/>
  <c r="H72" i="198" s="1"/>
  <c r="D50" i="193"/>
  <c r="D61" i="193"/>
  <c r="D62" i="193" s="1"/>
  <c r="D72" i="193" s="1"/>
  <c r="B63" i="187"/>
  <c r="B72" i="187"/>
  <c r="G61" i="204"/>
  <c r="G62" i="204" s="1"/>
  <c r="G72" i="204" s="1"/>
  <c r="G50" i="204"/>
  <c r="F61" i="190"/>
  <c r="F62" i="190" s="1"/>
  <c r="F72" i="190" s="1"/>
  <c r="F50" i="190"/>
  <c r="M61" i="184"/>
  <c r="M62" i="184" s="1"/>
  <c r="M72" i="184" s="1"/>
  <c r="M50" i="184"/>
  <c r="B72" i="211"/>
  <c r="B63" i="211"/>
  <c r="D61" i="201"/>
  <c r="D62" i="201" s="1"/>
  <c r="D72" i="201" s="1"/>
  <c r="D50" i="201"/>
  <c r="E61" i="184"/>
  <c r="E62" i="184" s="1"/>
  <c r="E72" i="184" s="1"/>
  <c r="E50" i="184"/>
  <c r="B72" i="213"/>
  <c r="B63" i="213"/>
  <c r="J61" i="197"/>
  <c r="J62" i="197" s="1"/>
  <c r="J72" i="197" s="1"/>
  <c r="J50" i="197"/>
  <c r="F61" i="197"/>
  <c r="F62" i="197" s="1"/>
  <c r="F72" i="197" s="1"/>
  <c r="F50" i="197"/>
  <c r="B72" i="192"/>
  <c r="B63" i="192"/>
  <c r="L61" i="189"/>
  <c r="L62" i="189" s="1"/>
  <c r="L72" i="189" s="1"/>
  <c r="L50" i="189"/>
  <c r="C50" i="186"/>
  <c r="C61" i="186"/>
  <c r="C62" i="186" s="1"/>
  <c r="C72" i="186" s="1"/>
  <c r="B63" i="184"/>
  <c r="B72" i="184"/>
  <c r="D83" i="208"/>
  <c r="C85" i="208"/>
  <c r="H50" i="208"/>
  <c r="H62" i="208"/>
  <c r="H72" i="208" s="1"/>
  <c r="G50" i="205"/>
  <c r="G62" i="205"/>
  <c r="G72" i="205" s="1"/>
  <c r="N62" i="204"/>
  <c r="P72" i="204" s="1"/>
  <c r="F42" i="203"/>
  <c r="F48" i="203" s="1"/>
  <c r="F61" i="203" s="1"/>
  <c r="F62" i="203" s="1"/>
  <c r="F72" i="203" s="1"/>
  <c r="N38" i="203"/>
  <c r="N42" i="203" s="1"/>
  <c r="N48" i="203" s="1"/>
  <c r="N61" i="203" s="1"/>
  <c r="N62" i="203" s="1"/>
  <c r="P72" i="203" s="1"/>
  <c r="I61" i="208"/>
  <c r="I62" i="208" s="1"/>
  <c r="I72" i="208" s="1"/>
  <c r="I50" i="208"/>
  <c r="L62" i="208"/>
  <c r="L72" i="208" s="1"/>
  <c r="L50" i="208"/>
  <c r="J50" i="202"/>
  <c r="D61" i="196"/>
  <c r="D62" i="196" s="1"/>
  <c r="D72" i="196" s="1"/>
  <c r="D50" i="196"/>
  <c r="F61" i="209"/>
  <c r="F62" i="209" s="1"/>
  <c r="F72" i="209" s="1"/>
  <c r="F50" i="209"/>
  <c r="I50" i="203"/>
  <c r="I61" i="203"/>
  <c r="I62" i="203" s="1"/>
  <c r="I72" i="203" s="1"/>
  <c r="J62" i="204"/>
  <c r="J72" i="204" s="1"/>
  <c r="J50" i="204"/>
  <c r="C50" i="203"/>
  <c r="C62" i="203"/>
  <c r="C72" i="203" s="1"/>
  <c r="B61" i="204"/>
  <c r="B62" i="204" s="1"/>
  <c r="C50" i="208"/>
  <c r="C62" i="208"/>
  <c r="C72" i="208" s="1"/>
  <c r="D85" i="203"/>
  <c r="E83" i="203"/>
  <c r="N38" i="201"/>
  <c r="N42" i="201" s="1"/>
  <c r="N48" i="201" s="1"/>
  <c r="N61" i="201" s="1"/>
  <c r="N62" i="201" s="1"/>
  <c r="J50" i="198"/>
  <c r="J61" i="198"/>
  <c r="J62" i="198" s="1"/>
  <c r="J72" i="198" s="1"/>
  <c r="M50" i="197"/>
  <c r="M61" i="197"/>
  <c r="M62" i="197" s="1"/>
  <c r="M72" i="197" s="1"/>
  <c r="F50" i="194"/>
  <c r="F62" i="194"/>
  <c r="F72" i="194" s="1"/>
  <c r="N38" i="197"/>
  <c r="N42" i="197" s="1"/>
  <c r="N48" i="197" s="1"/>
  <c r="N61" i="197" s="1"/>
  <c r="B42" i="197"/>
  <c r="B48" i="197" s="1"/>
  <c r="B50" i="197" s="1"/>
  <c r="F42" i="200"/>
  <c r="F48" i="200" s="1"/>
  <c r="N38" i="200"/>
  <c r="N42" i="200" s="1"/>
  <c r="N48" i="200" s="1"/>
  <c r="N61" i="200" s="1"/>
  <c r="D83" i="192"/>
  <c r="C85" i="192"/>
  <c r="D83" i="194"/>
  <c r="C85" i="194"/>
  <c r="N27" i="198"/>
  <c r="N28" i="198" s="1"/>
  <c r="B72" i="185"/>
  <c r="B63" i="185"/>
  <c r="D41" i="180"/>
  <c r="D47" i="180" s="1"/>
  <c r="N38" i="180"/>
  <c r="N41" i="180" s="1"/>
  <c r="N47" i="180" s="1"/>
  <c r="N61" i="205"/>
  <c r="N62" i="205" s="1"/>
  <c r="P72" i="205" s="1"/>
  <c r="N62" i="213"/>
  <c r="B61" i="212"/>
  <c r="B62" i="212" s="1"/>
  <c r="B50" i="212"/>
  <c r="N50" i="212" s="1"/>
  <c r="O50" i="212" s="1"/>
  <c r="E61" i="211"/>
  <c r="E62" i="211" s="1"/>
  <c r="E72" i="211" s="1"/>
  <c r="E50" i="211"/>
  <c r="B42" i="209"/>
  <c r="B48" i="209" s="1"/>
  <c r="N38" i="209"/>
  <c r="N42" i="209" s="1"/>
  <c r="N48" i="209" s="1"/>
  <c r="N61" i="209" s="1"/>
  <c r="N62" i="209" s="1"/>
  <c r="E42" i="208"/>
  <c r="E48" i="208" s="1"/>
  <c r="N38" i="208"/>
  <c r="N42" i="208" s="1"/>
  <c r="N48" i="208" s="1"/>
  <c r="B50" i="211"/>
  <c r="B50" i="203"/>
  <c r="B62" i="203"/>
  <c r="E61" i="206"/>
  <c r="E62" i="206" s="1"/>
  <c r="E72" i="206" s="1"/>
  <c r="E50" i="206"/>
  <c r="H50" i="205"/>
  <c r="H62" i="205"/>
  <c r="H72" i="205" s="1"/>
  <c r="N38" i="207"/>
  <c r="N42" i="207" s="1"/>
  <c r="N48" i="207" s="1"/>
  <c r="L50" i="204"/>
  <c r="C85" i="207"/>
  <c r="D83" i="207"/>
  <c r="B73" i="205"/>
  <c r="B64" i="205"/>
  <c r="B74" i="205" s="1"/>
  <c r="K61" i="202"/>
  <c r="K62" i="202" s="1"/>
  <c r="K72" i="202" s="1"/>
  <c r="K50" i="202"/>
  <c r="F50" i="208"/>
  <c r="F62" i="208"/>
  <c r="F72" i="208" s="1"/>
  <c r="D83" i="201"/>
  <c r="C85" i="201"/>
  <c r="D50" i="205"/>
  <c r="N38" i="202"/>
  <c r="N42" i="202" s="1"/>
  <c r="N48" i="202" s="1"/>
  <c r="N61" i="202" s="1"/>
  <c r="C50" i="198"/>
  <c r="E83" i="200"/>
  <c r="D85" i="200"/>
  <c r="J50" i="200"/>
  <c r="B61" i="199"/>
  <c r="B62" i="199" s="1"/>
  <c r="C61" i="194"/>
  <c r="C62" i="194" s="1"/>
  <c r="C72" i="194" s="1"/>
  <c r="D61" i="189"/>
  <c r="D62" i="189" s="1"/>
  <c r="D72" i="189" s="1"/>
  <c r="D50" i="189"/>
  <c r="N50" i="189" s="1"/>
  <c r="G85" i="198"/>
  <c r="H83" i="198"/>
  <c r="E83" i="206"/>
  <c r="D85" i="206"/>
  <c r="G50" i="194"/>
  <c r="F61" i="193"/>
  <c r="F62" i="193" s="1"/>
  <c r="F72" i="193" s="1"/>
  <c r="E85" i="193"/>
  <c r="F83" i="193"/>
  <c r="D85" i="191"/>
  <c r="E83" i="191"/>
  <c r="H50" i="189"/>
  <c r="H62" i="189"/>
  <c r="H72" i="189" s="1"/>
  <c r="J50" i="190"/>
  <c r="C61" i="188"/>
  <c r="C62" i="188" s="1"/>
  <c r="C72" i="188" s="1"/>
  <c r="M50" i="187"/>
  <c r="N58" i="191"/>
  <c r="N61" i="191" s="1"/>
  <c r="N62" i="191" s="1"/>
  <c r="P72" i="191" s="1"/>
  <c r="N38" i="187"/>
  <c r="N42" i="187" s="1"/>
  <c r="N48" i="187" s="1"/>
  <c r="N61" i="187" s="1"/>
  <c r="N62" i="187" s="1"/>
  <c r="P72" i="187" s="1"/>
  <c r="N38" i="186"/>
  <c r="N42" i="186" s="1"/>
  <c r="N48" i="186" s="1"/>
  <c r="N38" i="184"/>
  <c r="N42" i="184" s="1"/>
  <c r="N48" i="184" s="1"/>
  <c r="B71" i="180"/>
  <c r="B62" i="180"/>
  <c r="D83" i="182"/>
  <c r="C85" i="182"/>
  <c r="F61" i="183"/>
  <c r="F62" i="183" s="1"/>
  <c r="F72" i="183" s="1"/>
  <c r="B42" i="183"/>
  <c r="B48" i="183" s="1"/>
  <c r="N38" i="183"/>
  <c r="N42" i="183" s="1"/>
  <c r="N48" i="183" s="1"/>
  <c r="N61" i="183" s="1"/>
  <c r="N62" i="183" s="1"/>
  <c r="P72" i="183" s="1"/>
  <c r="J61" i="189"/>
  <c r="J62" i="189" s="1"/>
  <c r="J72" i="189" s="1"/>
  <c r="N58" i="188"/>
  <c r="B61" i="186"/>
  <c r="B62" i="186" s="1"/>
  <c r="F50" i="182"/>
  <c r="B61" i="182"/>
  <c r="B62" i="182" s="1"/>
  <c r="D82" i="180"/>
  <c r="C84" i="180"/>
  <c r="B61" i="189"/>
  <c r="B62" i="189" s="1"/>
  <c r="E61" i="185"/>
  <c r="E62" i="185" s="1"/>
  <c r="E72" i="185" s="1"/>
  <c r="N50" i="213"/>
  <c r="O50" i="213" s="1"/>
  <c r="M61" i="211"/>
  <c r="M62" i="211" s="1"/>
  <c r="M72" i="211" s="1"/>
  <c r="M50" i="211"/>
  <c r="J50" i="209"/>
  <c r="J61" i="209"/>
  <c r="J62" i="209" s="1"/>
  <c r="J72" i="209" s="1"/>
  <c r="F50" i="207"/>
  <c r="F61" i="207"/>
  <c r="F62" i="207" s="1"/>
  <c r="F72" i="207" s="1"/>
  <c r="I62" i="205"/>
  <c r="I72" i="205" s="1"/>
  <c r="I50" i="205"/>
  <c r="B72" i="207"/>
  <c r="B63" i="207"/>
  <c r="F50" i="203"/>
  <c r="D83" i="204"/>
  <c r="C85" i="204"/>
  <c r="K50" i="200"/>
  <c r="K61" i="200"/>
  <c r="K62" i="200" s="1"/>
  <c r="K72" i="200" s="1"/>
  <c r="C50" i="211"/>
  <c r="E83" i="209"/>
  <c r="D85" i="209"/>
  <c r="C61" i="205"/>
  <c r="C62" i="205" s="1"/>
  <c r="C72" i="205" s="1"/>
  <c r="C50" i="205"/>
  <c r="B62" i="206"/>
  <c r="B50" i="206"/>
  <c r="G61" i="207"/>
  <c r="G62" i="207" s="1"/>
  <c r="G72" i="207" s="1"/>
  <c r="G50" i="207"/>
  <c r="D61" i="207"/>
  <c r="D62" i="207" s="1"/>
  <c r="D72" i="207" s="1"/>
  <c r="D50" i="207"/>
  <c r="D50" i="204"/>
  <c r="D62" i="204"/>
  <c r="D72" i="204" s="1"/>
  <c r="I50" i="204"/>
  <c r="I50" i="193"/>
  <c r="I62" i="193"/>
  <c r="I72" i="193" s="1"/>
  <c r="N38" i="199"/>
  <c r="N42" i="199" s="1"/>
  <c r="N48" i="199" s="1"/>
  <c r="N61" i="199" s="1"/>
  <c r="P61" i="199" s="1"/>
  <c r="J50" i="192"/>
  <c r="J61" i="192"/>
  <c r="J62" i="192" s="1"/>
  <c r="J72" i="192" s="1"/>
  <c r="E50" i="193"/>
  <c r="E61" i="193"/>
  <c r="E62" i="193" s="1"/>
  <c r="E72" i="193" s="1"/>
  <c r="N61" i="207"/>
  <c r="N61" i="192"/>
  <c r="P61" i="192" s="1"/>
  <c r="E85" i="186"/>
  <c r="F83" i="186"/>
  <c r="N86" i="180"/>
  <c r="N57" i="180"/>
  <c r="N38" i="211"/>
  <c r="N42" i="211" s="1"/>
  <c r="N48" i="211" s="1"/>
  <c r="N61" i="211" s="1"/>
  <c r="N62" i="211" s="1"/>
  <c r="G50" i="211"/>
  <c r="M61" i="208"/>
  <c r="M62" i="208" s="1"/>
  <c r="M72" i="208" s="1"/>
  <c r="N58" i="208"/>
  <c r="N61" i="208" s="1"/>
  <c r="N62" i="208" s="1"/>
  <c r="J61" i="205"/>
  <c r="J62" i="205" s="1"/>
  <c r="J72" i="205" s="1"/>
  <c r="J50" i="205"/>
  <c r="C61" i="207"/>
  <c r="C62" i="207" s="1"/>
  <c r="C72" i="207" s="1"/>
  <c r="E62" i="205"/>
  <c r="E72" i="205" s="1"/>
  <c r="E50" i="205"/>
  <c r="G50" i="206"/>
  <c r="G62" i="206"/>
  <c r="G72" i="206" s="1"/>
  <c r="F50" i="205"/>
  <c r="L61" i="202"/>
  <c r="L62" i="202" s="1"/>
  <c r="L72" i="202" s="1"/>
  <c r="L50" i="202"/>
  <c r="B61" i="202"/>
  <c r="B62" i="202" s="1"/>
  <c r="D50" i="202"/>
  <c r="B61" i="208"/>
  <c r="B62" i="208" s="1"/>
  <c r="I50" i="201"/>
  <c r="C61" i="199"/>
  <c r="C62" i="199" s="1"/>
  <c r="C72" i="199" s="1"/>
  <c r="K50" i="198"/>
  <c r="C62" i="200"/>
  <c r="C72" i="200" s="1"/>
  <c r="C50" i="200"/>
  <c r="N27" i="193"/>
  <c r="B61" i="193"/>
  <c r="B62" i="193" s="1"/>
  <c r="H50" i="192"/>
  <c r="H62" i="192"/>
  <c r="H72" i="192" s="1"/>
  <c r="F61" i="196"/>
  <c r="F62" i="196" s="1"/>
  <c r="F72" i="196" s="1"/>
  <c r="H61" i="196"/>
  <c r="H62" i="196" s="1"/>
  <c r="H72" i="196" s="1"/>
  <c r="H50" i="196"/>
  <c r="N58" i="194"/>
  <c r="M61" i="192"/>
  <c r="M62" i="192" s="1"/>
  <c r="M72" i="192" s="1"/>
  <c r="I61" i="192"/>
  <c r="I62" i="192" s="1"/>
  <c r="I72" i="192" s="1"/>
  <c r="I50" i="192"/>
  <c r="C61" i="190"/>
  <c r="C62" i="190" s="1"/>
  <c r="C72" i="190" s="1"/>
  <c r="H50" i="187"/>
  <c r="M61" i="188"/>
  <c r="M62" i="188" s="1"/>
  <c r="M72" i="188" s="1"/>
  <c r="M50" i="188"/>
  <c r="F85" i="187"/>
  <c r="G83" i="187"/>
  <c r="B50" i="190"/>
  <c r="N50" i="190" s="1"/>
  <c r="G83" i="183"/>
  <c r="F85" i="183"/>
  <c r="C49" i="180"/>
  <c r="C61" i="180"/>
  <c r="C71" i="180" s="1"/>
  <c r="N58" i="189"/>
  <c r="G60" i="180"/>
  <c r="G61" i="180" s="1"/>
  <c r="G71" i="180" s="1"/>
  <c r="M49" i="180"/>
  <c r="N58" i="185"/>
  <c r="B42" i="198"/>
  <c r="B48" i="198" s="1"/>
  <c r="B50" i="198" s="1"/>
  <c r="N38" i="198"/>
  <c r="N42" i="198" s="1"/>
  <c r="N48" i="198" s="1"/>
  <c r="N61" i="198" s="1"/>
  <c r="L61" i="196"/>
  <c r="L62" i="196" s="1"/>
  <c r="L72" i="196" s="1"/>
  <c r="L50" i="196"/>
  <c r="D83" i="205"/>
  <c r="C85" i="205"/>
  <c r="I50" i="199"/>
  <c r="N50" i="199" s="1"/>
  <c r="I61" i="199"/>
  <c r="I62" i="199" s="1"/>
  <c r="I72" i="199" s="1"/>
  <c r="D83" i="197"/>
  <c r="C85" i="197"/>
  <c r="J50" i="194"/>
  <c r="J62" i="194"/>
  <c r="J72" i="194" s="1"/>
  <c r="B72" i="200"/>
  <c r="B63" i="200"/>
  <c r="N38" i="196"/>
  <c r="N42" i="196" s="1"/>
  <c r="N48" i="196" s="1"/>
  <c r="N61" i="196" s="1"/>
  <c r="B42" i="196"/>
  <c r="B48" i="196" s="1"/>
  <c r="B42" i="194"/>
  <c r="B48" i="194" s="1"/>
  <c r="N38" i="194"/>
  <c r="N42" i="194" s="1"/>
  <c r="N48" i="194" s="1"/>
  <c r="B73" i="195"/>
  <c r="B64" i="195"/>
  <c r="B74" i="195" s="1"/>
  <c r="E88" i="194"/>
  <c r="F88" i="194" s="1"/>
  <c r="G88" i="194" s="1"/>
  <c r="H88" i="194" s="1"/>
  <c r="I88" i="194" s="1"/>
  <c r="J88" i="194" s="1"/>
  <c r="K88" i="194" s="1"/>
  <c r="L88" i="194" s="1"/>
  <c r="M88" i="194" s="1"/>
  <c r="I50" i="196"/>
  <c r="K50" i="195"/>
  <c r="M61" i="195"/>
  <c r="M62" i="195" s="1"/>
  <c r="M72" i="195" s="1"/>
  <c r="M50" i="195"/>
  <c r="F88" i="191"/>
  <c r="G88" i="191" s="1"/>
  <c r="H88" i="191" s="1"/>
  <c r="I88" i="191" s="1"/>
  <c r="J88" i="191" s="1"/>
  <c r="K88" i="191" s="1"/>
  <c r="L88" i="191" s="1"/>
  <c r="M88" i="191" s="1"/>
  <c r="N38" i="193"/>
  <c r="N42" i="193" s="1"/>
  <c r="N48" i="193" s="1"/>
  <c r="N61" i="193" s="1"/>
  <c r="N62" i="193" s="1"/>
  <c r="P72" i="193" s="1"/>
  <c r="B42" i="188"/>
  <c r="B48" i="188" s="1"/>
  <c r="N38" i="188"/>
  <c r="N42" i="188" s="1"/>
  <c r="N48" i="188" s="1"/>
  <c r="F50" i="187"/>
  <c r="N27" i="187"/>
  <c r="F61" i="195"/>
  <c r="F62" i="195" s="1"/>
  <c r="F72" i="195" s="1"/>
  <c r="I50" i="191"/>
  <c r="D83" i="190"/>
  <c r="C85" i="190"/>
  <c r="B63" i="190"/>
  <c r="B72" i="190"/>
  <c r="G50" i="187"/>
  <c r="N38" i="185"/>
  <c r="N42" i="185" s="1"/>
  <c r="N48" i="185" s="1"/>
  <c r="E85" i="185"/>
  <c r="F83" i="185"/>
  <c r="B50" i="185"/>
  <c r="N58" i="186"/>
  <c r="N61" i="186" s="1"/>
  <c r="N62" i="186" s="1"/>
  <c r="P72" i="186" s="1"/>
  <c r="K50" i="182"/>
  <c r="B72" i="181"/>
  <c r="B63" i="181"/>
  <c r="L60" i="180"/>
  <c r="L61" i="180" s="1"/>
  <c r="L71" i="180" s="1"/>
  <c r="N27" i="180"/>
  <c r="F83" i="181"/>
  <c r="E85" i="181"/>
  <c r="I50" i="184"/>
  <c r="L63" i="222"/>
  <c r="K73" i="222"/>
  <c r="K64" i="222"/>
  <c r="K74" i="222" s="1"/>
  <c r="I62" i="202"/>
  <c r="I50" i="202"/>
  <c r="E72" i="201"/>
  <c r="E72" i="200"/>
  <c r="I73" i="221"/>
  <c r="I64" i="221"/>
  <c r="I74" i="221" s="1"/>
  <c r="J63" i="221"/>
  <c r="I64" i="220"/>
  <c r="I74" i="220" s="1"/>
  <c r="J63" i="220"/>
  <c r="I73" i="220"/>
  <c r="H73" i="219"/>
  <c r="H64" i="219"/>
  <c r="H74" i="219" s="1"/>
  <c r="I63" i="219"/>
  <c r="G63" i="218"/>
  <c r="F73" i="218"/>
  <c r="F64" i="218"/>
  <c r="F74" i="218" s="1"/>
  <c r="G63" i="217"/>
  <c r="F73" i="217"/>
  <c r="F64" i="217"/>
  <c r="F74" i="217" s="1"/>
  <c r="E64" i="216"/>
  <c r="E74" i="216" s="1"/>
  <c r="F63" i="216"/>
  <c r="E73" i="216"/>
  <c r="C64" i="215"/>
  <c r="C74" i="215" s="1"/>
  <c r="D63" i="215"/>
  <c r="C73" i="215"/>
  <c r="N50" i="214"/>
  <c r="O50" i="214" s="1"/>
  <c r="B72" i="214"/>
  <c r="B73" i="214"/>
  <c r="B64" i="214"/>
  <c r="B74" i="214" s="1"/>
  <c r="C63" i="214"/>
  <c r="N50" i="206" l="1"/>
  <c r="D85" i="196"/>
  <c r="E83" i="196"/>
  <c r="N50" i="185"/>
  <c r="N61" i="189"/>
  <c r="N62" i="189" s="1"/>
  <c r="P72" i="189" s="1"/>
  <c r="N62" i="207"/>
  <c r="P72" i="207" s="1"/>
  <c r="E83" i="188"/>
  <c r="D85" i="188"/>
  <c r="N50" i="202"/>
  <c r="N50" i="186"/>
  <c r="N50" i="181"/>
  <c r="P61" i="195"/>
  <c r="N62" i="195"/>
  <c r="G83" i="184"/>
  <c r="F85" i="184"/>
  <c r="N50" i="192"/>
  <c r="N60" i="180"/>
  <c r="N61" i="180" s="1"/>
  <c r="P71" i="180" s="1"/>
  <c r="N61" i="184"/>
  <c r="N62" i="184" s="1"/>
  <c r="P72" i="184" s="1"/>
  <c r="N50" i="201"/>
  <c r="N50" i="184"/>
  <c r="C61" i="195"/>
  <c r="C62" i="195" s="1"/>
  <c r="C50" i="195"/>
  <c r="N50" i="195" s="1"/>
  <c r="E85" i="202"/>
  <c r="F83" i="202"/>
  <c r="N50" i="193"/>
  <c r="N50" i="182"/>
  <c r="K83" i="189"/>
  <c r="J85" i="189"/>
  <c r="N50" i="187"/>
  <c r="N50" i="204"/>
  <c r="P61" i="201"/>
  <c r="N50" i="207"/>
  <c r="H85" i="195"/>
  <c r="I83" i="195"/>
  <c r="D85" i="199"/>
  <c r="E83" i="199"/>
  <c r="P61" i="202"/>
  <c r="N62" i="202"/>
  <c r="P61" i="198"/>
  <c r="N62" i="198"/>
  <c r="P61" i="197"/>
  <c r="N62" i="197"/>
  <c r="B63" i="189"/>
  <c r="B72" i="189"/>
  <c r="B72" i="199"/>
  <c r="B63" i="199"/>
  <c r="E83" i="207"/>
  <c r="D85" i="207"/>
  <c r="B63" i="203"/>
  <c r="B72" i="203"/>
  <c r="E50" i="208"/>
  <c r="N50" i="208" s="1"/>
  <c r="E61" i="208"/>
  <c r="E62" i="208" s="1"/>
  <c r="E72" i="208" s="1"/>
  <c r="B64" i="185"/>
  <c r="B74" i="185" s="1"/>
  <c r="B73" i="185"/>
  <c r="C63" i="185"/>
  <c r="E83" i="194"/>
  <c r="D85" i="194"/>
  <c r="D85" i="208"/>
  <c r="E83" i="208"/>
  <c r="B73" i="181"/>
  <c r="C63" i="181"/>
  <c r="B64" i="181"/>
  <c r="B74" i="181" s="1"/>
  <c r="D85" i="197"/>
  <c r="E83" i="197"/>
  <c r="D85" i="205"/>
  <c r="E83" i="205"/>
  <c r="F85" i="186"/>
  <c r="G83" i="186"/>
  <c r="E85" i="206"/>
  <c r="F83" i="206"/>
  <c r="C63" i="205"/>
  <c r="N50" i="203"/>
  <c r="N50" i="197"/>
  <c r="F85" i="181"/>
  <c r="G83" i="181"/>
  <c r="B50" i="196"/>
  <c r="N50" i="196" s="1"/>
  <c r="B61" i="196"/>
  <c r="B62" i="196" s="1"/>
  <c r="N62" i="199"/>
  <c r="H83" i="187"/>
  <c r="G85" i="187"/>
  <c r="B63" i="202"/>
  <c r="B72" i="202"/>
  <c r="E82" i="180"/>
  <c r="D84" i="180"/>
  <c r="B72" i="186"/>
  <c r="B63" i="186"/>
  <c r="B50" i="183"/>
  <c r="N50" i="183" s="1"/>
  <c r="B61" i="183"/>
  <c r="B62" i="183" s="1"/>
  <c r="B72" i="180"/>
  <c r="C62" i="180"/>
  <c r="B63" i="180"/>
  <c r="B73" i="180" s="1"/>
  <c r="F83" i="191"/>
  <c r="E85" i="191"/>
  <c r="I83" i="198"/>
  <c r="H85" i="198"/>
  <c r="N50" i="211"/>
  <c r="O50" i="211" s="1"/>
  <c r="B50" i="209"/>
  <c r="N50" i="209" s="1"/>
  <c r="O50" i="209" s="1"/>
  <c r="B61" i="209"/>
  <c r="B62" i="209" s="1"/>
  <c r="B72" i="212"/>
  <c r="B63" i="212"/>
  <c r="D85" i="192"/>
  <c r="E83" i="192"/>
  <c r="B73" i="192"/>
  <c r="B64" i="192"/>
  <c r="B74" i="192" s="1"/>
  <c r="C63" i="192"/>
  <c r="B64" i="211"/>
  <c r="B74" i="211" s="1"/>
  <c r="B73" i="211"/>
  <c r="C63" i="211"/>
  <c r="N50" i="191"/>
  <c r="G83" i="185"/>
  <c r="F85" i="185"/>
  <c r="C63" i="200"/>
  <c r="B64" i="200"/>
  <c r="B74" i="200" s="1"/>
  <c r="B73" i="200"/>
  <c r="H83" i="183"/>
  <c r="G85" i="183"/>
  <c r="N61" i="194"/>
  <c r="N62" i="194" s="1"/>
  <c r="P72" i="194" s="1"/>
  <c r="B72" i="193"/>
  <c r="B63" i="193"/>
  <c r="B72" i="208"/>
  <c r="B63" i="208"/>
  <c r="N50" i="205"/>
  <c r="F85" i="193"/>
  <c r="G83" i="193"/>
  <c r="F61" i="200"/>
  <c r="F62" i="200" s="1"/>
  <c r="F72" i="200" s="1"/>
  <c r="F50" i="200"/>
  <c r="N50" i="200" s="1"/>
  <c r="B73" i="190"/>
  <c r="C63" i="190"/>
  <c r="B64" i="190"/>
  <c r="B74" i="190" s="1"/>
  <c r="B61" i="188"/>
  <c r="B62" i="188" s="1"/>
  <c r="B50" i="188"/>
  <c r="N50" i="188" s="1"/>
  <c r="B50" i="194"/>
  <c r="N50" i="194" s="1"/>
  <c r="B61" i="194"/>
  <c r="B62" i="194" s="1"/>
  <c r="N50" i="198"/>
  <c r="E83" i="182"/>
  <c r="D85" i="182"/>
  <c r="B61" i="197"/>
  <c r="B62" i="197" s="1"/>
  <c r="B73" i="187"/>
  <c r="C63" i="187"/>
  <c r="B64" i="187"/>
  <c r="B74" i="187" s="1"/>
  <c r="B73" i="201"/>
  <c r="C63" i="201"/>
  <c r="B64" i="201"/>
  <c r="B74" i="201" s="1"/>
  <c r="D85" i="190"/>
  <c r="E83" i="190"/>
  <c r="P61" i="196"/>
  <c r="N62" i="196"/>
  <c r="N61" i="185"/>
  <c r="N62" i="185" s="1"/>
  <c r="P72" i="185" s="1"/>
  <c r="B63" i="206"/>
  <c r="B72" i="206"/>
  <c r="F83" i="209"/>
  <c r="E85" i="209"/>
  <c r="E83" i="204"/>
  <c r="D85" i="204"/>
  <c r="B73" i="207"/>
  <c r="C63" i="207"/>
  <c r="B64" i="207"/>
  <c r="B74" i="207" s="1"/>
  <c r="B63" i="182"/>
  <c r="B72" i="182"/>
  <c r="N61" i="188"/>
  <c r="N62" i="188" s="1"/>
  <c r="P72" i="188" s="1"/>
  <c r="P62" i="195"/>
  <c r="P72" i="195"/>
  <c r="F83" i="200"/>
  <c r="E85" i="200"/>
  <c r="B61" i="198"/>
  <c r="B62" i="198" s="1"/>
  <c r="D85" i="201"/>
  <c r="E83" i="201"/>
  <c r="D60" i="180"/>
  <c r="D61" i="180" s="1"/>
  <c r="D71" i="180" s="1"/>
  <c r="D49" i="180"/>
  <c r="N49" i="180" s="1"/>
  <c r="P61" i="200"/>
  <c r="N62" i="200"/>
  <c r="F83" i="203"/>
  <c r="E85" i="203"/>
  <c r="B63" i="204"/>
  <c r="B72" i="204"/>
  <c r="B73" i="184"/>
  <c r="C63" i="184"/>
  <c r="B64" i="184"/>
  <c r="B74" i="184" s="1"/>
  <c r="B73" i="213"/>
  <c r="C63" i="213"/>
  <c r="B64" i="213"/>
  <c r="B74" i="213" s="1"/>
  <c r="N62" i="192"/>
  <c r="B72" i="191"/>
  <c r="B63" i="191"/>
  <c r="L73" i="222"/>
  <c r="L64" i="222"/>
  <c r="L74" i="222" s="1"/>
  <c r="M63" i="222"/>
  <c r="P72" i="201"/>
  <c r="P62" i="201"/>
  <c r="I72" i="202"/>
  <c r="K63" i="221"/>
  <c r="J73" i="221"/>
  <c r="J64" i="221"/>
  <c r="J74" i="221" s="1"/>
  <c r="K63" i="220"/>
  <c r="J73" i="220"/>
  <c r="J64" i="220"/>
  <c r="J74" i="220" s="1"/>
  <c r="I64" i="219"/>
  <c r="I74" i="219" s="1"/>
  <c r="I73" i="219"/>
  <c r="J63" i="219"/>
  <c r="H63" i="218"/>
  <c r="G73" i="218"/>
  <c r="G64" i="218"/>
  <c r="G74" i="218" s="1"/>
  <c r="H63" i="217"/>
  <c r="G73" i="217"/>
  <c r="G64" i="217"/>
  <c r="G74" i="217" s="1"/>
  <c r="G63" i="216"/>
  <c r="F73" i="216"/>
  <c r="F64" i="216"/>
  <c r="F74" i="216" s="1"/>
  <c r="E63" i="215"/>
  <c r="D73" i="215"/>
  <c r="D64" i="215"/>
  <c r="D74" i="215" s="1"/>
  <c r="C73" i="214"/>
  <c r="C64" i="214"/>
  <c r="C74" i="214" s="1"/>
  <c r="D63" i="214"/>
  <c r="E85" i="196" l="1"/>
  <c r="F83" i="196"/>
  <c r="F83" i="188"/>
  <c r="E85" i="188"/>
  <c r="I85" i="195"/>
  <c r="J83" i="195"/>
  <c r="G85" i="184"/>
  <c r="H83" i="184"/>
  <c r="F83" i="199"/>
  <c r="E85" i="199"/>
  <c r="C72" i="195"/>
  <c r="C63" i="195"/>
  <c r="L83" i="189"/>
  <c r="K85" i="189"/>
  <c r="F85" i="202"/>
  <c r="G83" i="202"/>
  <c r="P72" i="192"/>
  <c r="P62" i="192"/>
  <c r="B73" i="204"/>
  <c r="C63" i="204"/>
  <c r="B64" i="204"/>
  <c r="B74" i="204" s="1"/>
  <c r="C63" i="182"/>
  <c r="B64" i="182"/>
  <c r="B74" i="182" s="1"/>
  <c r="B73" i="182"/>
  <c r="B72" i="197"/>
  <c r="B63" i="197"/>
  <c r="E85" i="192"/>
  <c r="F83" i="192"/>
  <c r="I85" i="198"/>
  <c r="J83" i="198"/>
  <c r="B73" i="186"/>
  <c r="C63" i="186"/>
  <c r="B64" i="186"/>
  <c r="B74" i="186" s="1"/>
  <c r="F83" i="205"/>
  <c r="E85" i="205"/>
  <c r="D63" i="184"/>
  <c r="C64" i="184"/>
  <c r="C74" i="184" s="1"/>
  <c r="C73" i="184"/>
  <c r="B72" i="198"/>
  <c r="B63" i="198"/>
  <c r="E85" i="204"/>
  <c r="F83" i="204"/>
  <c r="P62" i="196"/>
  <c r="P72" i="196"/>
  <c r="B72" i="194"/>
  <c r="B63" i="194"/>
  <c r="C63" i="208"/>
  <c r="B64" i="208"/>
  <c r="B74" i="208" s="1"/>
  <c r="B73" i="208"/>
  <c r="B73" i="202"/>
  <c r="C63" i="202"/>
  <c r="B64" i="202"/>
  <c r="B74" i="202" s="1"/>
  <c r="G85" i="181"/>
  <c r="H83" i="181"/>
  <c r="B73" i="191"/>
  <c r="C63" i="191"/>
  <c r="B64" i="191"/>
  <c r="B74" i="191" s="1"/>
  <c r="C64" i="213"/>
  <c r="C74" i="213" s="1"/>
  <c r="D63" i="213"/>
  <c r="C73" i="213"/>
  <c r="G83" i="203"/>
  <c r="F85" i="203"/>
  <c r="C73" i="207"/>
  <c r="D63" i="207"/>
  <c r="C64" i="207"/>
  <c r="C74" i="207" s="1"/>
  <c r="C64" i="187"/>
  <c r="C74" i="187" s="1"/>
  <c r="C73" i="187"/>
  <c r="D63" i="187"/>
  <c r="E85" i="182"/>
  <c r="F83" i="182"/>
  <c r="C73" i="190"/>
  <c r="D63" i="190"/>
  <c r="C64" i="190"/>
  <c r="C74" i="190" s="1"/>
  <c r="H83" i="193"/>
  <c r="G85" i="193"/>
  <c r="D63" i="200"/>
  <c r="C64" i="200"/>
  <c r="C74" i="200" s="1"/>
  <c r="C73" i="200"/>
  <c r="D63" i="211"/>
  <c r="C73" i="211"/>
  <c r="C64" i="211"/>
  <c r="C74" i="211" s="1"/>
  <c r="B73" i="212"/>
  <c r="B64" i="212"/>
  <c r="B74" i="212" s="1"/>
  <c r="C63" i="212"/>
  <c r="F85" i="191"/>
  <c r="G83" i="191"/>
  <c r="B72" i="183"/>
  <c r="B63" i="183"/>
  <c r="P72" i="199"/>
  <c r="P62" i="199"/>
  <c r="G83" i="206"/>
  <c r="F85" i="206"/>
  <c r="H83" i="186"/>
  <c r="G85" i="186"/>
  <c r="E85" i="197"/>
  <c r="F83" i="197"/>
  <c r="E85" i="194"/>
  <c r="F83" i="194"/>
  <c r="P72" i="198"/>
  <c r="P62" i="198"/>
  <c r="P72" i="202"/>
  <c r="P62" i="202"/>
  <c r="B63" i="188"/>
  <c r="B72" i="188"/>
  <c r="H83" i="185"/>
  <c r="G85" i="185"/>
  <c r="B72" i="209"/>
  <c r="B63" i="209"/>
  <c r="D62" i="180"/>
  <c r="C72" i="180"/>
  <c r="C63" i="180"/>
  <c r="C73" i="180" s="1"/>
  <c r="B73" i="199"/>
  <c r="C63" i="199"/>
  <c r="B64" i="199"/>
  <c r="B74" i="199" s="1"/>
  <c r="P62" i="197"/>
  <c r="P72" i="197"/>
  <c r="B73" i="206"/>
  <c r="C63" i="206"/>
  <c r="B64" i="206"/>
  <c r="B74" i="206" s="1"/>
  <c r="C64" i="192"/>
  <c r="C74" i="192" s="1"/>
  <c r="C73" i="192"/>
  <c r="D63" i="192"/>
  <c r="I83" i="187"/>
  <c r="H85" i="187"/>
  <c r="C73" i="205"/>
  <c r="D63" i="205"/>
  <c r="C64" i="205"/>
  <c r="C74" i="205" s="1"/>
  <c r="D63" i="181"/>
  <c r="C64" i="181"/>
  <c r="C74" i="181" s="1"/>
  <c r="C73" i="181"/>
  <c r="B73" i="203"/>
  <c r="B64" i="203"/>
  <c r="B74" i="203" s="1"/>
  <c r="C63" i="203"/>
  <c r="P62" i="200"/>
  <c r="P72" i="200"/>
  <c r="E85" i="201"/>
  <c r="F83" i="201"/>
  <c r="G83" i="200"/>
  <c r="F85" i="200"/>
  <c r="F85" i="209"/>
  <c r="G83" i="209"/>
  <c r="F83" i="190"/>
  <c r="E85" i="190"/>
  <c r="D63" i="201"/>
  <c r="C64" i="201"/>
  <c r="C74" i="201" s="1"/>
  <c r="C73" i="201"/>
  <c r="B73" i="193"/>
  <c r="C63" i="193"/>
  <c r="B64" i="193"/>
  <c r="B74" i="193" s="1"/>
  <c r="I83" i="183"/>
  <c r="H85" i="183"/>
  <c r="F82" i="180"/>
  <c r="E84" i="180"/>
  <c r="B63" i="196"/>
  <c r="B72" i="196"/>
  <c r="F83" i="208"/>
  <c r="E85" i="208"/>
  <c r="C64" i="185"/>
  <c r="C74" i="185" s="1"/>
  <c r="C73" i="185"/>
  <c r="D63" i="185"/>
  <c r="E85" i="207"/>
  <c r="F83" i="207"/>
  <c r="B73" i="189"/>
  <c r="C63" i="189"/>
  <c r="B64" i="189"/>
  <c r="B74" i="189" s="1"/>
  <c r="M64" i="222"/>
  <c r="M74" i="222" s="1"/>
  <c r="M73" i="222"/>
  <c r="L63" i="221"/>
  <c r="K73" i="221"/>
  <c r="K64" i="221"/>
  <c r="K74" i="221" s="1"/>
  <c r="L63" i="220"/>
  <c r="K73" i="220"/>
  <c r="K64" i="220"/>
  <c r="K74" i="220" s="1"/>
  <c r="K63" i="219"/>
  <c r="J73" i="219"/>
  <c r="J64" i="219"/>
  <c r="J74" i="219" s="1"/>
  <c r="H73" i="218"/>
  <c r="H64" i="218"/>
  <c r="H74" i="218" s="1"/>
  <c r="I63" i="218"/>
  <c r="H73" i="217"/>
  <c r="H64" i="217"/>
  <c r="H74" i="217" s="1"/>
  <c r="I63" i="217"/>
  <c r="H63" i="216"/>
  <c r="G73" i="216"/>
  <c r="G64" i="216"/>
  <c r="G74" i="216" s="1"/>
  <c r="F63" i="215"/>
  <c r="E73" i="215"/>
  <c r="E64" i="215"/>
  <c r="E74" i="215" s="1"/>
  <c r="E63" i="214"/>
  <c r="D73" i="214"/>
  <c r="D64" i="214"/>
  <c r="D74" i="214" s="1"/>
  <c r="G83" i="188" l="1"/>
  <c r="F85" i="188"/>
  <c r="G83" i="196"/>
  <c r="F85" i="196"/>
  <c r="I83" i="184"/>
  <c r="H85" i="184"/>
  <c r="D63" i="195"/>
  <c r="C64" i="195"/>
  <c r="C74" i="195" s="1"/>
  <c r="C73" i="195"/>
  <c r="K83" i="195"/>
  <c r="J85" i="195"/>
  <c r="H83" i="202"/>
  <c r="G85" i="202"/>
  <c r="L85" i="189"/>
  <c r="M83" i="189"/>
  <c r="M85" i="189" s="1"/>
  <c r="F85" i="199"/>
  <c r="G83" i="199"/>
  <c r="G83" i="190"/>
  <c r="F85" i="190"/>
  <c r="C63" i="209"/>
  <c r="B73" i="209"/>
  <c r="B64" i="209"/>
  <c r="B74" i="209" s="1"/>
  <c r="C73" i="212"/>
  <c r="D63" i="212"/>
  <c r="C64" i="212"/>
  <c r="C74" i="212" s="1"/>
  <c r="D64" i="200"/>
  <c r="D74" i="200" s="1"/>
  <c r="D73" i="200"/>
  <c r="E63" i="200"/>
  <c r="D73" i="187"/>
  <c r="D64" i="187"/>
  <c r="D74" i="187" s="1"/>
  <c r="E63" i="187"/>
  <c r="D73" i="184"/>
  <c r="E63" i="184"/>
  <c r="D64" i="184"/>
  <c r="D74" i="184" s="1"/>
  <c r="C64" i="189"/>
  <c r="C74" i="189" s="1"/>
  <c r="C73" i="189"/>
  <c r="D63" i="189"/>
  <c r="G83" i="208"/>
  <c r="F85" i="208"/>
  <c r="J83" i="183"/>
  <c r="I85" i="183"/>
  <c r="C64" i="202"/>
  <c r="C74" i="202" s="1"/>
  <c r="C73" i="202"/>
  <c r="D63" i="202"/>
  <c r="H83" i="200"/>
  <c r="G85" i="200"/>
  <c r="D73" i="205"/>
  <c r="E63" i="205"/>
  <c r="D64" i="205"/>
  <c r="D74" i="205" s="1"/>
  <c r="D64" i="192"/>
  <c r="D74" i="192" s="1"/>
  <c r="D73" i="192"/>
  <c r="E63" i="192"/>
  <c r="C73" i="206"/>
  <c r="D63" i="206"/>
  <c r="C64" i="206"/>
  <c r="C74" i="206" s="1"/>
  <c r="G83" i="194"/>
  <c r="F85" i="194"/>
  <c r="H83" i="191"/>
  <c r="G85" i="191"/>
  <c r="H85" i="193"/>
  <c r="I83" i="193"/>
  <c r="F85" i="182"/>
  <c r="G83" i="182"/>
  <c r="D73" i="207"/>
  <c r="E63" i="207"/>
  <c r="D64" i="207"/>
  <c r="D74" i="207" s="1"/>
  <c r="C64" i="191"/>
  <c r="C74" i="191" s="1"/>
  <c r="C73" i="191"/>
  <c r="D63" i="191"/>
  <c r="H85" i="181"/>
  <c r="I83" i="181"/>
  <c r="B64" i="194"/>
  <c r="B74" i="194" s="1"/>
  <c r="B73" i="194"/>
  <c r="C63" i="194"/>
  <c r="F85" i="204"/>
  <c r="G83" i="204"/>
  <c r="F85" i="205"/>
  <c r="G83" i="205"/>
  <c r="K83" i="198"/>
  <c r="J85" i="198"/>
  <c r="B73" i="197"/>
  <c r="C63" i="197"/>
  <c r="B64" i="197"/>
  <c r="B74" i="197" s="1"/>
  <c r="C64" i="182"/>
  <c r="C74" i="182" s="1"/>
  <c r="C73" i="182"/>
  <c r="D63" i="182"/>
  <c r="E63" i="181"/>
  <c r="D64" i="181"/>
  <c r="D74" i="181" s="1"/>
  <c r="D73" i="181"/>
  <c r="G83" i="197"/>
  <c r="F85" i="197"/>
  <c r="B73" i="183"/>
  <c r="C63" i="183"/>
  <c r="B64" i="183"/>
  <c r="B74" i="183" s="1"/>
  <c r="D73" i="190"/>
  <c r="E63" i="190"/>
  <c r="D64" i="190"/>
  <c r="D74" i="190" s="1"/>
  <c r="B73" i="198"/>
  <c r="C63" i="198"/>
  <c r="B64" i="198"/>
  <c r="B74" i="198" s="1"/>
  <c r="D63" i="186"/>
  <c r="C64" i="186"/>
  <c r="C74" i="186" s="1"/>
  <c r="C73" i="186"/>
  <c r="G83" i="192"/>
  <c r="F85" i="192"/>
  <c r="C73" i="204"/>
  <c r="D63" i="204"/>
  <c r="C64" i="204"/>
  <c r="C74" i="204" s="1"/>
  <c r="D73" i="185"/>
  <c r="E63" i="185"/>
  <c r="D64" i="185"/>
  <c r="D74" i="185" s="1"/>
  <c r="J83" i="187"/>
  <c r="I85" i="187"/>
  <c r="B64" i="188"/>
  <c r="B74" i="188" s="1"/>
  <c r="C63" i="188"/>
  <c r="B73" i="188"/>
  <c r="H83" i="206"/>
  <c r="G85" i="206"/>
  <c r="D64" i="211"/>
  <c r="D74" i="211" s="1"/>
  <c r="E63" i="211"/>
  <c r="D73" i="211"/>
  <c r="G85" i="203"/>
  <c r="H83" i="203"/>
  <c r="D63" i="208"/>
  <c r="C64" i="208"/>
  <c r="C74" i="208" s="1"/>
  <c r="C73" i="208"/>
  <c r="G83" i="207"/>
  <c r="F85" i="207"/>
  <c r="C63" i="196"/>
  <c r="B73" i="196"/>
  <c r="B64" i="196"/>
  <c r="B74" i="196" s="1"/>
  <c r="G82" i="180"/>
  <c r="F84" i="180"/>
  <c r="D63" i="193"/>
  <c r="C64" i="193"/>
  <c r="C74" i="193" s="1"/>
  <c r="C73" i="193"/>
  <c r="D73" i="201"/>
  <c r="D64" i="201"/>
  <c r="D74" i="201" s="1"/>
  <c r="E63" i="201"/>
  <c r="G85" i="209"/>
  <c r="H83" i="209"/>
  <c r="G83" i="201"/>
  <c r="F85" i="201"/>
  <c r="C73" i="203"/>
  <c r="C64" i="203"/>
  <c r="C74" i="203" s="1"/>
  <c r="D63" i="203"/>
  <c r="D63" i="199"/>
  <c r="C73" i="199"/>
  <c r="C64" i="199"/>
  <c r="C74" i="199" s="1"/>
  <c r="E62" i="180"/>
  <c r="D72" i="180"/>
  <c r="D63" i="180"/>
  <c r="D73" i="180" s="1"/>
  <c r="H85" i="185"/>
  <c r="I83" i="185"/>
  <c r="I83" i="186"/>
  <c r="H85" i="186"/>
  <c r="E63" i="213"/>
  <c r="D64" i="213"/>
  <c r="D74" i="213" s="1"/>
  <c r="D73" i="213"/>
  <c r="L73" i="221"/>
  <c r="L64" i="221"/>
  <c r="L74" i="221" s="1"/>
  <c r="M63" i="221"/>
  <c r="L73" i="220"/>
  <c r="L64" i="220"/>
  <c r="L74" i="220" s="1"/>
  <c r="M63" i="220"/>
  <c r="L63" i="219"/>
  <c r="K73" i="219"/>
  <c r="K64" i="219"/>
  <c r="K74" i="219" s="1"/>
  <c r="J63" i="218"/>
  <c r="I73" i="218"/>
  <c r="I64" i="218"/>
  <c r="I74" i="218" s="1"/>
  <c r="I73" i="217"/>
  <c r="I64" i="217"/>
  <c r="I74" i="217" s="1"/>
  <c r="J63" i="217"/>
  <c r="H73" i="216"/>
  <c r="H64" i="216"/>
  <c r="H74" i="216" s="1"/>
  <c r="I63" i="216"/>
  <c r="F73" i="215"/>
  <c r="F64" i="215"/>
  <c r="F74" i="215" s="1"/>
  <c r="G63" i="215"/>
  <c r="F63" i="214"/>
  <c r="E73" i="214"/>
  <c r="E64" i="214"/>
  <c r="E74" i="214" s="1"/>
  <c r="G85" i="196" l="1"/>
  <c r="H83" i="196"/>
  <c r="G85" i="188"/>
  <c r="H83" i="188"/>
  <c r="D64" i="195"/>
  <c r="D74" i="195" s="1"/>
  <c r="E63" i="195"/>
  <c r="D73" i="195"/>
  <c r="L83" i="195"/>
  <c r="K85" i="195"/>
  <c r="I83" i="202"/>
  <c r="H85" i="202"/>
  <c r="G85" i="199"/>
  <c r="H83" i="199"/>
  <c r="I85" i="184"/>
  <c r="J83" i="184"/>
  <c r="E63" i="208"/>
  <c r="D64" i="208"/>
  <c r="D74" i="208" s="1"/>
  <c r="D73" i="208"/>
  <c r="D73" i="191"/>
  <c r="E63" i="191"/>
  <c r="D64" i="191"/>
  <c r="D74" i="191" s="1"/>
  <c r="H83" i="207"/>
  <c r="G85" i="207"/>
  <c r="I83" i="206"/>
  <c r="H85" i="206"/>
  <c r="E63" i="186"/>
  <c r="D64" i="186"/>
  <c r="D74" i="186" s="1"/>
  <c r="D73" i="186"/>
  <c r="C73" i="183"/>
  <c r="D63" i="183"/>
  <c r="C64" i="183"/>
  <c r="C74" i="183" s="1"/>
  <c r="G85" i="204"/>
  <c r="H83" i="204"/>
  <c r="H83" i="194"/>
  <c r="G85" i="194"/>
  <c r="E73" i="192"/>
  <c r="F63" i="192"/>
  <c r="E64" i="192"/>
  <c r="E74" i="192" s="1"/>
  <c r="F63" i="205"/>
  <c r="E64" i="205"/>
  <c r="E74" i="205" s="1"/>
  <c r="E73" i="205"/>
  <c r="E63" i="202"/>
  <c r="D64" i="202"/>
  <c r="D74" i="202" s="1"/>
  <c r="D73" i="202"/>
  <c r="K83" i="183"/>
  <c r="J85" i="183"/>
  <c r="E64" i="200"/>
  <c r="E74" i="200" s="1"/>
  <c r="E73" i="200"/>
  <c r="F63" i="200"/>
  <c r="E63" i="212"/>
  <c r="D64" i="212"/>
  <c r="D74" i="212" s="1"/>
  <c r="D73" i="212"/>
  <c r="C73" i="209"/>
  <c r="C64" i="209"/>
  <c r="C74" i="209" s="1"/>
  <c r="D63" i="209"/>
  <c r="H83" i="197"/>
  <c r="G85" i="197"/>
  <c r="I85" i="193"/>
  <c r="J83" i="193"/>
  <c r="I83" i="200"/>
  <c r="H85" i="200"/>
  <c r="E63" i="189"/>
  <c r="D73" i="189"/>
  <c r="D64" i="189"/>
  <c r="D74" i="189" s="1"/>
  <c r="I85" i="186"/>
  <c r="J83" i="186"/>
  <c r="D73" i="199"/>
  <c r="E63" i="199"/>
  <c r="D64" i="199"/>
  <c r="D74" i="199" s="1"/>
  <c r="E73" i="201"/>
  <c r="F63" i="201"/>
  <c r="E64" i="201"/>
  <c r="E74" i="201" s="1"/>
  <c r="I85" i="185"/>
  <c r="J83" i="185"/>
  <c r="E63" i="180"/>
  <c r="E73" i="180" s="1"/>
  <c r="E72" i="180"/>
  <c r="F62" i="180"/>
  <c r="D64" i="203"/>
  <c r="D74" i="203" s="1"/>
  <c r="D73" i="203"/>
  <c r="E63" i="203"/>
  <c r="H83" i="201"/>
  <c r="G85" i="201"/>
  <c r="D73" i="193"/>
  <c r="D64" i="193"/>
  <c r="D74" i="193" s="1"/>
  <c r="E63" i="193"/>
  <c r="E64" i="211"/>
  <c r="E74" i="211" s="1"/>
  <c r="F63" i="211"/>
  <c r="E73" i="211"/>
  <c r="J85" i="187"/>
  <c r="K83" i="187"/>
  <c r="G85" i="192"/>
  <c r="H83" i="192"/>
  <c r="E73" i="190"/>
  <c r="F63" i="190"/>
  <c r="E64" i="190"/>
  <c r="E74" i="190" s="1"/>
  <c r="L83" i="198"/>
  <c r="K85" i="198"/>
  <c r="I85" i="181"/>
  <c r="J83" i="181"/>
  <c r="H83" i="182"/>
  <c r="G85" i="182"/>
  <c r="F63" i="187"/>
  <c r="E64" i="187"/>
  <c r="E74" i="187" s="1"/>
  <c r="E73" i="187"/>
  <c r="G84" i="180"/>
  <c r="H82" i="180"/>
  <c r="E64" i="185"/>
  <c r="E74" i="185" s="1"/>
  <c r="E73" i="185"/>
  <c r="F63" i="185"/>
  <c r="E73" i="207"/>
  <c r="F63" i="207"/>
  <c r="E64" i="207"/>
  <c r="E74" i="207" s="1"/>
  <c r="E73" i="184"/>
  <c r="F63" i="184"/>
  <c r="E64" i="184"/>
  <c r="E74" i="184" s="1"/>
  <c r="E64" i="213"/>
  <c r="E74" i="213" s="1"/>
  <c r="E73" i="213"/>
  <c r="F63" i="213"/>
  <c r="I83" i="209"/>
  <c r="H85" i="209"/>
  <c r="D63" i="196"/>
  <c r="C64" i="196"/>
  <c r="C74" i="196" s="1"/>
  <c r="C73" i="196"/>
  <c r="I83" i="203"/>
  <c r="H85" i="203"/>
  <c r="C73" i="188"/>
  <c r="C64" i="188"/>
  <c r="C74" i="188" s="1"/>
  <c r="D63" i="188"/>
  <c r="D73" i="204"/>
  <c r="E63" i="204"/>
  <c r="D64" i="204"/>
  <c r="D74" i="204" s="1"/>
  <c r="C73" i="198"/>
  <c r="D63" i="198"/>
  <c r="C64" i="198"/>
  <c r="C74" i="198" s="1"/>
  <c r="E64" i="181"/>
  <c r="E74" i="181" s="1"/>
  <c r="E73" i="181"/>
  <c r="F63" i="181"/>
  <c r="E63" i="182"/>
  <c r="D73" i="182"/>
  <c r="D64" i="182"/>
  <c r="D74" i="182" s="1"/>
  <c r="D63" i="197"/>
  <c r="C64" i="197"/>
  <c r="C74" i="197" s="1"/>
  <c r="C73" i="197"/>
  <c r="H83" i="205"/>
  <c r="G85" i="205"/>
  <c r="C64" i="194"/>
  <c r="C74" i="194" s="1"/>
  <c r="C73" i="194"/>
  <c r="D63" i="194"/>
  <c r="I83" i="191"/>
  <c r="H85" i="191"/>
  <c r="D73" i="206"/>
  <c r="D64" i="206"/>
  <c r="D74" i="206" s="1"/>
  <c r="E63" i="206"/>
  <c r="G85" i="208"/>
  <c r="H83" i="208"/>
  <c r="G85" i="190"/>
  <c r="H83" i="190"/>
  <c r="M73" i="221"/>
  <c r="M64" i="221"/>
  <c r="M74" i="221" s="1"/>
  <c r="M73" i="220"/>
  <c r="M64" i="220"/>
  <c r="M74" i="220" s="1"/>
  <c r="L73" i="219"/>
  <c r="L64" i="219"/>
  <c r="L74" i="219" s="1"/>
  <c r="M63" i="219"/>
  <c r="K63" i="218"/>
  <c r="J73" i="218"/>
  <c r="J64" i="218"/>
  <c r="J74" i="218" s="1"/>
  <c r="K63" i="217"/>
  <c r="J73" i="217"/>
  <c r="J64" i="217"/>
  <c r="J74" i="217" s="1"/>
  <c r="I73" i="216"/>
  <c r="J63" i="216"/>
  <c r="I64" i="216"/>
  <c r="I74" i="216" s="1"/>
  <c r="G73" i="215"/>
  <c r="G64" i="215"/>
  <c r="G74" i="215" s="1"/>
  <c r="H63" i="215"/>
  <c r="F73" i="214"/>
  <c r="F64" i="214"/>
  <c r="F74" i="214" s="1"/>
  <c r="G63" i="214"/>
  <c r="I83" i="196" l="1"/>
  <c r="H85" i="196"/>
  <c r="I83" i="188"/>
  <c r="H85" i="188"/>
  <c r="K83" i="184"/>
  <c r="J85" i="184"/>
  <c r="J83" i="202"/>
  <c r="I85" i="202"/>
  <c r="F63" i="195"/>
  <c r="E73" i="195"/>
  <c r="E64" i="195"/>
  <c r="E74" i="195" s="1"/>
  <c r="L85" i="195"/>
  <c r="M83" i="195"/>
  <c r="M85" i="195" s="1"/>
  <c r="H85" i="199"/>
  <c r="I83" i="199"/>
  <c r="F64" i="184"/>
  <c r="F74" i="184" s="1"/>
  <c r="F73" i="184"/>
  <c r="G63" i="184"/>
  <c r="F73" i="185"/>
  <c r="G63" i="185"/>
  <c r="F64" i="185"/>
  <c r="F74" i="185" s="1"/>
  <c r="I83" i="190"/>
  <c r="H85" i="190"/>
  <c r="I85" i="191"/>
  <c r="J83" i="191"/>
  <c r="D73" i="197"/>
  <c r="D64" i="197"/>
  <c r="D74" i="197" s="1"/>
  <c r="E63" i="197"/>
  <c r="E63" i="198"/>
  <c r="D64" i="198"/>
  <c r="D74" i="198" s="1"/>
  <c r="D73" i="198"/>
  <c r="H85" i="182"/>
  <c r="I83" i="182"/>
  <c r="H85" i="192"/>
  <c r="I83" i="192"/>
  <c r="E73" i="189"/>
  <c r="E64" i="189"/>
  <c r="E74" i="189" s="1"/>
  <c r="F63" i="189"/>
  <c r="F63" i="212"/>
  <c r="E73" i="212"/>
  <c r="E64" i="212"/>
  <c r="E74" i="212" s="1"/>
  <c r="E63" i="183"/>
  <c r="D73" i="183"/>
  <c r="D64" i="183"/>
  <c r="D74" i="183" s="1"/>
  <c r="E73" i="186"/>
  <c r="F63" i="186"/>
  <c r="E64" i="186"/>
  <c r="E74" i="186" s="1"/>
  <c r="I85" i="206"/>
  <c r="J83" i="206"/>
  <c r="E73" i="191"/>
  <c r="F63" i="191"/>
  <c r="E64" i="191"/>
  <c r="E74" i="191" s="1"/>
  <c r="D64" i="194"/>
  <c r="D74" i="194" s="1"/>
  <c r="D73" i="194"/>
  <c r="E63" i="194"/>
  <c r="H85" i="205"/>
  <c r="I83" i="205"/>
  <c r="D73" i="188"/>
  <c r="E63" i="188"/>
  <c r="D64" i="188"/>
  <c r="D74" i="188" s="1"/>
  <c r="J83" i="203"/>
  <c r="I85" i="203"/>
  <c r="J85" i="181"/>
  <c r="K83" i="181"/>
  <c r="G63" i="211"/>
  <c r="F73" i="211"/>
  <c r="F64" i="211"/>
  <c r="F74" i="211" s="1"/>
  <c r="F63" i="193"/>
  <c r="E64" i="193"/>
  <c r="E74" i="193" s="1"/>
  <c r="E73" i="193"/>
  <c r="I83" i="201"/>
  <c r="H85" i="201"/>
  <c r="G62" i="180"/>
  <c r="F63" i="180"/>
  <c r="F73" i="180" s="1"/>
  <c r="F72" i="180"/>
  <c r="F73" i="200"/>
  <c r="G63" i="200"/>
  <c r="F64" i="200"/>
  <c r="F74" i="200" s="1"/>
  <c r="L83" i="183"/>
  <c r="K85" i="183"/>
  <c r="F64" i="192"/>
  <c r="F74" i="192" s="1"/>
  <c r="G63" i="192"/>
  <c r="F73" i="192"/>
  <c r="I83" i="204"/>
  <c r="H85" i="204"/>
  <c r="F63" i="182"/>
  <c r="E64" i="182"/>
  <c r="E74" i="182" s="1"/>
  <c r="E73" i="182"/>
  <c r="E64" i="204"/>
  <c r="E74" i="204" s="1"/>
  <c r="E73" i="204"/>
  <c r="F63" i="204"/>
  <c r="F73" i="213"/>
  <c r="G63" i="213"/>
  <c r="F64" i="213"/>
  <c r="F74" i="213" s="1"/>
  <c r="G63" i="201"/>
  <c r="F73" i="201"/>
  <c r="F64" i="201"/>
  <c r="F74" i="201" s="1"/>
  <c r="J85" i="193"/>
  <c r="K83" i="193"/>
  <c r="D73" i="209"/>
  <c r="D64" i="209"/>
  <c r="D74" i="209" s="1"/>
  <c r="E63" i="209"/>
  <c r="F64" i="205"/>
  <c r="F74" i="205" s="1"/>
  <c r="F73" i="205"/>
  <c r="G63" i="205"/>
  <c r="E73" i="206"/>
  <c r="F63" i="206"/>
  <c r="E64" i="206"/>
  <c r="E74" i="206" s="1"/>
  <c r="F73" i="181"/>
  <c r="G63" i="181"/>
  <c r="F64" i="181"/>
  <c r="F74" i="181" s="1"/>
  <c r="D64" i="196"/>
  <c r="D74" i="196" s="1"/>
  <c r="D73" i="196"/>
  <c r="E63" i="196"/>
  <c r="L85" i="198"/>
  <c r="M83" i="198"/>
  <c r="M85" i="198" s="1"/>
  <c r="K83" i="185"/>
  <c r="J85" i="185"/>
  <c r="J85" i="186"/>
  <c r="K83" i="186"/>
  <c r="E64" i="202"/>
  <c r="E74" i="202" s="1"/>
  <c r="E73" i="202"/>
  <c r="F63" i="202"/>
  <c r="I83" i="194"/>
  <c r="H85" i="194"/>
  <c r="I83" i="208"/>
  <c r="H85" i="208"/>
  <c r="J83" i="209"/>
  <c r="I85" i="209"/>
  <c r="F64" i="207"/>
  <c r="F74" i="207" s="1"/>
  <c r="F73" i="207"/>
  <c r="G63" i="207"/>
  <c r="I82" i="180"/>
  <c r="H84" i="180"/>
  <c r="G63" i="187"/>
  <c r="F64" i="187"/>
  <c r="F74" i="187" s="1"/>
  <c r="F73" i="187"/>
  <c r="F64" i="190"/>
  <c r="F74" i="190" s="1"/>
  <c r="G63" i="190"/>
  <c r="F73" i="190"/>
  <c r="K85" i="187"/>
  <c r="L83" i="187"/>
  <c r="E64" i="203"/>
  <c r="E74" i="203" s="1"/>
  <c r="E73" i="203"/>
  <c r="F63" i="203"/>
  <c r="E64" i="199"/>
  <c r="E74" i="199" s="1"/>
  <c r="E73" i="199"/>
  <c r="F63" i="199"/>
  <c r="I85" i="200"/>
  <c r="J83" i="200"/>
  <c r="I83" i="197"/>
  <c r="H85" i="197"/>
  <c r="I83" i="207"/>
  <c r="H85" i="207"/>
  <c r="E73" i="208"/>
  <c r="E64" i="208"/>
  <c r="E74" i="208" s="1"/>
  <c r="F63" i="208"/>
  <c r="M64" i="219"/>
  <c r="M74" i="219" s="1"/>
  <c r="M73" i="219"/>
  <c r="L63" i="218"/>
  <c r="K73" i="218"/>
  <c r="K64" i="218"/>
  <c r="K74" i="218" s="1"/>
  <c r="L63" i="217"/>
  <c r="K73" i="217"/>
  <c r="K64" i="217"/>
  <c r="K74" i="217" s="1"/>
  <c r="K63" i="216"/>
  <c r="J73" i="216"/>
  <c r="J64" i="216"/>
  <c r="J74" i="216" s="1"/>
  <c r="I63" i="215"/>
  <c r="H73" i="215"/>
  <c r="H64" i="215"/>
  <c r="H74" i="215" s="1"/>
  <c r="G64" i="214"/>
  <c r="G74" i="214" s="1"/>
  <c r="H63" i="214"/>
  <c r="G73" i="214"/>
  <c r="I85" i="188" l="1"/>
  <c r="J83" i="188"/>
  <c r="J83" i="196"/>
  <c r="I85" i="196"/>
  <c r="J83" i="199"/>
  <c r="I85" i="199"/>
  <c r="J85" i="202"/>
  <c r="K83" i="202"/>
  <c r="F73" i="195"/>
  <c r="G63" i="195"/>
  <c r="F64" i="195"/>
  <c r="F74" i="195" s="1"/>
  <c r="L83" i="184"/>
  <c r="K85" i="184"/>
  <c r="G63" i="202"/>
  <c r="F64" i="202"/>
  <c r="F74" i="202" s="1"/>
  <c r="F73" i="202"/>
  <c r="G64" i="201"/>
  <c r="G74" i="201" s="1"/>
  <c r="G73" i="201"/>
  <c r="H63" i="201"/>
  <c r="G64" i="200"/>
  <c r="G74" i="200" s="1"/>
  <c r="H63" i="200"/>
  <c r="G73" i="200"/>
  <c r="G63" i="180"/>
  <c r="G73" i="180" s="1"/>
  <c r="G72" i="180"/>
  <c r="H62" i="180"/>
  <c r="G64" i="211"/>
  <c r="G74" i="211" s="1"/>
  <c r="H63" i="211"/>
  <c r="G73" i="211"/>
  <c r="J83" i="192"/>
  <c r="I85" i="192"/>
  <c r="F64" i="208"/>
  <c r="F74" i="208" s="1"/>
  <c r="F73" i="208"/>
  <c r="G63" i="208"/>
  <c r="I85" i="197"/>
  <c r="J83" i="197"/>
  <c r="G73" i="190"/>
  <c r="G64" i="190"/>
  <c r="G74" i="190" s="1"/>
  <c r="H63" i="190"/>
  <c r="E73" i="196"/>
  <c r="F63" i="196"/>
  <c r="E64" i="196"/>
  <c r="E74" i="196" s="1"/>
  <c r="G63" i="182"/>
  <c r="F73" i="182"/>
  <c r="F64" i="182"/>
  <c r="F74" i="182" s="1"/>
  <c r="F73" i="193"/>
  <c r="G63" i="193"/>
  <c r="F64" i="193"/>
  <c r="F74" i="193" s="1"/>
  <c r="L83" i="181"/>
  <c r="K85" i="181"/>
  <c r="I85" i="190"/>
  <c r="J83" i="190"/>
  <c r="K83" i="200"/>
  <c r="J85" i="200"/>
  <c r="L85" i="187"/>
  <c r="M83" i="187"/>
  <c r="M85" i="187" s="1"/>
  <c r="L83" i="185"/>
  <c r="K85" i="185"/>
  <c r="G64" i="205"/>
  <c r="G74" i="205" s="1"/>
  <c r="G73" i="205"/>
  <c r="H63" i="205"/>
  <c r="G64" i="213"/>
  <c r="G74" i="213" s="1"/>
  <c r="H63" i="213"/>
  <c r="G73" i="213"/>
  <c r="M83" i="183"/>
  <c r="M85" i="183" s="1"/>
  <c r="L85" i="183"/>
  <c r="I85" i="201"/>
  <c r="J83" i="201"/>
  <c r="E73" i="188"/>
  <c r="F63" i="188"/>
  <c r="E64" i="188"/>
  <c r="E74" i="188" s="1"/>
  <c r="E64" i="194"/>
  <c r="E74" i="194" s="1"/>
  <c r="E73" i="194"/>
  <c r="F63" i="194"/>
  <c r="F73" i="191"/>
  <c r="G63" i="191"/>
  <c r="F64" i="191"/>
  <c r="F74" i="191" s="1"/>
  <c r="F73" i="212"/>
  <c r="F64" i="212"/>
  <c r="F74" i="212" s="1"/>
  <c r="G63" i="212"/>
  <c r="I85" i="182"/>
  <c r="J83" i="182"/>
  <c r="E73" i="198"/>
  <c r="E64" i="198"/>
  <c r="E74" i="198" s="1"/>
  <c r="F63" i="198"/>
  <c r="K83" i="191"/>
  <c r="J85" i="191"/>
  <c r="G63" i="199"/>
  <c r="F73" i="199"/>
  <c r="F64" i="199"/>
  <c r="F74" i="199" s="1"/>
  <c r="F73" i="206"/>
  <c r="G63" i="206"/>
  <c r="F64" i="206"/>
  <c r="F74" i="206" s="1"/>
  <c r="L83" i="193"/>
  <c r="K85" i="193"/>
  <c r="F73" i="204"/>
  <c r="G63" i="204"/>
  <c r="F64" i="204"/>
  <c r="F74" i="204" s="1"/>
  <c r="J85" i="203"/>
  <c r="K83" i="203"/>
  <c r="J83" i="205"/>
  <c r="I85" i="205"/>
  <c r="K83" i="206"/>
  <c r="J85" i="206"/>
  <c r="H63" i="187"/>
  <c r="G73" i="187"/>
  <c r="G64" i="187"/>
  <c r="G74" i="187" s="1"/>
  <c r="I85" i="208"/>
  <c r="J83" i="208"/>
  <c r="G73" i="181"/>
  <c r="H63" i="181"/>
  <c r="G64" i="181"/>
  <c r="G74" i="181" s="1"/>
  <c r="E73" i="209"/>
  <c r="E64" i="209"/>
  <c r="E74" i="209" s="1"/>
  <c r="F63" i="209"/>
  <c r="I85" i="204"/>
  <c r="J83" i="204"/>
  <c r="H63" i="184"/>
  <c r="G73" i="184"/>
  <c r="G64" i="184"/>
  <c r="G74" i="184" s="1"/>
  <c r="I85" i="207"/>
  <c r="J83" i="207"/>
  <c r="G63" i="203"/>
  <c r="F73" i="203"/>
  <c r="F64" i="203"/>
  <c r="F74" i="203" s="1"/>
  <c r="J82" i="180"/>
  <c r="I84" i="180"/>
  <c r="G73" i="207"/>
  <c r="H63" i="207"/>
  <c r="G64" i="207"/>
  <c r="G74" i="207" s="1"/>
  <c r="J85" i="209"/>
  <c r="K83" i="209"/>
  <c r="I85" i="194"/>
  <c r="J83" i="194"/>
  <c r="L83" i="186"/>
  <c r="K85" i="186"/>
  <c r="G64" i="192"/>
  <c r="G74" i="192" s="1"/>
  <c r="G73" i="192"/>
  <c r="H63" i="192"/>
  <c r="F73" i="186"/>
  <c r="G63" i="186"/>
  <c r="F64" i="186"/>
  <c r="F74" i="186" s="1"/>
  <c r="E73" i="183"/>
  <c r="F63" i="183"/>
  <c r="E64" i="183"/>
  <c r="E74" i="183" s="1"/>
  <c r="G63" i="189"/>
  <c r="F64" i="189"/>
  <c r="F74" i="189" s="1"/>
  <c r="F73" i="189"/>
  <c r="E64" i="197"/>
  <c r="E74" i="197" s="1"/>
  <c r="E73" i="197"/>
  <c r="F63" i="197"/>
  <c r="G73" i="185"/>
  <c r="H63" i="185"/>
  <c r="G64" i="185"/>
  <c r="G74" i="185" s="1"/>
  <c r="L73" i="218"/>
  <c r="L64" i="218"/>
  <c r="L74" i="218" s="1"/>
  <c r="M63" i="218"/>
  <c r="L73" i="217"/>
  <c r="L64" i="217"/>
  <c r="L74" i="217" s="1"/>
  <c r="M63" i="217"/>
  <c r="L63" i="216"/>
  <c r="K73" i="216"/>
  <c r="K64" i="216"/>
  <c r="K74" i="216" s="1"/>
  <c r="J63" i="215"/>
  <c r="I73" i="215"/>
  <c r="I64" i="215"/>
  <c r="I74" i="215" s="1"/>
  <c r="I63" i="214"/>
  <c r="H73" i="214"/>
  <c r="H64" i="214"/>
  <c r="H74" i="214" s="1"/>
  <c r="J85" i="196" l="1"/>
  <c r="K83" i="196"/>
  <c r="K83" i="188"/>
  <c r="J85" i="188"/>
  <c r="L85" i="184"/>
  <c r="M83" i="184"/>
  <c r="M85" i="184" s="1"/>
  <c r="G64" i="195"/>
  <c r="G74" i="195" s="1"/>
  <c r="G73" i="195"/>
  <c r="H63" i="195"/>
  <c r="L83" i="202"/>
  <c r="K85" i="202"/>
  <c r="K83" i="199"/>
  <c r="J85" i="199"/>
  <c r="H64" i="187"/>
  <c r="H74" i="187" s="1"/>
  <c r="H73" i="187"/>
  <c r="I63" i="187"/>
  <c r="K85" i="191"/>
  <c r="L83" i="191"/>
  <c r="G73" i="212"/>
  <c r="H63" i="212"/>
  <c r="G64" i="212"/>
  <c r="G74" i="212" s="1"/>
  <c r="H63" i="191"/>
  <c r="G64" i="191"/>
  <c r="G74" i="191" s="1"/>
  <c r="G73" i="191"/>
  <c r="K83" i="201"/>
  <c r="J85" i="201"/>
  <c r="G73" i="208"/>
  <c r="H63" i="208"/>
  <c r="G64" i="208"/>
  <c r="G74" i="208" s="1"/>
  <c r="H72" i="180"/>
  <c r="H63" i="180"/>
  <c r="H73" i="180" s="1"/>
  <c r="I62" i="180"/>
  <c r="I63" i="200"/>
  <c r="H73" i="200"/>
  <c r="H64" i="200"/>
  <c r="H74" i="200" s="1"/>
  <c r="F64" i="183"/>
  <c r="F74" i="183" s="1"/>
  <c r="F73" i="183"/>
  <c r="G63" i="183"/>
  <c r="L83" i="209"/>
  <c r="K85" i="209"/>
  <c r="L85" i="193"/>
  <c r="M83" i="193"/>
  <c r="M85" i="193" s="1"/>
  <c r="I63" i="205"/>
  <c r="H64" i="205"/>
  <c r="H74" i="205" s="1"/>
  <c r="H73" i="205"/>
  <c r="L83" i="200"/>
  <c r="K85" i="200"/>
  <c r="M83" i="181"/>
  <c r="M85" i="181" s="1"/>
  <c r="L85" i="181"/>
  <c r="F73" i="196"/>
  <c r="G63" i="196"/>
  <c r="F64" i="196"/>
  <c r="F74" i="196" s="1"/>
  <c r="F73" i="197"/>
  <c r="G63" i="197"/>
  <c r="F64" i="197"/>
  <c r="F74" i="197" s="1"/>
  <c r="H73" i="192"/>
  <c r="I63" i="192"/>
  <c r="H64" i="192"/>
  <c r="H74" i="192" s="1"/>
  <c r="M83" i="186"/>
  <c r="M85" i="186" s="1"/>
  <c r="L85" i="186"/>
  <c r="H63" i="203"/>
  <c r="G73" i="203"/>
  <c r="G64" i="203"/>
  <c r="G74" i="203" s="1"/>
  <c r="F64" i="209"/>
  <c r="F74" i="209" s="1"/>
  <c r="G63" i="209"/>
  <c r="F73" i="209"/>
  <c r="I63" i="181"/>
  <c r="H64" i="181"/>
  <c r="H74" i="181" s="1"/>
  <c r="H73" i="181"/>
  <c r="K83" i="205"/>
  <c r="J85" i="205"/>
  <c r="G73" i="204"/>
  <c r="H63" i="204"/>
  <c r="G64" i="204"/>
  <c r="G74" i="204" s="1"/>
  <c r="G64" i="199"/>
  <c r="G74" i="199" s="1"/>
  <c r="G73" i="199"/>
  <c r="H63" i="199"/>
  <c r="F64" i="194"/>
  <c r="F74" i="194" s="1"/>
  <c r="F73" i="194"/>
  <c r="G63" i="194"/>
  <c r="F73" i="188"/>
  <c r="G63" i="188"/>
  <c r="F64" i="188"/>
  <c r="F74" i="188" s="1"/>
  <c r="K83" i="190"/>
  <c r="J85" i="190"/>
  <c r="J85" i="197"/>
  <c r="K83" i="197"/>
  <c r="H64" i="211"/>
  <c r="H74" i="211" s="1"/>
  <c r="I63" i="211"/>
  <c r="H73" i="211"/>
  <c r="I63" i="201"/>
  <c r="H64" i="201"/>
  <c r="H74" i="201" s="1"/>
  <c r="H73" i="201"/>
  <c r="H73" i="185"/>
  <c r="H64" i="185"/>
  <c r="H74" i="185" s="1"/>
  <c r="I63" i="185"/>
  <c r="G73" i="186"/>
  <c r="H63" i="186"/>
  <c r="G64" i="186"/>
  <c r="G74" i="186" s="1"/>
  <c r="H73" i="207"/>
  <c r="I63" i="207"/>
  <c r="H64" i="207"/>
  <c r="H74" i="207" s="1"/>
  <c r="K83" i="204"/>
  <c r="J85" i="204"/>
  <c r="K83" i="208"/>
  <c r="J85" i="208"/>
  <c r="L83" i="206"/>
  <c r="K85" i="206"/>
  <c r="K83" i="182"/>
  <c r="J85" i="182"/>
  <c r="K83" i="192"/>
  <c r="J85" i="192"/>
  <c r="G63" i="198"/>
  <c r="F64" i="198"/>
  <c r="F74" i="198" s="1"/>
  <c r="F73" i="198"/>
  <c r="L85" i="185"/>
  <c r="M83" i="185"/>
  <c r="M85" i="185" s="1"/>
  <c r="G64" i="189"/>
  <c r="G74" i="189" s="1"/>
  <c r="G73" i="189"/>
  <c r="H63" i="189"/>
  <c r="J85" i="194"/>
  <c r="K83" i="194"/>
  <c r="J84" i="180"/>
  <c r="K82" i="180"/>
  <c r="K83" i="207"/>
  <c r="J85" i="207"/>
  <c r="H73" i="184"/>
  <c r="I63" i="184"/>
  <c r="H64" i="184"/>
  <c r="H74" i="184" s="1"/>
  <c r="K85" i="203"/>
  <c r="L83" i="203"/>
  <c r="H63" i="206"/>
  <c r="G73" i="206"/>
  <c r="G64" i="206"/>
  <c r="G74" i="206" s="1"/>
  <c r="I63" i="213"/>
  <c r="H64" i="213"/>
  <c r="H74" i="213" s="1"/>
  <c r="H73" i="213"/>
  <c r="G73" i="193"/>
  <c r="G64" i="193"/>
  <c r="G74" i="193" s="1"/>
  <c r="H63" i="193"/>
  <c r="H63" i="182"/>
  <c r="G64" i="182"/>
  <c r="G74" i="182" s="1"/>
  <c r="G73" i="182"/>
  <c r="H64" i="190"/>
  <c r="H74" i="190" s="1"/>
  <c r="H73" i="190"/>
  <c r="I63" i="190"/>
  <c r="G64" i="202"/>
  <c r="G74" i="202" s="1"/>
  <c r="G73" i="202"/>
  <c r="H63" i="202"/>
  <c r="M73" i="218"/>
  <c r="M64" i="218"/>
  <c r="M74" i="218" s="1"/>
  <c r="M73" i="217"/>
  <c r="M64" i="217"/>
  <c r="M74" i="217" s="1"/>
  <c r="L73" i="216"/>
  <c r="L64" i="216"/>
  <c r="L74" i="216" s="1"/>
  <c r="M63" i="216"/>
  <c r="J73" i="215"/>
  <c r="J64" i="215"/>
  <c r="J74" i="215" s="1"/>
  <c r="K63" i="215"/>
  <c r="J63" i="214"/>
  <c r="I73" i="214"/>
  <c r="I64" i="214"/>
  <c r="I74" i="214" s="1"/>
  <c r="K85" i="188" l="1"/>
  <c r="L83" i="188"/>
  <c r="L83" i="196"/>
  <c r="K85" i="196"/>
  <c r="M83" i="202"/>
  <c r="M85" i="202" s="1"/>
  <c r="L85" i="202"/>
  <c r="L83" i="199"/>
  <c r="K85" i="199"/>
  <c r="H73" i="195"/>
  <c r="I63" i="195"/>
  <c r="H64" i="195"/>
  <c r="H74" i="195" s="1"/>
  <c r="I73" i="190"/>
  <c r="J63" i="190"/>
  <c r="I64" i="190"/>
  <c r="I74" i="190" s="1"/>
  <c r="K85" i="194"/>
  <c r="L83" i="194"/>
  <c r="L83" i="182"/>
  <c r="K85" i="182"/>
  <c r="I73" i="207"/>
  <c r="J63" i="207"/>
  <c r="I64" i="207"/>
  <c r="I74" i="207" s="1"/>
  <c r="H73" i="199"/>
  <c r="I63" i="199"/>
  <c r="H64" i="199"/>
  <c r="H74" i="199" s="1"/>
  <c r="I73" i="181"/>
  <c r="J63" i="181"/>
  <c r="I64" i="181"/>
  <c r="I74" i="181" s="1"/>
  <c r="G64" i="196"/>
  <c r="G74" i="196" s="1"/>
  <c r="G73" i="196"/>
  <c r="H63" i="196"/>
  <c r="I64" i="205"/>
  <c r="I74" i="205" s="1"/>
  <c r="I73" i="205"/>
  <c r="J63" i="205"/>
  <c r="M83" i="209"/>
  <c r="M85" i="209" s="1"/>
  <c r="L85" i="209"/>
  <c r="H64" i="202"/>
  <c r="H74" i="202" s="1"/>
  <c r="H73" i="202"/>
  <c r="I63" i="202"/>
  <c r="I73" i="185"/>
  <c r="J63" i="185"/>
  <c r="I64" i="185"/>
  <c r="I74" i="185" s="1"/>
  <c r="G73" i="194"/>
  <c r="G64" i="194"/>
  <c r="G74" i="194" s="1"/>
  <c r="H63" i="194"/>
  <c r="G73" i="183"/>
  <c r="H63" i="183"/>
  <c r="G64" i="183"/>
  <c r="G74" i="183" s="1"/>
  <c r="I63" i="212"/>
  <c r="H64" i="212"/>
  <c r="H74" i="212" s="1"/>
  <c r="H73" i="212"/>
  <c r="I73" i="187"/>
  <c r="J63" i="187"/>
  <c r="I64" i="187"/>
  <c r="I74" i="187" s="1"/>
  <c r="H64" i="193"/>
  <c r="H74" i="193" s="1"/>
  <c r="H73" i="193"/>
  <c r="I63" i="193"/>
  <c r="I63" i="206"/>
  <c r="H73" i="206"/>
  <c r="H64" i="206"/>
  <c r="H74" i="206" s="1"/>
  <c r="I73" i="184"/>
  <c r="J63" i="184"/>
  <c r="I64" i="184"/>
  <c r="I74" i="184" s="1"/>
  <c r="L82" i="180"/>
  <c r="K84" i="180"/>
  <c r="H64" i="189"/>
  <c r="H74" i="189" s="1"/>
  <c r="I63" i="189"/>
  <c r="H73" i="189"/>
  <c r="K85" i="192"/>
  <c r="L83" i="192"/>
  <c r="M83" i="206"/>
  <c r="M85" i="206" s="1"/>
  <c r="L85" i="206"/>
  <c r="L83" i="204"/>
  <c r="K85" i="204"/>
  <c r="I64" i="201"/>
  <c r="I74" i="201" s="1"/>
  <c r="I73" i="201"/>
  <c r="J63" i="201"/>
  <c r="L83" i="197"/>
  <c r="K85" i="197"/>
  <c r="H63" i="209"/>
  <c r="G73" i="209"/>
  <c r="G64" i="209"/>
  <c r="G74" i="209" s="1"/>
  <c r="I63" i="203"/>
  <c r="H64" i="203"/>
  <c r="H74" i="203" s="1"/>
  <c r="H73" i="203"/>
  <c r="J63" i="192"/>
  <c r="I64" i="192"/>
  <c r="I74" i="192" s="1"/>
  <c r="I73" i="192"/>
  <c r="J63" i="200"/>
  <c r="I73" i="200"/>
  <c r="I64" i="200"/>
  <c r="I74" i="200" s="1"/>
  <c r="L83" i="208"/>
  <c r="K85" i="208"/>
  <c r="I64" i="211"/>
  <c r="I74" i="211" s="1"/>
  <c r="J63" i="211"/>
  <c r="I73" i="211"/>
  <c r="I63" i="204"/>
  <c r="H64" i="204"/>
  <c r="H74" i="204" s="1"/>
  <c r="H73" i="204"/>
  <c r="L83" i="201"/>
  <c r="K85" i="201"/>
  <c r="H64" i="182"/>
  <c r="H74" i="182" s="1"/>
  <c r="H73" i="182"/>
  <c r="I63" i="182"/>
  <c r="L83" i="207"/>
  <c r="K85" i="207"/>
  <c r="G73" i="198"/>
  <c r="H63" i="198"/>
  <c r="G64" i="198"/>
  <c r="G74" i="198" s="1"/>
  <c r="L83" i="190"/>
  <c r="K85" i="190"/>
  <c r="H63" i="197"/>
  <c r="G73" i="197"/>
  <c r="G64" i="197"/>
  <c r="G74" i="197" s="1"/>
  <c r="M83" i="200"/>
  <c r="M85" i="200" s="1"/>
  <c r="L85" i="200"/>
  <c r="I64" i="213"/>
  <c r="I74" i="213" s="1"/>
  <c r="I73" i="213"/>
  <c r="J63" i="213"/>
  <c r="L85" i="203"/>
  <c r="M83" i="203"/>
  <c r="M85" i="203" s="1"/>
  <c r="H73" i="186"/>
  <c r="H64" i="186"/>
  <c r="H74" i="186" s="1"/>
  <c r="I63" i="186"/>
  <c r="G73" i="188"/>
  <c r="G64" i="188"/>
  <c r="G74" i="188" s="1"/>
  <c r="H63" i="188"/>
  <c r="L83" i="205"/>
  <c r="K85" i="205"/>
  <c r="I72" i="180"/>
  <c r="J62" i="180"/>
  <c r="I63" i="180"/>
  <c r="I73" i="180" s="1"/>
  <c r="H73" i="208"/>
  <c r="I63" i="208"/>
  <c r="H64" i="208"/>
  <c r="H74" i="208" s="1"/>
  <c r="H73" i="191"/>
  <c r="I63" i="191"/>
  <c r="H64" i="191"/>
  <c r="H74" i="191" s="1"/>
  <c r="L85" i="191"/>
  <c r="M83" i="191"/>
  <c r="M85" i="191" s="1"/>
  <c r="M64" i="216"/>
  <c r="M74" i="216" s="1"/>
  <c r="M73" i="216"/>
  <c r="K64" i="215"/>
  <c r="K74" i="215" s="1"/>
  <c r="L63" i="215"/>
  <c r="K73" i="215"/>
  <c r="J73" i="214"/>
  <c r="J64" i="214"/>
  <c r="J74" i="214" s="1"/>
  <c r="K63" i="214"/>
  <c r="L85" i="196" l="1"/>
  <c r="M83" i="196"/>
  <c r="M85" i="196" s="1"/>
  <c r="L85" i="188"/>
  <c r="M83" i="188"/>
  <c r="M85" i="188" s="1"/>
  <c r="M83" i="199"/>
  <c r="M85" i="199" s="1"/>
  <c r="L85" i="199"/>
  <c r="J63" i="195"/>
  <c r="I73" i="195"/>
  <c r="I64" i="195"/>
  <c r="I74" i="195" s="1"/>
  <c r="M83" i="205"/>
  <c r="M85" i="205" s="1"/>
  <c r="L85" i="205"/>
  <c r="I63" i="197"/>
  <c r="H64" i="197"/>
  <c r="H74" i="197" s="1"/>
  <c r="H73" i="197"/>
  <c r="J63" i="182"/>
  <c r="I73" i="182"/>
  <c r="I64" i="182"/>
  <c r="I74" i="182" s="1"/>
  <c r="I73" i="203"/>
  <c r="I64" i="203"/>
  <c r="I74" i="203" s="1"/>
  <c r="J63" i="203"/>
  <c r="H73" i="183"/>
  <c r="I63" i="183"/>
  <c r="H64" i="183"/>
  <c r="H74" i="183" s="1"/>
  <c r="J64" i="181"/>
  <c r="J74" i="181" s="1"/>
  <c r="J73" i="181"/>
  <c r="K63" i="181"/>
  <c r="J63" i="180"/>
  <c r="J73" i="180" s="1"/>
  <c r="J72" i="180"/>
  <c r="K62" i="180"/>
  <c r="H73" i="188"/>
  <c r="I63" i="188"/>
  <c r="H64" i="188"/>
  <c r="H74" i="188" s="1"/>
  <c r="J73" i="213"/>
  <c r="K63" i="213"/>
  <c r="J64" i="213"/>
  <c r="J74" i="213" s="1"/>
  <c r="K63" i="211"/>
  <c r="J73" i="211"/>
  <c r="J64" i="211"/>
  <c r="J74" i="211" s="1"/>
  <c r="K63" i="192"/>
  <c r="J64" i="192"/>
  <c r="J74" i="192" s="1"/>
  <c r="J73" i="192"/>
  <c r="M83" i="197"/>
  <c r="M85" i="197" s="1"/>
  <c r="L85" i="197"/>
  <c r="M83" i="192"/>
  <c r="M85" i="192" s="1"/>
  <c r="L85" i="192"/>
  <c r="J64" i="184"/>
  <c r="J74" i="184" s="1"/>
  <c r="J73" i="184"/>
  <c r="K63" i="184"/>
  <c r="J63" i="206"/>
  <c r="I64" i="206"/>
  <c r="I74" i="206" s="1"/>
  <c r="I73" i="206"/>
  <c r="K63" i="205"/>
  <c r="J64" i="205"/>
  <c r="J74" i="205" s="1"/>
  <c r="J73" i="205"/>
  <c r="L85" i="182"/>
  <c r="M83" i="182"/>
  <c r="M85" i="182" s="1"/>
  <c r="J64" i="190"/>
  <c r="J74" i="190" s="1"/>
  <c r="J73" i="190"/>
  <c r="K63" i="190"/>
  <c r="I73" i="191"/>
  <c r="J63" i="191"/>
  <c r="I64" i="191"/>
  <c r="I74" i="191" s="1"/>
  <c r="L85" i="207"/>
  <c r="M83" i="207"/>
  <c r="M85" i="207" s="1"/>
  <c r="I73" i="204"/>
  <c r="J63" i="204"/>
  <c r="I64" i="204"/>
  <c r="I74" i="204" s="1"/>
  <c r="H64" i="209"/>
  <c r="H74" i="209" s="1"/>
  <c r="I63" i="209"/>
  <c r="H73" i="209"/>
  <c r="M82" i="180"/>
  <c r="M84" i="180" s="1"/>
  <c r="L84" i="180"/>
  <c r="I73" i="199"/>
  <c r="J63" i="199"/>
  <c r="I64" i="199"/>
  <c r="I74" i="199" s="1"/>
  <c r="J63" i="186"/>
  <c r="I73" i="186"/>
  <c r="I64" i="186"/>
  <c r="I74" i="186" s="1"/>
  <c r="H64" i="198"/>
  <c r="H74" i="198" s="1"/>
  <c r="H73" i="198"/>
  <c r="I63" i="198"/>
  <c r="L85" i="201"/>
  <c r="M83" i="201"/>
  <c r="M85" i="201" s="1"/>
  <c r="L85" i="208"/>
  <c r="M83" i="208"/>
  <c r="M85" i="208" s="1"/>
  <c r="J63" i="189"/>
  <c r="I73" i="189"/>
  <c r="I64" i="189"/>
  <c r="I74" i="189" s="1"/>
  <c r="I64" i="202"/>
  <c r="I74" i="202" s="1"/>
  <c r="I73" i="202"/>
  <c r="J63" i="202"/>
  <c r="H73" i="196"/>
  <c r="I63" i="196"/>
  <c r="H64" i="196"/>
  <c r="H74" i="196" s="1"/>
  <c r="I73" i="208"/>
  <c r="J63" i="208"/>
  <c r="I64" i="208"/>
  <c r="I74" i="208" s="1"/>
  <c r="M83" i="190"/>
  <c r="M85" i="190" s="1"/>
  <c r="L85" i="190"/>
  <c r="J64" i="200"/>
  <c r="J74" i="200" s="1"/>
  <c r="K63" i="200"/>
  <c r="J73" i="200"/>
  <c r="K63" i="201"/>
  <c r="J64" i="201"/>
  <c r="J74" i="201" s="1"/>
  <c r="J73" i="201"/>
  <c r="M83" i="204"/>
  <c r="M85" i="204" s="1"/>
  <c r="L85" i="204"/>
  <c r="I73" i="193"/>
  <c r="J63" i="193"/>
  <c r="I64" i="193"/>
  <c r="I74" i="193" s="1"/>
  <c r="J73" i="187"/>
  <c r="K63" i="187"/>
  <c r="J64" i="187"/>
  <c r="J74" i="187" s="1"/>
  <c r="J63" i="212"/>
  <c r="I73" i="212"/>
  <c r="I64" i="212"/>
  <c r="I74" i="212" s="1"/>
  <c r="I63" i="194"/>
  <c r="H64" i="194"/>
  <c r="H74" i="194" s="1"/>
  <c r="H73" i="194"/>
  <c r="J64" i="185"/>
  <c r="J74" i="185" s="1"/>
  <c r="J73" i="185"/>
  <c r="K63" i="185"/>
  <c r="J64" i="207"/>
  <c r="J74" i="207" s="1"/>
  <c r="J73" i="207"/>
  <c r="K63" i="207"/>
  <c r="M83" i="194"/>
  <c r="M85" i="194" s="1"/>
  <c r="L85" i="194"/>
  <c r="M63" i="215"/>
  <c r="L73" i="215"/>
  <c r="L64" i="215"/>
  <c r="L74" i="215" s="1"/>
  <c r="K73" i="214"/>
  <c r="K64" i="214"/>
  <c r="K74" i="214" s="1"/>
  <c r="L63" i="214"/>
  <c r="J73" i="195" l="1"/>
  <c r="J64" i="195"/>
  <c r="J74" i="195" s="1"/>
  <c r="K63" i="195"/>
  <c r="J73" i="199"/>
  <c r="K63" i="199"/>
  <c r="J64" i="199"/>
  <c r="J74" i="199" s="1"/>
  <c r="K63" i="180"/>
  <c r="K73" i="180" s="1"/>
  <c r="K72" i="180"/>
  <c r="L62" i="180"/>
  <c r="L63" i="207"/>
  <c r="K64" i="207"/>
  <c r="K74" i="207" s="1"/>
  <c r="K73" i="207"/>
  <c r="I73" i="194"/>
  <c r="J63" i="194"/>
  <c r="I64" i="194"/>
  <c r="I74" i="194" s="1"/>
  <c r="L63" i="200"/>
  <c r="K64" i="200"/>
  <c r="K74" i="200" s="1"/>
  <c r="K73" i="200"/>
  <c r="I64" i="198"/>
  <c r="I74" i="198" s="1"/>
  <c r="I73" i="198"/>
  <c r="J63" i="198"/>
  <c r="J63" i="209"/>
  <c r="I73" i="209"/>
  <c r="I64" i="209"/>
  <c r="I74" i="209" s="1"/>
  <c r="L63" i="205"/>
  <c r="K64" i="205"/>
  <c r="K74" i="205" s="1"/>
  <c r="K73" i="205"/>
  <c r="K73" i="184"/>
  <c r="L63" i="184"/>
  <c r="K64" i="184"/>
  <c r="K74" i="184" s="1"/>
  <c r="K64" i="211"/>
  <c r="K74" i="211" s="1"/>
  <c r="K73" i="211"/>
  <c r="L63" i="211"/>
  <c r="J64" i="203"/>
  <c r="J74" i="203" s="1"/>
  <c r="K63" i="203"/>
  <c r="J73" i="203"/>
  <c r="I73" i="197"/>
  <c r="J63" i="197"/>
  <c r="I64" i="197"/>
  <c r="I74" i="197" s="1"/>
  <c r="L63" i="185"/>
  <c r="K64" i="185"/>
  <c r="K74" i="185" s="1"/>
  <c r="K73" i="185"/>
  <c r="J73" i="212"/>
  <c r="J64" i="212"/>
  <c r="J74" i="212" s="1"/>
  <c r="K63" i="212"/>
  <c r="J73" i="189"/>
  <c r="K63" i="189"/>
  <c r="J64" i="189"/>
  <c r="J74" i="189" s="1"/>
  <c r="J64" i="191"/>
  <c r="J74" i="191" s="1"/>
  <c r="J73" i="191"/>
  <c r="K63" i="191"/>
  <c r="J64" i="206"/>
  <c r="J74" i="206" s="1"/>
  <c r="J73" i="206"/>
  <c r="K63" i="206"/>
  <c r="J64" i="193"/>
  <c r="J74" i="193" s="1"/>
  <c r="J73" i="193"/>
  <c r="K63" i="193"/>
  <c r="J63" i="196"/>
  <c r="I64" i="196"/>
  <c r="I74" i="196" s="1"/>
  <c r="I73" i="196"/>
  <c r="K73" i="187"/>
  <c r="K64" i="187"/>
  <c r="K74" i="187" s="1"/>
  <c r="L63" i="187"/>
  <c r="J73" i="208"/>
  <c r="K63" i="208"/>
  <c r="J64" i="208"/>
  <c r="J74" i="208" s="1"/>
  <c r="J73" i="186"/>
  <c r="K63" i="186"/>
  <c r="J64" i="186"/>
  <c r="J74" i="186" s="1"/>
  <c r="L63" i="190"/>
  <c r="K64" i="190"/>
  <c r="K74" i="190" s="1"/>
  <c r="K73" i="190"/>
  <c r="L63" i="192"/>
  <c r="K64" i="192"/>
  <c r="K74" i="192" s="1"/>
  <c r="K73" i="192"/>
  <c r="I73" i="188"/>
  <c r="J63" i="188"/>
  <c r="I64" i="188"/>
  <c r="I74" i="188" s="1"/>
  <c r="J73" i="182"/>
  <c r="J64" i="182"/>
  <c r="J74" i="182" s="1"/>
  <c r="K63" i="182"/>
  <c r="K73" i="201"/>
  <c r="K64" i="201"/>
  <c r="K74" i="201" s="1"/>
  <c r="L63" i="201"/>
  <c r="K63" i="202"/>
  <c r="J64" i="202"/>
  <c r="J74" i="202" s="1"/>
  <c r="J73" i="202"/>
  <c r="J73" i="204"/>
  <c r="J64" i="204"/>
  <c r="J74" i="204" s="1"/>
  <c r="K63" i="204"/>
  <c r="K64" i="213"/>
  <c r="K74" i="213" s="1"/>
  <c r="L63" i="213"/>
  <c r="K73" i="213"/>
  <c r="K73" i="181"/>
  <c r="L63" i="181"/>
  <c r="K64" i="181"/>
  <c r="K74" i="181" s="1"/>
  <c r="J63" i="183"/>
  <c r="I64" i="183"/>
  <c r="I74" i="183" s="1"/>
  <c r="I73" i="183"/>
  <c r="M73" i="215"/>
  <c r="M64" i="215"/>
  <c r="M74" i="215" s="1"/>
  <c r="M63" i="214"/>
  <c r="L73" i="214"/>
  <c r="L64" i="214"/>
  <c r="L74" i="214" s="1"/>
  <c r="K73" i="195" l="1"/>
  <c r="L63" i="195"/>
  <c r="K64" i="195"/>
  <c r="K74" i="195" s="1"/>
  <c r="M63" i="187"/>
  <c r="L73" i="187"/>
  <c r="L64" i="187"/>
  <c r="L74" i="187" s="1"/>
  <c r="L63" i="191"/>
  <c r="K64" i="191"/>
  <c r="K74" i="191" s="1"/>
  <c r="K73" i="191"/>
  <c r="L73" i="190"/>
  <c r="M63" i="190"/>
  <c r="L64" i="190"/>
  <c r="L74" i="190" s="1"/>
  <c r="J73" i="196"/>
  <c r="K63" i="196"/>
  <c r="J64" i="196"/>
  <c r="J74" i="196" s="1"/>
  <c r="K73" i="206"/>
  <c r="K64" i="206"/>
  <c r="K74" i="206" s="1"/>
  <c r="L63" i="206"/>
  <c r="J73" i="197"/>
  <c r="K63" i="197"/>
  <c r="J64" i="197"/>
  <c r="J74" i="197" s="1"/>
  <c r="J64" i="209"/>
  <c r="J74" i="209" s="1"/>
  <c r="K63" i="209"/>
  <c r="J73" i="209"/>
  <c r="J73" i="194"/>
  <c r="K63" i="194"/>
  <c r="J64" i="194"/>
  <c r="J74" i="194" s="1"/>
  <c r="L73" i="207"/>
  <c r="M63" i="207"/>
  <c r="L64" i="207"/>
  <c r="L74" i="207" s="1"/>
  <c r="L64" i="213"/>
  <c r="L74" i="213" s="1"/>
  <c r="L73" i="213"/>
  <c r="M63" i="213"/>
  <c r="L63" i="189"/>
  <c r="K64" i="189"/>
  <c r="K74" i="189" s="1"/>
  <c r="K73" i="189"/>
  <c r="K73" i="203"/>
  <c r="K64" i="203"/>
  <c r="K74" i="203" s="1"/>
  <c r="L63" i="203"/>
  <c r="L73" i="181"/>
  <c r="M63" i="181"/>
  <c r="L64" i="181"/>
  <c r="L74" i="181" s="1"/>
  <c r="K64" i="204"/>
  <c r="K74" i="204" s="1"/>
  <c r="L63" i="204"/>
  <c r="K73" i="204"/>
  <c r="K73" i="202"/>
  <c r="K64" i="202"/>
  <c r="K74" i="202" s="1"/>
  <c r="L63" i="202"/>
  <c r="L63" i="182"/>
  <c r="K64" i="182"/>
  <c r="K74" i="182" s="1"/>
  <c r="K73" i="182"/>
  <c r="K63" i="188"/>
  <c r="J64" i="188"/>
  <c r="J74" i="188" s="1"/>
  <c r="J73" i="188"/>
  <c r="L64" i="192"/>
  <c r="L74" i="192" s="1"/>
  <c r="L73" i="192"/>
  <c r="M63" i="192"/>
  <c r="K73" i="208"/>
  <c r="L63" i="208"/>
  <c r="K64" i="208"/>
  <c r="K74" i="208" s="1"/>
  <c r="K73" i="193"/>
  <c r="L63" i="193"/>
  <c r="K64" i="193"/>
  <c r="K74" i="193" s="1"/>
  <c r="K73" i="212"/>
  <c r="L63" i="212"/>
  <c r="K64" i="212"/>
  <c r="K74" i="212" s="1"/>
  <c r="L64" i="211"/>
  <c r="L74" i="211" s="1"/>
  <c r="M63" i="211"/>
  <c r="L73" i="211"/>
  <c r="L73" i="184"/>
  <c r="M63" i="184"/>
  <c r="L64" i="184"/>
  <c r="L74" i="184" s="1"/>
  <c r="L73" i="205"/>
  <c r="L64" i="205"/>
  <c r="L74" i="205" s="1"/>
  <c r="M63" i="205"/>
  <c r="J73" i="198"/>
  <c r="K63" i="198"/>
  <c r="J64" i="198"/>
  <c r="J74" i="198" s="1"/>
  <c r="M62" i="180"/>
  <c r="L63" i="180"/>
  <c r="L73" i="180" s="1"/>
  <c r="L72" i="180"/>
  <c r="K73" i="199"/>
  <c r="L63" i="199"/>
  <c r="K64" i="199"/>
  <c r="K74" i="199" s="1"/>
  <c r="J73" i="183"/>
  <c r="K63" i="183"/>
  <c r="J64" i="183"/>
  <c r="J74" i="183" s="1"/>
  <c r="L73" i="201"/>
  <c r="M63" i="201"/>
  <c r="L64" i="201"/>
  <c r="L74" i="201" s="1"/>
  <c r="K73" i="186"/>
  <c r="K64" i="186"/>
  <c r="K74" i="186" s="1"/>
  <c r="L63" i="186"/>
  <c r="M63" i="185"/>
  <c r="L64" i="185"/>
  <c r="L74" i="185" s="1"/>
  <c r="L73" i="185"/>
  <c r="M63" i="200"/>
  <c r="L64" i="200"/>
  <c r="L74" i="200" s="1"/>
  <c r="L73" i="200"/>
  <c r="M73" i="214"/>
  <c r="M64" i="214"/>
  <c r="M74" i="214" s="1"/>
  <c r="M63" i="195" l="1"/>
  <c r="L64" i="195"/>
  <c r="L74" i="195" s="1"/>
  <c r="L73" i="195"/>
  <c r="L73" i="186"/>
  <c r="M63" i="186"/>
  <c r="L64" i="186"/>
  <c r="L74" i="186" s="1"/>
  <c r="M64" i="201"/>
  <c r="M74" i="201" s="1"/>
  <c r="M73" i="201"/>
  <c r="L63" i="198"/>
  <c r="K64" i="198"/>
  <c r="K74" i="198" s="1"/>
  <c r="K73" i="198"/>
  <c r="M63" i="212"/>
  <c r="L64" i="212"/>
  <c r="L74" i="212" s="1"/>
  <c r="L73" i="212"/>
  <c r="M63" i="203"/>
  <c r="L64" i="203"/>
  <c r="L74" i="203" s="1"/>
  <c r="L73" i="203"/>
  <c r="L73" i="191"/>
  <c r="M63" i="191"/>
  <c r="L64" i="191"/>
  <c r="L74" i="191" s="1"/>
  <c r="M73" i="211"/>
  <c r="M64" i="211"/>
  <c r="M74" i="211" s="1"/>
  <c r="L63" i="188"/>
  <c r="K64" i="188"/>
  <c r="K74" i="188" s="1"/>
  <c r="K73" i="188"/>
  <c r="M63" i="202"/>
  <c r="L64" i="202"/>
  <c r="L74" i="202" s="1"/>
  <c r="L73" i="202"/>
  <c r="M63" i="189"/>
  <c r="L73" i="189"/>
  <c r="L64" i="189"/>
  <c r="L74" i="189" s="1"/>
  <c r="K64" i="194"/>
  <c r="K74" i="194" s="1"/>
  <c r="K73" i="194"/>
  <c r="L63" i="194"/>
  <c r="M63" i="206"/>
  <c r="L73" i="206"/>
  <c r="L64" i="206"/>
  <c r="L74" i="206" s="1"/>
  <c r="L63" i="196"/>
  <c r="K73" i="196"/>
  <c r="K64" i="196"/>
  <c r="K74" i="196" s="1"/>
  <c r="M64" i="200"/>
  <c r="M74" i="200" s="1"/>
  <c r="M73" i="200"/>
  <c r="L64" i="182"/>
  <c r="L74" i="182" s="1"/>
  <c r="M63" i="182"/>
  <c r="L73" i="182"/>
  <c r="K73" i="209"/>
  <c r="K64" i="209"/>
  <c r="K74" i="209" s="1"/>
  <c r="L63" i="209"/>
  <c r="M64" i="190"/>
  <c r="M74" i="190" s="1"/>
  <c r="M73" i="190"/>
  <c r="L73" i="199"/>
  <c r="M63" i="199"/>
  <c r="L64" i="199"/>
  <c r="L74" i="199" s="1"/>
  <c r="M63" i="180"/>
  <c r="M73" i="180" s="1"/>
  <c r="M72" i="180"/>
  <c r="M64" i="205"/>
  <c r="M74" i="205" s="1"/>
  <c r="M73" i="205"/>
  <c r="M64" i="184"/>
  <c r="M74" i="184" s="1"/>
  <c r="M73" i="184"/>
  <c r="L73" i="208"/>
  <c r="M63" i="208"/>
  <c r="L64" i="208"/>
  <c r="L74" i="208" s="1"/>
  <c r="M73" i="181"/>
  <c r="M64" i="181"/>
  <c r="M74" i="181" s="1"/>
  <c r="M64" i="213"/>
  <c r="M74" i="213" s="1"/>
  <c r="M73" i="213"/>
  <c r="M73" i="207"/>
  <c r="M64" i="207"/>
  <c r="M74" i="207" s="1"/>
  <c r="M73" i="192"/>
  <c r="M64" i="192"/>
  <c r="M74" i="192" s="1"/>
  <c r="M73" i="185"/>
  <c r="M64" i="185"/>
  <c r="M74" i="185" s="1"/>
  <c r="K64" i="183"/>
  <c r="K74" i="183" s="1"/>
  <c r="K73" i="183"/>
  <c r="L63" i="183"/>
  <c r="L64" i="193"/>
  <c r="L74" i="193" s="1"/>
  <c r="M63" i="193"/>
  <c r="L73" i="193"/>
  <c r="M63" i="204"/>
  <c r="L64" i="204"/>
  <c r="L74" i="204" s="1"/>
  <c r="L73" i="204"/>
  <c r="K73" i="197"/>
  <c r="L63" i="197"/>
  <c r="K64" i="197"/>
  <c r="K74" i="197" s="1"/>
  <c r="M64" i="187"/>
  <c r="M74" i="187" s="1"/>
  <c r="M73" i="187"/>
  <c r="M73" i="195" l="1"/>
  <c r="M64" i="195"/>
  <c r="M74" i="195" s="1"/>
  <c r="L64" i="183"/>
  <c r="L74" i="183" s="1"/>
  <c r="M63" i="183"/>
  <c r="L73" i="183"/>
  <c r="M73" i="191"/>
  <c r="M64" i="191"/>
  <c r="M74" i="191" s="1"/>
  <c r="M64" i="203"/>
  <c r="M74" i="203" s="1"/>
  <c r="M73" i="203"/>
  <c r="L73" i="196"/>
  <c r="M63" i="196"/>
  <c r="L64" i="196"/>
  <c r="L74" i="196" s="1"/>
  <c r="M63" i="194"/>
  <c r="L64" i="194"/>
  <c r="L74" i="194" s="1"/>
  <c r="L73" i="194"/>
  <c r="M64" i="202"/>
  <c r="M74" i="202" s="1"/>
  <c r="M73" i="202"/>
  <c r="L73" i="197"/>
  <c r="M63" i="197"/>
  <c r="L64" i="197"/>
  <c r="L74" i="197" s="1"/>
  <c r="M73" i="193"/>
  <c r="M64" i="193"/>
  <c r="M74" i="193" s="1"/>
  <c r="M73" i="208"/>
  <c r="M64" i="208"/>
  <c r="M74" i="208" s="1"/>
  <c r="M73" i="189"/>
  <c r="M64" i="189"/>
  <c r="M74" i="189" s="1"/>
  <c r="L73" i="198"/>
  <c r="M63" i="198"/>
  <c r="L64" i="198"/>
  <c r="L74" i="198" s="1"/>
  <c r="M73" i="186"/>
  <c r="M64" i="186"/>
  <c r="M74" i="186" s="1"/>
  <c r="M73" i="204"/>
  <c r="M64" i="204"/>
  <c r="M74" i="204" s="1"/>
  <c r="M64" i="206"/>
  <c r="M74" i="206" s="1"/>
  <c r="M73" i="206"/>
  <c r="L73" i="188"/>
  <c r="M63" i="188"/>
  <c r="L64" i="188"/>
  <c r="L74" i="188" s="1"/>
  <c r="M73" i="199"/>
  <c r="M64" i="199"/>
  <c r="M74" i="199" s="1"/>
  <c r="L73" i="209"/>
  <c r="L64" i="209"/>
  <c r="L74" i="209" s="1"/>
  <c r="M63" i="209"/>
  <c r="M73" i="182"/>
  <c r="M64" i="182"/>
  <c r="M74" i="182" s="1"/>
  <c r="M73" i="212"/>
  <c r="M64" i="212"/>
  <c r="M74" i="212" s="1"/>
  <c r="M73" i="188" l="1"/>
  <c r="M64" i="188"/>
  <c r="M74" i="188" s="1"/>
  <c r="M64" i="194"/>
  <c r="M74" i="194" s="1"/>
  <c r="M73" i="194"/>
  <c r="M73" i="198"/>
  <c r="M64" i="198"/>
  <c r="M74" i="198" s="1"/>
  <c r="M64" i="183"/>
  <c r="M74" i="183" s="1"/>
  <c r="M73" i="183"/>
  <c r="M73" i="209"/>
  <c r="M64" i="209"/>
  <c r="M74" i="209" s="1"/>
  <c r="M64" i="197"/>
  <c r="M74" i="197" s="1"/>
  <c r="M73" i="197"/>
  <c r="M73" i="196"/>
  <c r="M64" i="196"/>
  <c r="M74" i="19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</authors>
  <commentList>
    <comment ref="A1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Robert de 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5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4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4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5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6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59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59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6/30/15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A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A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A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A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A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A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A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A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A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B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B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B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B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B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B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B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B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B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C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C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0C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D54" authorId="2" shapeId="0" xr:uid="{00000000-0006-0000-0C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C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C00-000007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C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C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C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C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D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D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0D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D54" authorId="2" shapeId="0" xr:uid="{00000000-0006-0000-0D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D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D00-000007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D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D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D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D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0E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0E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0E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0E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E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E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E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E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E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0F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0F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0F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0F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F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F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F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F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F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F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0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0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0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0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0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0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0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0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0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10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10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0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1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1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1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1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1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1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1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1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1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1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1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1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1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1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2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2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2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2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2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2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2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2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2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2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2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2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3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3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3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3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3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3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3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3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3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3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3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3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3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3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</authors>
  <commentList>
    <comment ref="A1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4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4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4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4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4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4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4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4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4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4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4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4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4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5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5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5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5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5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5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5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5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5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5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5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5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5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5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6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6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6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6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6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6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6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6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6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6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6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6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6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6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6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7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7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7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7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7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7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7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7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7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7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7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7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7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7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7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8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8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8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8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8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8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8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8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8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800-00000A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8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8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8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8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8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8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9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9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9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9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9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9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9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9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9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9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1" shapeId="0" xr:uid="{00000000-0006-0000-1900-00000B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9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9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9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9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9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900-00001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A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A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A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A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A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A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M53" authorId="2" shapeId="0" xr:uid="{00000000-0006-0000-1A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A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A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A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1" shapeId="0" xr:uid="{00000000-0006-0000-1A00-00000B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A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A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A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A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A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A00-00001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B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B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B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B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B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B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L53" authorId="2" shapeId="0" xr:uid="{00000000-0006-0000-1B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Library
</t>
        </r>
      </text>
    </comment>
    <comment ref="M53" authorId="2" shapeId="0" xr:uid="{00000000-0006-0000-1B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B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B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B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1" shapeId="0" xr:uid="{00000000-0006-0000-1B00-00000C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B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B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B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B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2" shapeId="0" xr:uid="{00000000-0006-0000-1B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Actual instead of May Accrual
</t>
        </r>
      </text>
    </comment>
    <comment ref="A60" authorId="0" shapeId="0" xr:uid="{00000000-0006-0000-1B00-000012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B00-00001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C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C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C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P45" authorId="2" shapeId="0" xr:uid="{00000000-0006-0000-1C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1C00-000005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C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C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L53" authorId="2" shapeId="0" xr:uid="{00000000-0006-0000-1C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Library
</t>
        </r>
      </text>
    </comment>
    <comment ref="M53" authorId="2" shapeId="0" xr:uid="{00000000-0006-0000-1C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$5,671 Network Wiring and A/C credit of $64,849 from Campus
</t>
        </r>
      </text>
    </comment>
    <comment ref="D54" authorId="2" shapeId="0" xr:uid="{00000000-0006-0000-1C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C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C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1C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1C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C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C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C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2" shapeId="0" xr:uid="{00000000-0006-0000-1C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Actual instead of May Accrual
</t>
        </r>
      </text>
    </comment>
    <comment ref="A60" authorId="0" shapeId="0" xr:uid="{00000000-0006-0000-1C00-00001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C00-00001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D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D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D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1D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D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D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L53" authorId="2" shapeId="0" xr:uid="{00000000-0006-0000-1D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Library
</t>
        </r>
      </text>
    </comment>
    <comment ref="M53" authorId="2" shapeId="0" xr:uid="{00000000-0006-0000-1D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$5,671 Network Wiring and A/C credit of $64,849 from Campus
</t>
        </r>
      </text>
    </comment>
    <comment ref="D54" authorId="2" shapeId="0" xr:uid="{00000000-0006-0000-1D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D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D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1D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1D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D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D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D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2" shapeId="0" xr:uid="{00000000-0006-0000-1D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Actual instead of May Accrual
</t>
        </r>
      </text>
    </comment>
    <comment ref="A60" authorId="0" shapeId="0" xr:uid="{00000000-0006-0000-1D00-000012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D00-00001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</authors>
  <commentList>
    <comment ref="A1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E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E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E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1E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E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E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L53" authorId="2" shapeId="0" xr:uid="{00000000-0006-0000-1E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Library
</t>
        </r>
      </text>
    </comment>
    <comment ref="M53" authorId="2" shapeId="0" xr:uid="{00000000-0006-0000-1E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$5,671 Network Wiring and A/C credit of $64,849 from Campus
</t>
        </r>
      </text>
    </comment>
    <comment ref="D54" authorId="2" shapeId="0" xr:uid="{00000000-0006-0000-1E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E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E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1E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1E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E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2" shapeId="0" xr:uid="{00000000-0006-0000-1E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2" shapeId="0" xr:uid="{00000000-0006-0000-1E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2" shapeId="0" xr:uid="{00000000-0006-0000-1E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2" shapeId="0" xr:uid="{00000000-0006-0000-1E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2" shapeId="0" xr:uid="{00000000-0006-0000-1E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2" shapeId="0" xr:uid="{00000000-0006-0000-1E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2" shapeId="0" xr:uid="{00000000-0006-0000-1E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2" shapeId="0" xr:uid="{00000000-0006-0000-1E00-00001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2" shapeId="0" xr:uid="{00000000-0006-0000-1E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2" shapeId="0" xr:uid="{00000000-0006-0000-1E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2" shapeId="0" xr:uid="{00000000-0006-0000-1E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E00-00001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E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2" shapeId="0" xr:uid="{00000000-0006-0000-1E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2" shapeId="0" xr:uid="{00000000-0006-0000-1E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2" shapeId="0" xr:uid="{00000000-0006-0000-1E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2" shapeId="0" xr:uid="{00000000-0006-0000-1E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2" shapeId="0" xr:uid="{00000000-0006-0000-1E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2" shapeId="0" xr:uid="{00000000-0006-0000-1E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2" shapeId="0" xr:uid="{00000000-0006-0000-1E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2" shapeId="0" xr:uid="{00000000-0006-0000-1E00-00002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2" shapeId="0" xr:uid="{00000000-0006-0000-1E00-00002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2" shapeId="0" xr:uid="{00000000-0006-0000-1E00-00002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2" shapeId="0" xr:uid="{00000000-0006-0000-1E00-00002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E00-00002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E00-00002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F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F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1F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F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F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L53" authorId="2" shapeId="0" xr:uid="{00000000-0006-0000-1F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Library
</t>
        </r>
      </text>
    </comment>
    <comment ref="M53" authorId="2" shapeId="0" xr:uid="{00000000-0006-0000-1F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$5,671 Network Wiring and A/C credit of $64,849 from Campus
</t>
        </r>
      </text>
    </comment>
    <comment ref="D54" authorId="2" shapeId="0" xr:uid="{00000000-0006-0000-1F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F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F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1F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1F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F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2" shapeId="0" xr:uid="{00000000-0006-0000-1F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2" shapeId="0" xr:uid="{00000000-0006-0000-1F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2" shapeId="0" xr:uid="{00000000-0006-0000-1F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2" shapeId="0" xr:uid="{00000000-0006-0000-1F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2" shapeId="0" xr:uid="{00000000-0006-0000-1F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2" shapeId="0" xr:uid="{00000000-0006-0000-1F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2" shapeId="0" xr:uid="{00000000-0006-0000-1F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2" shapeId="0" xr:uid="{00000000-0006-0000-1F00-00001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2" shapeId="0" xr:uid="{00000000-0006-0000-1F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2" shapeId="0" xr:uid="{00000000-0006-0000-1F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2" shapeId="0" xr:uid="{00000000-0006-0000-1F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F00-00001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F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2" shapeId="0" xr:uid="{00000000-0006-0000-1F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2" shapeId="0" xr:uid="{00000000-0006-0000-1F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2" shapeId="0" xr:uid="{00000000-0006-0000-1F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2" shapeId="0" xr:uid="{00000000-0006-0000-1F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2" shapeId="0" xr:uid="{00000000-0006-0000-1F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2" shapeId="0" xr:uid="{00000000-0006-0000-1F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2" shapeId="0" xr:uid="{00000000-0006-0000-1F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2" shapeId="0" xr:uid="{00000000-0006-0000-1F00-00002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2" shapeId="0" xr:uid="{00000000-0006-0000-1F00-00002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2" shapeId="0" xr:uid="{00000000-0006-0000-1F00-00002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2" shapeId="0" xr:uid="{00000000-0006-0000-1F00-00002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F00-00002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F00-00002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0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0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0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0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0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0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0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0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0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0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0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0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0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1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1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1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1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1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1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1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1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1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1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1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1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1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2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2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2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2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2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2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2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2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2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2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2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2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2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3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3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3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3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3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3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3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3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3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3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3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3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3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4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4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4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4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4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4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4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4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4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4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4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4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4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5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5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5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5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5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5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5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5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5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5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5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5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5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6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6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6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6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6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6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6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6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6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6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6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6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6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6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7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7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7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7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7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7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7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7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7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7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7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7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7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7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</authors>
  <commentList>
    <comment ref="A1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8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8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8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8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8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8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8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8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8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8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8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8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8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8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8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9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9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9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9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9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9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9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9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9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9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9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9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9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9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9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A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A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A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A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A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A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A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A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A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A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A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A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A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A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A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B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B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B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B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B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B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B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B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B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B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B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B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B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B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B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C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C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C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C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C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C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C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C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C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C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C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C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C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C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C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D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D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D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D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D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D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D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D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D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D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D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D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D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D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D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  <author>tc={0EAF4AC4-D5E2-4B47-9C8C-05E8E0FA807F}</author>
  </authors>
  <commentList>
    <comment ref="A11" authorId="0" shapeId="0" xr:uid="{EEBD4CCF-34D8-4643-AF6D-3C117F156AB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CE862474-4C68-4B4E-AF2F-0B1C04EBC6BC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7236584-CF1B-4857-83AE-9F3D3C8B5119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AA6B8DCC-3E00-4E73-AB7A-5B0E195905AA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A55" authorId="0" shapeId="0" xr:uid="{DA69C548-6B60-4E20-B2C4-C95154C297E9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A59" authorId="0" shapeId="0" xr:uid="{4E5CD317-9271-429A-8432-56362F0A127C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9" authorId="3" shapeId="0" xr:uid="{363A83C7-0ED5-40B7-903A-628B66E390ED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9" authorId="3" shapeId="0" xr:uid="{3382AFA6-8817-48F6-A442-2CB1809EE41C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9" authorId="3" shapeId="0" xr:uid="{A6ADCD97-7514-41F8-9497-D9D0AE2EC24D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9" authorId="3" shapeId="0" xr:uid="{F9544E1C-6469-4E84-8155-43678A64E65F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9" authorId="3" shapeId="0" xr:uid="{712EADA5-493D-458B-9DD3-04855A9851D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9" authorId="3" shapeId="0" xr:uid="{7BEFD1A7-5253-4A93-B29A-F61499844C58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9" authorId="3" shapeId="0" xr:uid="{380F5779-4004-4539-ABBD-5B8CD4F1B203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9" authorId="3" shapeId="0" xr:uid="{DDB01923-C2D7-439E-A99A-4CE338F8CE2E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9" authorId="3" shapeId="0" xr:uid="{93B8E129-AD60-4565-B40B-B3F852E49C5C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9" authorId="3" shapeId="0" xr:uid="{C1EC7129-591A-4590-85C2-F98D0E1A5D03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9" authorId="3" shapeId="0" xr:uid="{FB68AF61-BCA6-4E98-AE40-72AA64DF0F47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9" authorId="3" shapeId="0" xr:uid="{3AF78D0E-0345-4571-9B52-D1200F763944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828AA6B4-EA7C-4570-A544-991B45EA9193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60" authorId="3" shapeId="0" xr:uid="{D303D514-40F7-4AB6-ADBF-1A6D7FABA2CD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60" authorId="3" shapeId="0" xr:uid="{D1FAB326-8A2E-40C9-BBCB-D178F95DC56E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60" authorId="3" shapeId="0" xr:uid="{0AF122DA-3364-4762-B91B-0A34DAC39D8F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60" authorId="3" shapeId="0" xr:uid="{ABC8813A-05F5-42E7-93D2-1F6BAB4B0A49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60" authorId="3" shapeId="0" xr:uid="{85379FD9-F495-4B74-8D78-4C3620056CC2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60" authorId="3" shapeId="0" xr:uid="{8BF08D64-98E9-4A0A-A13E-11D550CE1BAF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60" authorId="3" shapeId="0" xr:uid="{6D2DE4F6-F06F-459F-BB5D-9FD24BF210AD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60" authorId="3" shapeId="0" xr:uid="{457B4067-F468-48B9-B849-5D7C4C7F7475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60" authorId="3" shapeId="0" xr:uid="{7153A2F9-D147-4228-B9DC-7AFCEB5974B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60" authorId="3" shapeId="0" xr:uid="{A8DA7D6A-EEDA-4628-A317-4337C80A476E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60" authorId="3" shapeId="0" xr:uid="{57E148B5-4D71-4022-AF07-0008D1795B99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60" authorId="3" shapeId="0" xr:uid="{C28F7C45-BF80-4F32-95A4-0A1151A34CA3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O61" authorId="4" shapeId="0" xr:uid="{0EAF4AC4-D5E2-4B47-9C8C-05E8E0FA807F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income check</t>
      </text>
    </comment>
    <comment ref="A63" authorId="0" shapeId="0" xr:uid="{05A0998E-2170-4745-AD49-62B78D5BFF79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3" authorId="0" shapeId="0" xr:uid="{B0327D78-74A6-4A52-BBB2-B0C8F4D03FCD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  <author>tc={8FABE8FE-D145-4AD6-8E0D-A1B1BE1C519B}</author>
  </authors>
  <commentList>
    <comment ref="A11" authorId="0" shapeId="0" xr:uid="{F0506EDC-5CCB-4608-A071-E68AB8453E3B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E1EEA663-A9F5-49E5-979A-781CF52FAE41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7CF4F150-4302-4079-AD8D-CB6F33F9EDBE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3FC421B6-E33C-491E-B32D-993DEB23FAAE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A55" authorId="0" shapeId="0" xr:uid="{A2D65794-F271-45E1-88B1-00BDE01179D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A59" authorId="0" shapeId="0" xr:uid="{1024A001-4D3E-455D-B243-5F540120055B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9" authorId="3" shapeId="0" xr:uid="{534FAF6A-6CC8-4A11-85C0-4232BE711762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9" authorId="3" shapeId="0" xr:uid="{3A208D66-246A-4BE7-9A21-91937CD47206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9" authorId="3" shapeId="0" xr:uid="{417E7CCA-01EB-4584-8262-47294EA88FC8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9" authorId="3" shapeId="0" xr:uid="{DAC512C9-D33A-462F-BCE3-9C90962D85AD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9" authorId="3" shapeId="0" xr:uid="{34B4C77C-2654-4778-AAB3-D277A0D14109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9" authorId="3" shapeId="0" xr:uid="{F242E38E-9355-4EED-89ED-C27A304F438A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9" authorId="3" shapeId="0" xr:uid="{F761B09F-6D4D-44E1-9FD5-5008A63C0116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9" authorId="3" shapeId="0" xr:uid="{84DFF1DE-6035-4595-A453-AA3EF8E1DABC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9" authorId="3" shapeId="0" xr:uid="{064BA8EE-064F-4BA4-B19B-19E8472A913C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9" authorId="3" shapeId="0" xr:uid="{DCF6A6CD-3FDF-4375-87E8-D51CFB5F61D9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9" authorId="3" shapeId="0" xr:uid="{DBFFC41E-D344-4D12-8726-4E47BA4997F8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9" authorId="3" shapeId="0" xr:uid="{632E27B6-A355-4B87-BF05-2CF51E90681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13D714F1-A811-4529-909B-44077AEF55B8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60" authorId="3" shapeId="0" xr:uid="{3E2E5F53-07AD-44B5-A3A5-BCF9AF64260C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60" authorId="3" shapeId="0" xr:uid="{29DA4F74-E95B-4181-85DA-531AB8BDB29E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60" authorId="3" shapeId="0" xr:uid="{F466661B-BDF4-4F93-AEF0-C1970759C1D2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60" authorId="3" shapeId="0" xr:uid="{D36C3E2B-CD40-4D05-B0A7-B461EF25BE5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60" authorId="3" shapeId="0" xr:uid="{BE9D8871-34A6-4646-9B77-4A3D7169356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60" authorId="3" shapeId="0" xr:uid="{4A535880-F72B-4B0C-B37B-1273CB26E45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60" authorId="3" shapeId="0" xr:uid="{F9EDAD82-D2E3-4D18-9C1D-23F85545E2F5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60" authorId="3" shapeId="0" xr:uid="{BD297240-529C-49BF-A037-13B0128C1AD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60" authorId="3" shapeId="0" xr:uid="{3675561B-6BC4-4747-9566-98F85445DCE8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60" authorId="3" shapeId="0" xr:uid="{6E129301-5B40-43B7-84AE-242DC5FA1BB9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60" authorId="3" shapeId="0" xr:uid="{FBA536B6-664E-4CDB-B975-D68ED0C89B8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60" authorId="3" shapeId="0" xr:uid="{018DA635-A1DD-44E2-9779-C841DABDC687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O61" authorId="4" shapeId="0" xr:uid="{8FABE8FE-D145-4AD6-8E0D-A1B1BE1C519B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income check</t>
      </text>
    </comment>
    <comment ref="A63" authorId="0" shapeId="0" xr:uid="{FAC60FDC-77A5-45A9-B7E3-EE184B83A1CE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3" authorId="0" shapeId="0" xr:uid="{FBDDEB65-84C9-4453-AF1D-9A6CCE48251C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  <author>tc={0ED98D0D-2E0F-450E-8594-FFAA7D50AA4C}</author>
  </authors>
  <commentList>
    <comment ref="A11" authorId="0" shapeId="0" xr:uid="{E3468BDC-17D5-492C-AF73-D46090BCF6FF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ABE5DE7B-832F-4796-A075-7069E751C68E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FE631DA4-FAD0-4E16-94DB-332A900A9383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E05B5FF1-D993-4E4A-B298-E9DDCDE045CC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A55" authorId="0" shapeId="0" xr:uid="{4739ACAC-872C-41FF-B6F2-003636DCE3DC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A59" authorId="0" shapeId="0" xr:uid="{E7EB6935-BCAC-4094-80B9-74444250E7E2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9" authorId="3" shapeId="0" xr:uid="{32259F37-E47D-45E2-AA6B-A029207FA4C7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9" authorId="3" shapeId="0" xr:uid="{4A8B0D06-41B8-47F4-BECD-2060EA2D0B51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9" authorId="3" shapeId="0" xr:uid="{850E6570-67E2-4AA6-A827-B7E3E186ACD1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9" authorId="3" shapeId="0" xr:uid="{BA8E16C5-95C0-4DB7-9F88-19325CC5BDA9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9" authorId="3" shapeId="0" xr:uid="{450B7A6B-F9A9-4053-AEC1-2F57986FAEF6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9" authorId="3" shapeId="0" xr:uid="{1ACC5B9A-BEC4-4144-92E4-3D5B7008C4B7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9" authorId="3" shapeId="0" xr:uid="{F74C832B-92C0-4059-92D9-A3880EAA2DA9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9" authorId="3" shapeId="0" xr:uid="{8A4C9026-3A8C-4CF1-ABFA-C957878E41BC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9" authorId="3" shapeId="0" xr:uid="{13B51D5D-CA53-47DD-B371-FE2CC0D670A9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9" authorId="3" shapeId="0" xr:uid="{741B6BC0-2388-4BC1-929C-A4BF148EFDB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9" authorId="3" shapeId="0" xr:uid="{14140E28-1420-4C70-B04F-98B53D5C68C2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9" authorId="3" shapeId="0" xr:uid="{CAD0FC31-D54A-4D75-BE56-3B580BE4C2AE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472768A4-0EAF-4256-8975-8FEB6D451562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60" authorId="3" shapeId="0" xr:uid="{4F9CB2C2-7751-4883-AAD2-BDEB8C215BE7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60" authorId="3" shapeId="0" xr:uid="{8D17752A-4F2A-45B1-8A52-59DEC5EB9DF6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60" authorId="3" shapeId="0" xr:uid="{A8E1CDCB-C591-4F1D-A552-E84DCAB7D0CE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60" authorId="3" shapeId="0" xr:uid="{0424DFFA-5CB2-4BAB-AF61-8273CB16F39A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60" authorId="3" shapeId="0" xr:uid="{B4D8EBB0-C4AB-4AD6-8447-D115107210DC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60" authorId="3" shapeId="0" xr:uid="{814C30FC-690F-4262-831F-08D080F6433E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60" authorId="3" shapeId="0" xr:uid="{1E72F677-3FA3-4F00-B7F1-22E0924B090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60" authorId="3" shapeId="0" xr:uid="{0E491CC2-9AA4-412D-97AC-FC96CC4D6B5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60" authorId="3" shapeId="0" xr:uid="{23C2A31E-D75C-4699-BAE6-5ECB356DED5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60" authorId="3" shapeId="0" xr:uid="{3160387B-9728-4F99-B0F1-A4FBFF754587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60" authorId="3" shapeId="0" xr:uid="{FF3F99D2-3951-4A77-AEB1-5FE031DD1DC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60" authorId="3" shapeId="0" xr:uid="{EF660662-6025-4F41-AB00-D68C408C807D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O61" authorId="4" shapeId="0" xr:uid="{0ED98D0D-2E0F-450E-8594-FFAA7D50AA4C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income check</t>
      </text>
    </comment>
    <comment ref="A63" authorId="0" shapeId="0" xr:uid="{7B19BB9D-9717-4CD8-A8F0-59DA0C3443CC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3" authorId="0" shapeId="0" xr:uid="{C4A74B0D-56EB-437D-8564-082F07327B87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F985A071-44F9-4F6D-955F-A129F454B51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F5929F0A-5C65-48AC-9926-0A35FD3E80D2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89C6E353-0E37-43E8-97B7-8301C0F068E3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1614FB10-0B98-472D-962E-69A14E6B10BE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FA8EF84-8778-44DA-BFF8-0D33D595249A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5144B4C6-818E-4D82-A800-E6B2DDD2722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680B40BF-A2B4-48C4-B526-54FF5E74152C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5A0A873C-C054-4521-851F-3CD5F9233ABF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9" authorId="0" shapeId="0" xr:uid="{0C2A6CCE-52AA-4D25-8737-A644BE0B13FA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9" authorId="3" shapeId="0" xr:uid="{C636648C-7B80-444C-9384-F8165FDE42FF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9" authorId="3" shapeId="0" xr:uid="{2B6DCEB4-3E59-48B2-9964-B7950C0B3A18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9" authorId="3" shapeId="0" xr:uid="{28A23278-0135-4C27-9F22-66AFF25F6382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9" authorId="3" shapeId="0" xr:uid="{8D2A77DF-DD54-4355-BF0C-BAE9E4329D89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9" authorId="3" shapeId="0" xr:uid="{47A0D1A4-48B9-4869-A761-003A84EB3A1E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9" authorId="3" shapeId="0" xr:uid="{7FE588B9-5EFC-4F0A-9BCC-A19EC5670F25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9" authorId="3" shapeId="0" xr:uid="{9AE46A1D-A656-49FD-B8EB-D5582C55A567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9" authorId="3" shapeId="0" xr:uid="{7D08453F-FF98-4113-89E6-68FD0F6841BE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9" authorId="3" shapeId="0" xr:uid="{2606DFD0-B8BF-4626-9E16-6E8B160A1BF3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9" authorId="3" shapeId="0" xr:uid="{D92B5DA7-D916-49FD-98D8-5D531043015D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9" authorId="3" shapeId="0" xr:uid="{4027ED4A-C061-4C4A-8BC4-1A80FF70EA12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9" authorId="3" shapeId="0" xr:uid="{272F42E1-4211-4A6E-809C-0E068C32755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7958A063-5B92-4473-9864-EE17483AA472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60" authorId="3" shapeId="0" xr:uid="{6AC15DFA-AED4-4AE1-911F-3F6D9F42749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60" authorId="3" shapeId="0" xr:uid="{A73E728A-D6F5-45CB-AC63-89A496305764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60" authorId="3" shapeId="0" xr:uid="{A5AA3AA3-4A19-4170-A39E-755CFA333B29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60" authorId="3" shapeId="0" xr:uid="{AA94C740-DD89-46E6-A9E4-4A86833B0BE3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60" authorId="3" shapeId="0" xr:uid="{70B354DA-8513-4896-A33A-555DB07C08E3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60" authorId="3" shapeId="0" xr:uid="{B6E78043-79CD-4727-975B-0AAA0C1A9136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60" authorId="3" shapeId="0" xr:uid="{5B757A15-9D4A-4C46-9AE8-88F5C878C8C4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60" authorId="3" shapeId="0" xr:uid="{F0D6FD1F-AAAC-4E28-A65E-5BEBEB83AA9C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60" authorId="3" shapeId="0" xr:uid="{93F4C5CE-FDAB-43B0-AE48-15EAA5C5C1B6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60" authorId="3" shapeId="0" xr:uid="{7ADC9879-FE3A-4EFF-B19B-D29D0495F1A3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60" authorId="3" shapeId="0" xr:uid="{B0D3D9F1-D83B-4B7D-855D-888CBBFB9F01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60" authorId="3" shapeId="0" xr:uid="{7887A1EC-79DC-4B54-AADC-F76D8C63A3B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3" authorId="0" shapeId="0" xr:uid="{4C3E500B-768B-496B-8925-19E9E898071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3" authorId="0" shapeId="0" xr:uid="{86359A37-E574-4942-9DC9-DAF2280BA47A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</authors>
  <commentList>
    <comment ref="A1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2E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E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2E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2E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2E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E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2E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2E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9" authorId="0" shapeId="0" xr:uid="{00000000-0006-0000-2E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9" authorId="3" shapeId="0" xr:uid="{00000000-0006-0000-2E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9" authorId="3" shapeId="0" xr:uid="{00000000-0006-0000-2E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9" authorId="3" shapeId="0" xr:uid="{00000000-0006-0000-2E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9" authorId="3" shapeId="0" xr:uid="{00000000-0006-0000-2E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9" authorId="3" shapeId="0" xr:uid="{00000000-0006-0000-2E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9" authorId="3" shapeId="0" xr:uid="{00000000-0006-0000-2E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9" authorId="3" shapeId="0" xr:uid="{00000000-0006-0000-2E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9" authorId="3" shapeId="0" xr:uid="{00000000-0006-0000-2E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9" authorId="3" shapeId="0" xr:uid="{00000000-0006-0000-2E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9" authorId="3" shapeId="0" xr:uid="{00000000-0006-0000-2E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9" authorId="3" shapeId="0" xr:uid="{00000000-0006-0000-2E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9" authorId="3" shapeId="0" xr:uid="{00000000-0006-0000-2E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E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60" authorId="3" shapeId="0" xr:uid="{00000000-0006-0000-2E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60" authorId="3" shapeId="0" xr:uid="{00000000-0006-0000-2E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60" authorId="3" shapeId="0" xr:uid="{00000000-0006-0000-2E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60" authorId="3" shapeId="0" xr:uid="{00000000-0006-0000-2E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60" authorId="3" shapeId="0" xr:uid="{00000000-0006-0000-2E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60" authorId="3" shapeId="0" xr:uid="{00000000-0006-0000-2E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60" authorId="3" shapeId="0" xr:uid="{00000000-0006-0000-2E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60" authorId="3" shapeId="0" xr:uid="{00000000-0006-0000-2E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60" authorId="3" shapeId="0" xr:uid="{00000000-0006-0000-2E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60" authorId="3" shapeId="0" xr:uid="{00000000-0006-0000-2E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60" authorId="3" shapeId="0" xr:uid="{00000000-0006-0000-2E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60" authorId="3" shapeId="0" xr:uid="{00000000-0006-0000-2E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3" authorId="0" shapeId="0" xr:uid="{00000000-0006-0000-2E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3" authorId="0" shapeId="0" xr:uid="{00000000-0006-0000-2E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2F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F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2F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2F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2F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F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2F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2F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2F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2F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2F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2F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2F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2F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2F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2F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2F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2F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2F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2F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2F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F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2F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2F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2F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2F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2F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2F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2F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2F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2F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2F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2F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2F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F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F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0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0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0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0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0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0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0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0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0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0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30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30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30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30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30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30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30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30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30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30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30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0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0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30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30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30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30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30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30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30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30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30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30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30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0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0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1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1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1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1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1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1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1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1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1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1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31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31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31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31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31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31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31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31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31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31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31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1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1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31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31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31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31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31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31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31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31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31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31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31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1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1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2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2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2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2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2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2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2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2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2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2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32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32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32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32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32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32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32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32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32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32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32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2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2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32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32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32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32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32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32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32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32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32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32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32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2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2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3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3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3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3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3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3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3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3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3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3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33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33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33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33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33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33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33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33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33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33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33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3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3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33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33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33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33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33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33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33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33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33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33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33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3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3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4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4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4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4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4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4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4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4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4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4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34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34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34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34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34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34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34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34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34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34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34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4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4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34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34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34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34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34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34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34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34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34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34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34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4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4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5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5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5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5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5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5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5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5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5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5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35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35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35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35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35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35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35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35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35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35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35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5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5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35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35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35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35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35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35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35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35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35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35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35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5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5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6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6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6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6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6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6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6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6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6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6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36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36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36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36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36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36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36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36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36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36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36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6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6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36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36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36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36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36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36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36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36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36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36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36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6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6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7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7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7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7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7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7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7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7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7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7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37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37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37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37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37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37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37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37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37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37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37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7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7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37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37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37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37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37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37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37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37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37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37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37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7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7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6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6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8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8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8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8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8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8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8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8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8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8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38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38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38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38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38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38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38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38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38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38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38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8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8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38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38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38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38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38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38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38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38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38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38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38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8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8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9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9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9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9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9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9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9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9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9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9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39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39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39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39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39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39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39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39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39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39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39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9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9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39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39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39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39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39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39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39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39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39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39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39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9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9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A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A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A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A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A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A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A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A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A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A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3" shapeId="0" xr:uid="{00000000-0006-0000-3A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3" shapeId="0" xr:uid="{00000000-0006-0000-3A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3" shapeId="0" xr:uid="{00000000-0006-0000-3A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3" shapeId="0" xr:uid="{00000000-0006-0000-3A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3" shapeId="0" xr:uid="{00000000-0006-0000-3A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3" shapeId="0" xr:uid="{00000000-0006-0000-3A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3" shapeId="0" xr:uid="{00000000-0006-0000-3A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3" shapeId="0" xr:uid="{00000000-0006-0000-3A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3" shapeId="0" xr:uid="{00000000-0006-0000-3A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3" shapeId="0" xr:uid="{00000000-0006-0000-3A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3" shapeId="0" xr:uid="{00000000-0006-0000-3A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A00-00001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A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3" shapeId="0" xr:uid="{00000000-0006-0000-3A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3" shapeId="0" xr:uid="{00000000-0006-0000-3A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3" shapeId="0" xr:uid="{00000000-0006-0000-3A00-00001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3" shapeId="0" xr:uid="{00000000-0006-0000-3A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3" shapeId="0" xr:uid="{00000000-0006-0000-3A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3" shapeId="0" xr:uid="{00000000-0006-0000-3A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3" shapeId="0" xr:uid="{00000000-0006-0000-3A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3" shapeId="0" xr:uid="{00000000-0006-0000-3A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3" shapeId="0" xr:uid="{00000000-0006-0000-3A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3" shapeId="0" xr:uid="{00000000-0006-0000-3A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3" shapeId="0" xr:uid="{00000000-0006-0000-3A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A00-00002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A00-00002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Tom Collier</author>
    <author>Robert Dewit</author>
  </authors>
  <commentList>
    <comment ref="A11" authorId="0" shapeId="0" xr:uid="{00000000-0006-0000-3B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B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3B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2" shapeId="0" xr:uid="{00000000-0006-0000-3B00-000004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3" shapeId="0" xr:uid="{00000000-0006-0000-3B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B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3" shapeId="0" xr:uid="{00000000-0006-0000-3B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3" shapeId="0" xr:uid="{00000000-0006-0000-3B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A56" authorId="0" shapeId="0" xr:uid="{00000000-0006-0000-3B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3" shapeId="0" xr:uid="{00000000-0006-0000-3B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B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3" shapeId="0" xr:uid="{00000000-0006-0000-3B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B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B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  <author>Tom Collier</author>
  </authors>
  <commentList>
    <comment ref="A11" authorId="0" shapeId="0" xr:uid="{00000000-0006-0000-3C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C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3C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3C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3" shapeId="0" xr:uid="{00000000-0006-0000-3C00-000005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2" shapeId="0" xr:uid="{00000000-0006-0000-3C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C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3C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3C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3C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3C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3C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C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3C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C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C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6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  <author>Tom Collier</author>
  </authors>
  <commentList>
    <comment ref="A11" authorId="0" shapeId="0" xr:uid="{00000000-0006-0000-3D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D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3D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3D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3" shapeId="0" xr:uid="{00000000-0006-0000-3D00-000005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2" shapeId="0" xr:uid="{00000000-0006-0000-3D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D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3D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3D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3D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3D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3D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D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3D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D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D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6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  <author>Tom Collier</author>
  </authors>
  <commentList>
    <comment ref="A11" authorId="0" shapeId="0" xr:uid="{00000000-0006-0000-3E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E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3E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3E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3" shapeId="0" xr:uid="{00000000-0006-0000-3E00-000005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2" shapeId="0" xr:uid="{00000000-0006-0000-3E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E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3E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3E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3E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3E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3E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E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3E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E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E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6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3F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F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3F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3F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3F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3F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3F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3F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3F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F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3F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F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F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6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  <author>Tom Collier</author>
  </authors>
  <commentList>
    <comment ref="A11" authorId="0" shapeId="0" xr:uid="{00000000-0006-0000-40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40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40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40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3" shapeId="0" xr:uid="{00000000-0006-0000-4000-000005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2" shapeId="0" xr:uid="{00000000-0006-0000-40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40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40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40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40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40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40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40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40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40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40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6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41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41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41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41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41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41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41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41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41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41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41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41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41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41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41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7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7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8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8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9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9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9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9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9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9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9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sharedStrings.xml><?xml version="1.0" encoding="utf-8"?>
<sst xmlns="http://schemas.openxmlformats.org/spreadsheetml/2006/main" count="5565" uniqueCount="149">
  <si>
    <t>Cash Flow report is designed to reflect actual cash outlay while considering Sales accruals and deferred budgetted Capital Expenditures.</t>
  </si>
  <si>
    <t xml:space="preserve">Revenue: </t>
  </si>
  <si>
    <t>Bookstore consists of Division 3 &amp; 6 Sales and Credit &amp; Revenues</t>
  </si>
  <si>
    <t>Foodservices consists of Division 4 Sales and Credit &amp; Revenues minus Dept 492 sales plus prior month 492 sales (492 depicts accrued sales)</t>
  </si>
  <si>
    <t>Interest Income is Division 1 Credit &amp; Revenue</t>
  </si>
  <si>
    <t>Cost of Sales:</t>
  </si>
  <si>
    <t>Bookstore COS consists of Division 3 &amp; 6 Cost of Sales</t>
  </si>
  <si>
    <t>Foodservices consists of Division 4 COS minus Dept 492 COS plus prior month 492 COS</t>
  </si>
  <si>
    <t>Labor/Benefits:</t>
  </si>
  <si>
    <t>Bookstore consists of Division 3 &amp; 6 Payroll and Benefits line items</t>
  </si>
  <si>
    <t xml:space="preserve">Foodservices consists of Division 4 Payroll and Benefits line items </t>
  </si>
  <si>
    <t>Operating Expense:</t>
  </si>
  <si>
    <t>Bookstore consists of Division 3 &amp; 6 Expense, minus above Payroll and Benefits, minus depreciation, minus inventory adjustment</t>
  </si>
  <si>
    <t xml:space="preserve">Foodservices consists of Division 4 Expense, minus above Payroll and Benefits, minus depreciation. </t>
  </si>
  <si>
    <t>G&amp;A Expense</t>
  </si>
  <si>
    <t>Division 1 &amp; 2 Expense only (minus depreciation).  Credit &amp; Revenue is accounted for in above Revenue</t>
  </si>
  <si>
    <t>Capital Expenditures</t>
  </si>
  <si>
    <t>Consists of net change in Capital Accounts (100-1600 thru 100-1630, 100-1700 thru 100-1790)</t>
  </si>
  <si>
    <t>Note:  Since this has a major impact on budgeted cash the difference between monthly actual and budget is moved to the following month and total budget target is maintained.</t>
  </si>
  <si>
    <t>Bond Repayment</t>
  </si>
  <si>
    <t>Amounts are predetermined by the Bond schedule in the Arbitrage report</t>
  </si>
  <si>
    <t>All other fields are formula based</t>
  </si>
  <si>
    <t xml:space="preserve">Note:  ID Card Office not part of Cash Flow calculation subject to change upon Revenue reporting agreement with Campus. </t>
  </si>
  <si>
    <t>2015/2016 CASH FLOW - JUNE 2016</t>
  </si>
  <si>
    <t>Actual</t>
  </si>
  <si>
    <t>TOTAL YEAR</t>
  </si>
  <si>
    <t>FY2014/2015</t>
  </si>
  <si>
    <t>REVENUES:</t>
  </si>
  <si>
    <t xml:space="preserve"> SALES</t>
  </si>
  <si>
    <t xml:space="preserve"> CREDIT &amp; REVENUES</t>
  </si>
  <si>
    <t>TOTAL REVENUE</t>
  </si>
  <si>
    <t xml:space="preserve">  OTHER INCOME (NO INVESTMENT)</t>
  </si>
  <si>
    <t xml:space="preserve">OPERATING CASH IN: </t>
  </si>
  <si>
    <t>COST OF SALES:</t>
  </si>
  <si>
    <t xml:space="preserve"> COST OF GOODS</t>
  </si>
  <si>
    <t>COST OF SALES</t>
  </si>
  <si>
    <t>GROSS MARGIN:</t>
  </si>
  <si>
    <t xml:space="preserve"> GM CALC</t>
  </si>
  <si>
    <t xml:space="preserve"> </t>
  </si>
  <si>
    <t>COMBINED GROSS MARGIN</t>
  </si>
  <si>
    <t>LABOR COST AND BENEFITS:</t>
  </si>
  <si>
    <t xml:space="preserve"> PAYROL</t>
  </si>
  <si>
    <t xml:space="preserve"> BENEFITS</t>
  </si>
  <si>
    <t>LABOR COST &amp; BENEFITS</t>
  </si>
  <si>
    <t>OPERATING EXPENSES:  (NET DEP)</t>
  </si>
  <si>
    <t xml:space="preserve"> TOTAL SUMMARY EXPENSE</t>
  </si>
  <si>
    <t xml:space="preserve"> CALC- MINUS L&amp;B ABOVE</t>
  </si>
  <si>
    <t xml:space="preserve"> MINUS DEPRECIATION</t>
  </si>
  <si>
    <t xml:space="preserve"> MINUS INV RESERVE</t>
  </si>
  <si>
    <t>OPERATING EXPENSE (NET DEP)</t>
  </si>
  <si>
    <t>GENERAL &amp; ADMINISTRATIVE</t>
  </si>
  <si>
    <t xml:space="preserve">  POST RETIREMENT MEDICAL</t>
  </si>
  <si>
    <t>OPERATING CASH OUT:</t>
  </si>
  <si>
    <t>NET CONTRIBUTION W/O DEPR/INV</t>
  </si>
  <si>
    <t>OTHER CASH/NON-CASH  IN/OUT(+)</t>
  </si>
  <si>
    <t xml:space="preserve">  CAPITAL EXPENDITURES</t>
  </si>
  <si>
    <t xml:space="preserve">  OUTPOST SRB PAYMENT/ Athletic</t>
  </si>
  <si>
    <t xml:space="preserve">  VEBA/PERS</t>
  </si>
  <si>
    <t xml:space="preserve">  INTEREST INCOME/NO FMV</t>
  </si>
  <si>
    <t xml:space="preserve">  FAIR MARKET VALUE Gain-/Loss+ </t>
  </si>
  <si>
    <t xml:space="preserve">    SUBTOTAL OTHER IN/OUT(+)</t>
  </si>
  <si>
    <t xml:space="preserve">OPENING CASH BALANCE </t>
  </si>
  <si>
    <t xml:space="preserve"> TOTAL CASH OUT</t>
  </si>
  <si>
    <t xml:space="preserve"> NET MONTHLY CASH FLOW</t>
  </si>
  <si>
    <t xml:space="preserve"> CUMULATIVE CASH FLOW</t>
  </si>
  <si>
    <t xml:space="preserve"> CASH BALANCE </t>
  </si>
  <si>
    <t>2015/2016 BUDGET PROFILE</t>
  </si>
  <si>
    <t xml:space="preserve">  NET MONTHLY CASH FLOW</t>
  </si>
  <si>
    <t>BUDGET VARIANCE</t>
  </si>
  <si>
    <t>*****************************************************</t>
  </si>
  <si>
    <t>MONTHLY CAPITAL BUDGET</t>
  </si>
  <si>
    <t>YTD CAPITAL BUDGET</t>
  </si>
  <si>
    <t>YTD CAPITAL EXPENSE</t>
  </si>
  <si>
    <t>CAPITAL BUDGET VARIANCE</t>
  </si>
  <si>
    <t xml:space="preserve"> FMV/ Interest Impact MO/Cume</t>
  </si>
  <si>
    <t>2016/2017 CASH FLOW - BUDGET</t>
  </si>
  <si>
    <t>Budget</t>
  </si>
  <si>
    <t>FY2016/2017</t>
  </si>
  <si>
    <t xml:space="preserve"> Plus INV RESERVE not in Summary</t>
  </si>
  <si>
    <t>2016/2017 BUDGET PROFILE</t>
  </si>
  <si>
    <t>2016/2017 CASH FLOW - JULY</t>
  </si>
  <si>
    <t>2016/2017 CASH FLOW - AUGUST</t>
  </si>
  <si>
    <t>2016/2017 CASH FLOW - SEPTEMBER</t>
  </si>
  <si>
    <t>2016/2017 CASH FLOW - OCTOBER</t>
  </si>
  <si>
    <t>2016/2017 CASH FLOW - NOVEMBER</t>
  </si>
  <si>
    <t>2016/2017 CASH FLOW - DECEMBER</t>
  </si>
  <si>
    <t>2016/2017 CASH FLOW - JANUARY</t>
  </si>
  <si>
    <t>2016/2017 CASH FLOW - FEBRUARY</t>
  </si>
  <si>
    <t>2016/2017 CASH FLOW - MARCH</t>
  </si>
  <si>
    <t>2016/2017 CASH FLOW - APRIL</t>
  </si>
  <si>
    <t>2016/2017 CASH FLOW - MAY</t>
  </si>
  <si>
    <t>2016/2017 CASH FLOW - JUNE</t>
  </si>
  <si>
    <t>2017/2018 CASH FLOW - BUDGET</t>
  </si>
  <si>
    <t xml:space="preserve"> PAYROLL</t>
  </si>
  <si>
    <t>2017/2018 BUDGET PROFILE</t>
  </si>
  <si>
    <t>2017/2018 CASH FLOW - July</t>
  </si>
  <si>
    <t xml:space="preserve">  OUTPOST SRB PAYMENT</t>
  </si>
  <si>
    <t xml:space="preserve">  PERS </t>
  </si>
  <si>
    <t>2017/2018 CASH FLOW - August</t>
  </si>
  <si>
    <t>2017/2018 CASH FLOW - September</t>
  </si>
  <si>
    <t>FY2017/2018</t>
  </si>
  <si>
    <t>2017/2018 CASH FLOW - October</t>
  </si>
  <si>
    <t>2017/2018 CASH FLOW - November</t>
  </si>
  <si>
    <t>2017/2018 CASH FLOW - December</t>
  </si>
  <si>
    <t>2017/2018 CASH FLOW - January</t>
  </si>
  <si>
    <t>2017/2018 CASH FLOW - February</t>
  </si>
  <si>
    <t>2017/2018 CASH FLOW - March</t>
  </si>
  <si>
    <t xml:space="preserve">  PERS\POST RETIREMENT MEDICAL</t>
  </si>
  <si>
    <t>2017/2018 CASH FLOW - April</t>
  </si>
  <si>
    <t>2017/2018 CASH FLOW - May</t>
  </si>
  <si>
    <t>2017/2018 CASH FLOW - June</t>
  </si>
  <si>
    <t xml:space="preserve">  PERS /FAS 106/IC</t>
  </si>
  <si>
    <t xml:space="preserve">2018/2019 CASH FLOW - Budget </t>
  </si>
  <si>
    <t>FY2018/2019</t>
  </si>
  <si>
    <t>2018/2019 BUDGET PROFILE</t>
  </si>
  <si>
    <t xml:space="preserve">2018/2019 CASH FLOW - October </t>
  </si>
  <si>
    <t>2018/2019 CASH FLOW - November</t>
  </si>
  <si>
    <t>2018/2019 CASH FLOW - December</t>
  </si>
  <si>
    <t>2018/2019 CASH FLOW - January 2019</t>
  </si>
  <si>
    <t>2018/2019 CASH FLOW - February 2019</t>
  </si>
  <si>
    <t>2018/2019 CASH FLOW - March 2019</t>
  </si>
  <si>
    <t>2018/2019 CASH FLOW - April 2019</t>
  </si>
  <si>
    <t>2019/2020 CASH FLOW -  Budget</t>
  </si>
  <si>
    <t>FY2019/2020</t>
  </si>
  <si>
    <t xml:space="preserve"> MINUS DEPRECIATION - G&amp;A</t>
  </si>
  <si>
    <t>2019/2020 CASH FLOW -  July</t>
  </si>
  <si>
    <t>2019/2020 BUDGET PROFILE</t>
  </si>
  <si>
    <t>2019/2020 CASH FLOW -  August</t>
  </si>
  <si>
    <t>2019/2020 CASH FLOW -  September</t>
  </si>
  <si>
    <t>2019/2020 CASH FLOW -  October</t>
  </si>
  <si>
    <t>2019/2020 CASH FLOW -  November</t>
  </si>
  <si>
    <t>2019/2020 CASH FLOW -  December</t>
  </si>
  <si>
    <t>2019/2020 CASH FLOW -  January</t>
  </si>
  <si>
    <t>FY19/20</t>
  </si>
  <si>
    <t xml:space="preserve">  FAIR MARKET VALUE (GAIN)/LOSS</t>
  </si>
  <si>
    <t>2019/2020 CASH FLOW - Feburary</t>
  </si>
  <si>
    <t>2019/2020 CASH FLOW - March</t>
  </si>
  <si>
    <t>2019/2020 CASH FLOW - April</t>
  </si>
  <si>
    <t>2019/2020 CASH FLOW - June</t>
  </si>
  <si>
    <t>FY20/21</t>
  </si>
  <si>
    <t>2020/2021 CASH FLOW</t>
  </si>
  <si>
    <t>2020/2021 BUDGET PROFILE</t>
  </si>
  <si>
    <t xml:space="preserve">  UNEMPLOYMENT INS RESERVE</t>
  </si>
  <si>
    <t xml:space="preserve">  VEBA WITHDRAWAL</t>
  </si>
  <si>
    <t xml:space="preserve">  VEBA ACTUARIAL ADJUSTMENT</t>
  </si>
  <si>
    <t>2021/2022 CASH FLOW</t>
  </si>
  <si>
    <t>FY21/22</t>
  </si>
  <si>
    <t>2021/2022 BUDGET PROFILE</t>
  </si>
  <si>
    <t xml:space="preserve">  SBA LOAN 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</si>
</sst>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#,##0;\(#,###,##0\)"/>
    <numFmt numFmtId="167" formatCode="0.0%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9"/>
      <name val="Geneva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Border="0" applyAlignment="0"/>
    <xf numFmtId="9" fontId="2" fillId="0" borderId="0" applyFont="0" applyFill="0" applyBorder="0" applyAlignment="0" applyProtection="0"/>
    <xf numFmtId="166" fontId="1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</cellStyleXfs>
  <cellXfs count="165">
    <xf numFmtId="0" fontId="0" fillId="0" borderId="0" xfId="0"/>
    <xf numFmtId="0" fontId="3" fillId="0" borderId="0" xfId="0" applyFont="1"/>
    <xf numFmtId="41" fontId="0" fillId="0" borderId="0" xfId="0" applyNumberFormat="1"/>
    <xf numFmtId="0" fontId="0" fillId="0" borderId="0" xfId="0" applyAlignment="1">
      <alignment horizontal="center"/>
    </xf>
    <xf numFmtId="41" fontId="0" fillId="0" borderId="0" xfId="0" applyNumberFormat="1" applyBorder="1"/>
    <xf numFmtId="0" fontId="0" fillId="0" borderId="0" xfId="0" applyBorder="1"/>
    <xf numFmtId="0" fontId="0" fillId="0" borderId="0" xfId="0" applyFill="1"/>
    <xf numFmtId="41" fontId="0" fillId="0" borderId="0" xfId="0" applyNumberFormat="1" applyFill="1"/>
    <xf numFmtId="41" fontId="0" fillId="0" borderId="0" xfId="0" applyNumberFormat="1" applyFill="1" applyBorder="1"/>
    <xf numFmtId="0" fontId="0" fillId="0" borderId="0" xfId="0" applyAlignment="1">
      <alignment wrapText="1"/>
    </xf>
    <xf numFmtId="164" fontId="0" fillId="0" borderId="0" xfId="1" applyNumberFormat="1" applyFont="1" applyFill="1"/>
    <xf numFmtId="17" fontId="0" fillId="0" borderId="1" xfId="0" applyNumberFormat="1" applyBorder="1" applyAlignment="1">
      <alignment horizontal="center"/>
    </xf>
    <xf numFmtId="165" fontId="2" fillId="0" borderId="0" xfId="2" applyNumberFormat="1" applyFill="1"/>
    <xf numFmtId="0" fontId="3" fillId="0" borderId="0" xfId="0" applyFont="1" applyFill="1"/>
    <xf numFmtId="165" fontId="2" fillId="0" borderId="3" xfId="2" applyNumberFormat="1" applyFill="1" applyBorder="1"/>
    <xf numFmtId="41" fontId="0" fillId="0" borderId="1" xfId="0" applyNumberFormat="1" applyFill="1" applyBorder="1"/>
    <xf numFmtId="165" fontId="2" fillId="0" borderId="0" xfId="2" applyNumberFormat="1" applyFill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165" fontId="2" fillId="0" borderId="2" xfId="2" applyNumberFormat="1" applyFill="1" applyBorder="1"/>
    <xf numFmtId="0" fontId="0" fillId="2" borderId="0" xfId="0" applyFill="1"/>
    <xf numFmtId="43" fontId="0" fillId="0" borderId="0" xfId="1" applyFont="1" applyFill="1"/>
    <xf numFmtId="164" fontId="0" fillId="0" borderId="1" xfId="1" applyNumberFormat="1" applyFont="1" applyFill="1" applyBorder="1"/>
    <xf numFmtId="164" fontId="2" fillId="0" borderId="0" xfId="1" applyNumberFormat="1" applyFont="1" applyFill="1"/>
    <xf numFmtId="0" fontId="7" fillId="0" borderId="0" xfId="0" applyFont="1" applyFill="1" applyBorder="1"/>
    <xf numFmtId="165" fontId="0" fillId="0" borderId="0" xfId="0" applyNumberFormat="1"/>
    <xf numFmtId="165" fontId="2" fillId="3" borderId="0" xfId="2" applyNumberFormat="1" applyFill="1"/>
    <xf numFmtId="166" fontId="8" fillId="0" borderId="0" xfId="3" applyNumberFormat="1" applyFill="1"/>
    <xf numFmtId="0" fontId="0" fillId="0" borderId="2" xfId="0" applyFill="1" applyBorder="1" applyAlignment="1">
      <alignment horizontal="center" wrapText="1"/>
    </xf>
    <xf numFmtId="165" fontId="0" fillId="0" borderId="0" xfId="0" applyNumberFormat="1" applyFill="1"/>
    <xf numFmtId="165" fontId="2" fillId="6" borderId="3" xfId="2" applyNumberFormat="1" applyFill="1" applyBorder="1"/>
    <xf numFmtId="165" fontId="2" fillId="6" borderId="0" xfId="2" applyNumberFormat="1" applyFill="1" applyBorder="1"/>
    <xf numFmtId="165" fontId="2" fillId="6" borderId="0" xfId="2" applyNumberFormat="1" applyFill="1"/>
    <xf numFmtId="0" fontId="2" fillId="0" borderId="0" xfId="0" applyFont="1"/>
    <xf numFmtId="43" fontId="0" fillId="0" borderId="0" xfId="0" applyNumberFormat="1" applyFill="1"/>
    <xf numFmtId="164" fontId="0" fillId="0" borderId="0" xfId="0" applyNumberFormat="1"/>
    <xf numFmtId="165" fontId="2" fillId="0" borderId="0" xfId="0" applyNumberFormat="1" applyFont="1" applyFill="1"/>
    <xf numFmtId="0" fontId="2" fillId="0" borderId="0" xfId="0" applyFont="1" applyFill="1"/>
    <xf numFmtId="41" fontId="2" fillId="0" borderId="0" xfId="0" applyNumberFormat="1" applyFont="1" applyFill="1" applyBorder="1"/>
    <xf numFmtId="41" fontId="0" fillId="6" borderId="0" xfId="0" applyNumberFormat="1" applyFill="1"/>
    <xf numFmtId="164" fontId="0" fillId="0" borderId="0" xfId="0" applyNumberFormat="1" applyFill="1"/>
    <xf numFmtId="164" fontId="0" fillId="3" borderId="0" xfId="1" applyNumberFormat="1" applyFont="1" applyFill="1"/>
    <xf numFmtId="41" fontId="0" fillId="7" borderId="0" xfId="0" applyNumberFormat="1" applyFill="1"/>
    <xf numFmtId="41" fontId="0" fillId="7" borderId="1" xfId="0" applyNumberFormat="1" applyFill="1" applyBorder="1"/>
    <xf numFmtId="165" fontId="2" fillId="7" borderId="0" xfId="2" applyNumberFormat="1" applyFill="1"/>
    <xf numFmtId="0" fontId="2" fillId="6" borderId="2" xfId="0" applyFont="1" applyFill="1" applyBorder="1" applyAlignment="1">
      <alignment horizontal="center"/>
    </xf>
    <xf numFmtId="0" fontId="3" fillId="6" borderId="4" xfId="0" applyFont="1" applyFill="1" applyBorder="1"/>
    <xf numFmtId="164" fontId="0" fillId="6" borderId="0" xfId="1" applyNumberFormat="1" applyFont="1" applyFill="1"/>
    <xf numFmtId="0" fontId="2" fillId="0" borderId="2" xfId="0" applyFont="1" applyFill="1" applyBorder="1" applyAlignment="1">
      <alignment horizontal="center"/>
    </xf>
    <xf numFmtId="166" fontId="11" fillId="7" borderId="0" xfId="5" applyFill="1"/>
    <xf numFmtId="164" fontId="0" fillId="7" borderId="1" xfId="1" applyNumberFormat="1" applyFont="1" applyFill="1" applyBorder="1"/>
    <xf numFmtId="164" fontId="0" fillId="7" borderId="0" xfId="1" applyNumberFormat="1" applyFont="1" applyFill="1"/>
    <xf numFmtId="164" fontId="2" fillId="7" borderId="0" xfId="1" applyNumberFormat="1" applyFont="1" applyFill="1"/>
    <xf numFmtId="166" fontId="11" fillId="0" borderId="0" xfId="5" applyFill="1"/>
    <xf numFmtId="164" fontId="2" fillId="6" borderId="0" xfId="1" applyNumberFormat="1" applyFont="1" applyFill="1"/>
    <xf numFmtId="0" fontId="0" fillId="6" borderId="2" xfId="0" applyFill="1" applyBorder="1" applyAlignment="1">
      <alignment horizontal="center" wrapText="1"/>
    </xf>
    <xf numFmtId="164" fontId="0" fillId="0" borderId="0" xfId="1" applyNumberFormat="1" applyFont="1" applyFill="1" applyBorder="1"/>
    <xf numFmtId="17" fontId="2" fillId="0" borderId="1" xfId="0" applyNumberFormat="1" applyFont="1" applyBorder="1" applyAlignment="1">
      <alignment horizontal="center"/>
    </xf>
    <xf numFmtId="0" fontId="0" fillId="7" borderId="0" xfId="0" applyFill="1"/>
    <xf numFmtId="166" fontId="11" fillId="0" borderId="0" xfId="5"/>
    <xf numFmtId="166" fontId="11" fillId="0" borderId="1" xfId="5" applyFill="1" applyBorder="1"/>
    <xf numFmtId="164" fontId="0" fillId="2" borderId="0" xfId="0" applyNumberFormat="1" applyFill="1"/>
    <xf numFmtId="166" fontId="0" fillId="4" borderId="0" xfId="0" applyNumberFormat="1" applyFill="1"/>
    <xf numFmtId="166" fontId="12" fillId="0" borderId="0" xfId="5" applyFont="1" applyFill="1"/>
    <xf numFmtId="166" fontId="11" fillId="6" borderId="0" xfId="5" applyFill="1"/>
    <xf numFmtId="37" fontId="13" fillId="8" borderId="0" xfId="1" applyNumberFormat="1" applyFont="1" applyFill="1" applyBorder="1"/>
    <xf numFmtId="166" fontId="2" fillId="0" borderId="0" xfId="5" applyFont="1" applyFill="1"/>
    <xf numFmtId="0" fontId="0" fillId="4" borderId="0" xfId="0" applyFill="1"/>
    <xf numFmtId="37" fontId="13" fillId="0" borderId="0" xfId="1" applyNumberFormat="1" applyFont="1" applyFill="1" applyBorder="1"/>
    <xf numFmtId="166" fontId="0" fillId="0" borderId="0" xfId="0" applyNumberFormat="1" applyFill="1"/>
    <xf numFmtId="3" fontId="0" fillId="0" borderId="0" xfId="0" applyNumberFormat="1" applyFill="1"/>
    <xf numFmtId="3" fontId="0" fillId="0" borderId="0" xfId="0" applyNumberFormat="1"/>
    <xf numFmtId="164" fontId="11" fillId="0" borderId="0" xfId="1" applyNumberFormat="1" applyFont="1" applyFill="1"/>
    <xf numFmtId="167" fontId="0" fillId="0" borderId="0" xfId="4" applyNumberFormat="1" applyFont="1" applyFill="1"/>
    <xf numFmtId="37" fontId="13" fillId="7" borderId="0" xfId="1" applyNumberFormat="1" applyFont="1" applyFill="1" applyBorder="1"/>
    <xf numFmtId="164" fontId="11" fillId="7" borderId="0" xfId="1" applyNumberFormat="1" applyFont="1" applyFill="1"/>
    <xf numFmtId="166" fontId="11" fillId="7" borderId="1" xfId="5" applyFill="1" applyBorder="1"/>
    <xf numFmtId="164" fontId="0" fillId="6" borderId="1" xfId="1" applyNumberFormat="1" applyFont="1" applyFill="1" applyBorder="1"/>
    <xf numFmtId="166" fontId="8" fillId="6" borderId="0" xfId="3" applyNumberFormat="1" applyFill="1"/>
    <xf numFmtId="41" fontId="0" fillId="6" borderId="1" xfId="0" applyNumberFormat="1" applyFill="1" applyBorder="1"/>
    <xf numFmtId="167" fontId="0" fillId="6" borderId="0" xfId="4" applyNumberFormat="1" applyFont="1" applyFill="1"/>
    <xf numFmtId="37" fontId="13" fillId="6" borderId="0" xfId="1" applyNumberFormat="1" applyFont="1" applyFill="1" applyBorder="1"/>
    <xf numFmtId="164" fontId="11" fillId="6" borderId="0" xfId="1" applyNumberFormat="1" applyFont="1" applyFill="1"/>
    <xf numFmtId="166" fontId="11" fillId="6" borderId="1" xfId="5" applyFill="1" applyBorder="1"/>
    <xf numFmtId="165" fontId="2" fillId="6" borderId="2" xfId="2" applyNumberFormat="1" applyFill="1" applyBorder="1"/>
    <xf numFmtId="165" fontId="2" fillId="0" borderId="2" xfId="2" applyNumberFormat="1" applyBorder="1"/>
    <xf numFmtId="165" fontId="14" fillId="0" borderId="0" xfId="10" applyNumberFormat="1"/>
    <xf numFmtId="164" fontId="15" fillId="0" borderId="0" xfId="1" applyNumberFormat="1" applyFont="1" applyFill="1"/>
    <xf numFmtId="165" fontId="0" fillId="7" borderId="0" xfId="0" applyNumberFormat="1" applyFill="1"/>
    <xf numFmtId="164" fontId="0" fillId="5" borderId="0" xfId="1" applyNumberFormat="1" applyFont="1" applyFill="1"/>
    <xf numFmtId="17" fontId="0" fillId="0" borderId="1" xfId="0" applyNumberFormat="1" applyFill="1" applyBorder="1" applyAlignment="1">
      <alignment horizontal="center"/>
    </xf>
    <xf numFmtId="164" fontId="0" fillId="3" borderId="1" xfId="1" applyNumberFormat="1" applyFont="1" applyFill="1" applyBorder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wrapText="1"/>
    </xf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2" borderId="0" xfId="0" applyFill="1" applyBorder="1"/>
    <xf numFmtId="165" fontId="2" fillId="0" borderId="0" xfId="2" applyNumberFormat="1" applyBorder="1"/>
    <xf numFmtId="165" fontId="14" fillId="0" borderId="0" xfId="10" applyNumberFormat="1" applyBorder="1"/>
    <xf numFmtId="0" fontId="0" fillId="9" borderId="0" xfId="0" applyFill="1"/>
    <xf numFmtId="166" fontId="11" fillId="9" borderId="0" xfId="5" applyFill="1"/>
    <xf numFmtId="165" fontId="2" fillId="9" borderId="0" xfId="2" applyNumberFormat="1" applyFill="1"/>
    <xf numFmtId="41" fontId="0" fillId="9" borderId="0" xfId="0" applyNumberFormat="1" applyFill="1"/>
    <xf numFmtId="41" fontId="0" fillId="9" borderId="1" xfId="0" applyNumberFormat="1" applyFill="1" applyBorder="1"/>
    <xf numFmtId="0" fontId="3" fillId="9" borderId="0" xfId="0" applyFont="1" applyFill="1"/>
    <xf numFmtId="166" fontId="8" fillId="9" borderId="0" xfId="3" applyNumberFormat="1" applyFill="1"/>
    <xf numFmtId="37" fontId="13" fillId="9" borderId="0" xfId="1" applyNumberFormat="1" applyFont="1" applyFill="1" applyBorder="1"/>
    <xf numFmtId="166" fontId="2" fillId="9" borderId="0" xfId="5" applyFont="1" applyFill="1"/>
    <xf numFmtId="164" fontId="11" fillId="9" borderId="0" xfId="1" applyNumberFormat="1" applyFont="1" applyFill="1"/>
    <xf numFmtId="166" fontId="11" fillId="9" borderId="1" xfId="5" applyFill="1" applyBorder="1"/>
    <xf numFmtId="164" fontId="0" fillId="9" borderId="1" xfId="1" applyNumberFormat="1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/>
    <xf numFmtId="165" fontId="2" fillId="0" borderId="9" xfId="2" applyNumberFormat="1" applyFill="1" applyBorder="1"/>
    <xf numFmtId="0" fontId="0" fillId="0" borderId="8" xfId="0" applyFill="1" applyBorder="1"/>
    <xf numFmtId="0" fontId="0" fillId="0" borderId="9" xfId="0" applyFill="1" applyBorder="1"/>
    <xf numFmtId="0" fontId="7" fillId="0" borderId="8" xfId="0" applyFont="1" applyFill="1" applyBorder="1"/>
    <xf numFmtId="0" fontId="3" fillId="0" borderId="9" xfId="0" applyFont="1" applyFill="1" applyBorder="1" applyAlignment="1"/>
    <xf numFmtId="0" fontId="3" fillId="0" borderId="10" xfId="0" applyFont="1" applyBorder="1"/>
    <xf numFmtId="165" fontId="2" fillId="0" borderId="1" xfId="2" applyNumberFormat="1" applyFill="1" applyBorder="1"/>
    <xf numFmtId="165" fontId="2" fillId="0" borderId="11" xfId="2" applyNumberFormat="1" applyFill="1" applyBorder="1"/>
    <xf numFmtId="165" fontId="2" fillId="6" borderId="12" xfId="2" applyNumberFormat="1" applyFill="1" applyBorder="1"/>
    <xf numFmtId="165" fontId="2" fillId="6" borderId="9" xfId="2" applyNumberFormat="1" applyFill="1" applyBorder="1"/>
    <xf numFmtId="165" fontId="2" fillId="9" borderId="1" xfId="2" applyNumberFormat="1" applyFill="1" applyBorder="1"/>
    <xf numFmtId="0" fontId="2" fillId="0" borderId="0" xfId="6"/>
    <xf numFmtId="0" fontId="0" fillId="0" borderId="0" xfId="0" applyFont="1" applyFill="1"/>
    <xf numFmtId="0" fontId="2" fillId="0" borderId="0" xfId="6" applyFill="1"/>
    <xf numFmtId="41" fontId="2" fillId="0" borderId="0" xfId="6" applyNumberFormat="1"/>
    <xf numFmtId="165" fontId="2" fillId="0" borderId="0" xfId="6" applyNumberFormat="1"/>
    <xf numFmtId="0" fontId="2" fillId="2" borderId="0" xfId="6" applyFill="1"/>
    <xf numFmtId="164" fontId="2" fillId="2" borderId="0" xfId="6" applyNumberFormat="1" applyFill="1"/>
    <xf numFmtId="41" fontId="2" fillId="0" borderId="0" xfId="6" applyNumberFormat="1" applyFill="1" applyBorder="1"/>
    <xf numFmtId="41" fontId="2" fillId="0" borderId="0" xfId="6" applyNumberFormat="1" applyBorder="1"/>
    <xf numFmtId="0" fontId="3" fillId="0" borderId="0" xfId="6" applyFont="1"/>
    <xf numFmtId="0" fontId="2" fillId="0" borderId="0" xfId="6" applyBorder="1"/>
    <xf numFmtId="0" fontId="2" fillId="0" borderId="0" xfId="6" applyFill="1" applyBorder="1"/>
    <xf numFmtId="0" fontId="2" fillId="2" borderId="0" xfId="6" applyFill="1" applyBorder="1"/>
    <xf numFmtId="0" fontId="3" fillId="0" borderId="10" xfId="6" applyFont="1" applyBorder="1"/>
    <xf numFmtId="0" fontId="3" fillId="0" borderId="8" xfId="6" applyFont="1" applyFill="1" applyBorder="1"/>
    <xf numFmtId="0" fontId="3" fillId="0" borderId="9" xfId="6" applyFont="1" applyFill="1" applyBorder="1" applyAlignment="1"/>
    <xf numFmtId="0" fontId="3" fillId="0" borderId="0" xfId="6" applyFont="1" applyFill="1" applyBorder="1" applyAlignment="1"/>
    <xf numFmtId="0" fontId="7" fillId="0" borderId="8" xfId="6" applyFont="1" applyFill="1" applyBorder="1"/>
    <xf numFmtId="0" fontId="2" fillId="0" borderId="9" xfId="6" applyFill="1" applyBorder="1"/>
    <xf numFmtId="0" fontId="2" fillId="0" borderId="8" xfId="6" applyFill="1" applyBorder="1"/>
    <xf numFmtId="0" fontId="3" fillId="0" borderId="7" xfId="6" applyFont="1" applyFill="1" applyBorder="1" applyAlignment="1"/>
    <xf numFmtId="0" fontId="3" fillId="0" borderId="6" xfId="6" applyFont="1" applyFill="1" applyBorder="1" applyAlignment="1"/>
    <xf numFmtId="0" fontId="3" fillId="0" borderId="5" xfId="6" applyFont="1" applyFill="1" applyBorder="1"/>
    <xf numFmtId="41" fontId="2" fillId="0" borderId="0" xfId="6" applyNumberFormat="1" applyFill="1"/>
    <xf numFmtId="0" fontId="3" fillId="0" borderId="0" xfId="6" applyFont="1" applyFill="1"/>
    <xf numFmtId="0" fontId="2" fillId="0" borderId="0" xfId="6" applyFont="1" applyFill="1"/>
    <xf numFmtId="164" fontId="2" fillId="0" borderId="0" xfId="6" applyNumberFormat="1" applyFill="1"/>
    <xf numFmtId="0" fontId="3" fillId="9" borderId="0" xfId="6" applyFont="1" applyFill="1"/>
    <xf numFmtId="41" fontId="2" fillId="9" borderId="1" xfId="6" applyNumberFormat="1" applyFill="1" applyBorder="1"/>
    <xf numFmtId="0" fontId="2" fillId="9" borderId="0" xfId="6" applyFill="1"/>
    <xf numFmtId="41" fontId="2" fillId="9" borderId="0" xfId="6" applyNumberFormat="1" applyFill="1"/>
    <xf numFmtId="41" fontId="2" fillId="0" borderId="1" xfId="6" applyNumberFormat="1" applyFill="1" applyBorder="1"/>
    <xf numFmtId="17" fontId="3" fillId="0" borderId="1" xfId="6" applyNumberFormat="1" applyFont="1" applyBorder="1" applyAlignment="1">
      <alignment horizontal="center"/>
    </xf>
    <xf numFmtId="17" fontId="3" fillId="0" borderId="1" xfId="6" applyNumberFormat="1" applyFont="1" applyFill="1" applyBorder="1" applyAlignment="1">
      <alignment horizontal="center"/>
    </xf>
    <xf numFmtId="0" fontId="3" fillId="6" borderId="2" xfId="6" applyFont="1" applyFill="1" applyBorder="1" applyAlignment="1">
      <alignment horizontal="center" wrapText="1"/>
    </xf>
    <xf numFmtId="0" fontId="3" fillId="6" borderId="2" xfId="6" applyFont="1" applyFill="1" applyBorder="1" applyAlignment="1">
      <alignment horizontal="center"/>
    </xf>
    <xf numFmtId="0" fontId="2" fillId="0" borderId="0" xfId="6" applyAlignment="1">
      <alignment horizontal="center"/>
    </xf>
    <xf numFmtId="0" fontId="3" fillId="6" borderId="4" xfId="6" applyFont="1" applyFill="1" applyBorder="1"/>
  </cellXfs>
  <cellStyles count="11">
    <cellStyle name="Comma" xfId="1" builtinId="3"/>
    <cellStyle name="Comma 2" xfId="8" xr:uid="{00000000-0005-0000-0000-000001000000}"/>
    <cellStyle name="Currency" xfId="2" builtinId="4"/>
    <cellStyle name="Currency 2" xfId="9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_INVESTMENT REPORT June 2008 Post Audit 91208" xfId="10" xr:uid="{00000000-0005-0000-0000-000008000000}"/>
    <cellStyle name="Percent" xfId="4" builtinId="5"/>
    <cellStyle name="STYLE1" xfId="3" xr:uid="{00000000-0005-0000-0000-00000A000000}"/>
  </cellStyles>
  <dxfs count="0"/>
  <tableStyles count="0" defaultTableStyle="TableStyleMedium9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microsoft.com/office/2017/10/relationships/person" Target="persons/perso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78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 Collier" id="{AE1C7D20-ECEF-4E4A-A8C7-0CB7CC3F83B0}" userId="Tom Collier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61" dT="2021-09-21T17:35:45.52" personId="{AE1C7D20-ECEF-4E4A-A8C7-0CB7CC3F83B0}" id="{0EAF4AC4-D5E2-4B47-9C8C-05E8E0FA807F}">
    <text>Net income check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O61" dT="2021-09-21T17:35:45.52" personId="{AE1C7D20-ECEF-4E4A-A8C7-0CB7CC3F83B0}" id="{8FABE8FE-D145-4AD6-8E0D-A1B1BE1C519B}">
    <text>Net income check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O61" dT="2021-09-21T17:35:45.52" personId="{AE1C7D20-ECEF-4E4A-A8C7-0CB7CC3F83B0}" id="{0ED98D0D-2E0F-450E-8594-FFAA7D50AA4C}">
    <text>Net income check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Relationship Id="rId4" Type="http://schemas.microsoft.com/office/2017/10/relationships/threadedComment" Target="../threadedComments/threadedComment1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Relationship Id="rId4" Type="http://schemas.microsoft.com/office/2017/10/relationships/threadedComment" Target="../threadedComments/threadedComment2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2.xml"/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3.xml"/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4.xml"/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5.xml"/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6.xml"/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7.xml"/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8.xml"/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9.xml"/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3:C29"/>
  <sheetViews>
    <sheetView workbookViewId="0">
      <selection activeCell="B54" sqref="B54"/>
    </sheetView>
  </sheetViews>
  <sheetFormatPr defaultRowHeight="12.75"/>
  <cols>
    <col min="2" max="2" width="20.42578125" customWidth="1"/>
    <col min="3" max="3" width="119.85546875" customWidth="1"/>
  </cols>
  <sheetData>
    <row r="3" spans="2:3">
      <c r="B3" t="s">
        <v>0</v>
      </c>
    </row>
    <row r="5" spans="2:3">
      <c r="B5" t="s">
        <v>1</v>
      </c>
      <c r="C5" t="s">
        <v>2</v>
      </c>
    </row>
    <row r="6" spans="2:3">
      <c r="C6" t="s">
        <v>3</v>
      </c>
    </row>
    <row r="7" spans="2:3">
      <c r="C7" t="s">
        <v>4</v>
      </c>
    </row>
    <row r="9" spans="2:3">
      <c r="B9" t="s">
        <v>5</v>
      </c>
      <c r="C9" t="s">
        <v>6</v>
      </c>
    </row>
    <row r="10" spans="2:3">
      <c r="C10" t="s">
        <v>7</v>
      </c>
    </row>
    <row r="12" spans="2:3">
      <c r="B12" t="s">
        <v>8</v>
      </c>
      <c r="C12" t="s">
        <v>9</v>
      </c>
    </row>
    <row r="13" spans="2:3">
      <c r="C13" t="s">
        <v>10</v>
      </c>
    </row>
    <row r="15" spans="2:3">
      <c r="B15" t="s">
        <v>11</v>
      </c>
      <c r="C15" t="s">
        <v>12</v>
      </c>
    </row>
    <row r="16" spans="2:3">
      <c r="C16" t="s">
        <v>13</v>
      </c>
    </row>
    <row r="18" spans="2:3">
      <c r="B18" t="s">
        <v>14</v>
      </c>
      <c r="C18" t="s">
        <v>15</v>
      </c>
    </row>
    <row r="20" spans="2:3">
      <c r="B20" t="s">
        <v>16</v>
      </c>
      <c r="C20" t="s">
        <v>17</v>
      </c>
    </row>
    <row r="22" spans="2:3" ht="25.5">
      <c r="C22" s="9" t="s">
        <v>18</v>
      </c>
    </row>
    <row r="24" spans="2:3">
      <c r="B24" t="s">
        <v>19</v>
      </c>
      <c r="C24" t="s">
        <v>20</v>
      </c>
    </row>
    <row r="27" spans="2:3">
      <c r="B27" t="s">
        <v>21</v>
      </c>
    </row>
    <row r="29" spans="2:3">
      <c r="C29" t="s">
        <v>22</v>
      </c>
    </row>
  </sheetData>
  <phoneticPr fontId="6" type="noConversion"/>
  <pageMargins left="0.75" right="0.75" top="1" bottom="1" header="0.5" footer="0.5"/>
  <pageSetup scale="8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R96"/>
  <sheetViews>
    <sheetView showGridLines="0" workbookViewId="0">
      <pane xSplit="1" ySplit="3" topLeftCell="B35" activePane="bottomRight" state="frozen"/>
      <selection pane="topRight" activeCell="B72" sqref="B72"/>
      <selection pane="bottomLeft" activeCell="B72" sqref="B72"/>
      <selection pane="bottomRight" activeCell="C59" sqref="C59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86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35391889.744027719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1427692.7941193555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36819582.538147077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/>
      <c r="J11" s="7"/>
      <c r="K11" s="7"/>
      <c r="L11" s="7"/>
      <c r="M11" s="7"/>
      <c r="N11" s="7">
        <f>SUM(B11:M11)</f>
        <v>25760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36845342.538147077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15928153.545470877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15928153.545470877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19463736.198556848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1427692.7941193555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20891428.992676202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7274823.4569914397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2449884.888174573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9724708.3451660126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16216799.268898606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-9724708.3451660145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5391520.4703992587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4066148.9716547206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-85000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3981148.9716547206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35025531.332690872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1422217.1037895395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1391909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-189316.44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-476040.16000000003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1019864.4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36045395.732690871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799946.8054562062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12">
        <f t="shared" si="16"/>
        <v>731193.86212945473</v>
      </c>
      <c r="J63" s="12">
        <f t="shared" si="16"/>
        <v>1042110.1375004633</v>
      </c>
      <c r="K63" s="12">
        <f t="shared" si="16"/>
        <v>1225669.2476901568</v>
      </c>
      <c r="L63" s="12">
        <f t="shared" si="16"/>
        <v>1680017.0373915725</v>
      </c>
      <c r="M63" s="12">
        <f t="shared" si="16"/>
        <v>402352.7037895394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11721688.862129455</v>
      </c>
      <c r="J64" s="12">
        <f t="shared" si="17"/>
        <v>12032605.137500463</v>
      </c>
      <c r="K64" s="12">
        <f t="shared" si="17"/>
        <v>12216164.247690156</v>
      </c>
      <c r="L64" s="12">
        <f t="shared" si="17"/>
        <v>12670512.037391573</v>
      </c>
      <c r="M64" s="12">
        <f t="shared" si="17"/>
        <v>11392847.70378954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799946.8054562062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194899.46902477904</v>
      </c>
      <c r="J73" s="16">
        <f t="shared" si="18"/>
        <v>194899.46902477904</v>
      </c>
      <c r="K73" s="16">
        <f t="shared" si="18"/>
        <v>194899.46902477904</v>
      </c>
      <c r="L73" s="16">
        <f t="shared" si="18"/>
        <v>194899.46902477904</v>
      </c>
      <c r="M73" s="16">
        <f t="shared" si="18"/>
        <v>194899.46902477904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194899.46902477928</v>
      </c>
      <c r="J74" s="16">
        <f t="shared" si="18"/>
        <v>194899.46902477928</v>
      </c>
      <c r="K74" s="16">
        <f t="shared" si="18"/>
        <v>194899.46902477741</v>
      </c>
      <c r="L74" s="16">
        <f t="shared" si="18"/>
        <v>194899.46902477928</v>
      </c>
      <c r="M74" s="16">
        <f t="shared" si="18"/>
        <v>194899.46902477928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817909</v>
      </c>
      <c r="J84" s="7">
        <f>SUM(B53:J53)</f>
        <v>936909</v>
      </c>
      <c r="K84" s="7">
        <f>SUM(B53:K53)</f>
        <v>936909</v>
      </c>
      <c r="L84" s="7">
        <f>SUM(B53:L53)</f>
        <v>936909</v>
      </c>
      <c r="M84" s="7">
        <f>SUM(B53:M53)</f>
        <v>1391909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36286</v>
      </c>
      <c r="J85" s="7">
        <f t="shared" si="21"/>
        <v>36286</v>
      </c>
      <c r="K85" s="7">
        <f t="shared" si="21"/>
        <v>36286</v>
      </c>
      <c r="L85" s="7">
        <f t="shared" si="21"/>
        <v>36286</v>
      </c>
      <c r="M85" s="7">
        <f t="shared" si="21"/>
        <v>36286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35" t="e">
        <f>-#REF!-#REF!</f>
        <v>#REF!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665356.60000000009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 t="e">
        <f t="shared" si="23"/>
        <v>#REF!</v>
      </c>
      <c r="I88" s="40" t="e">
        <f t="shared" si="23"/>
        <v>#REF!</v>
      </c>
      <c r="J88" s="40" t="e">
        <f t="shared" si="23"/>
        <v>#REF!</v>
      </c>
      <c r="K88" s="40" t="e">
        <f t="shared" si="23"/>
        <v>#REF!</v>
      </c>
      <c r="L88" s="35" t="e">
        <f t="shared" si="23"/>
        <v>#REF!</v>
      </c>
      <c r="M88" s="35" t="e">
        <f t="shared" si="23"/>
        <v>#REF!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January 2017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AR96"/>
  <sheetViews>
    <sheetView showGridLines="0" workbookViewId="0">
      <pane xSplit="1" ySplit="3" topLeftCell="F35" activePane="bottomRight" state="frozen"/>
      <selection pane="topRight" activeCell="B72" sqref="B72"/>
      <selection pane="bottomLeft" activeCell="B72" sqref="B72"/>
      <selection pane="bottomRight" activeCell="A2" sqref="A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87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35664011.615627557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1415585.480259055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37079597.09588661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/>
      <c r="K11" s="7"/>
      <c r="L11" s="7"/>
      <c r="M11" s="7"/>
      <c r="N11" s="7">
        <f>SUM(B11:M11)</f>
        <v>28120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37107717.09588661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16050631.383926487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16050631.383926487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19613380.231701076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1415585.480259055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21028965.711960129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7310793.8058387842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2452135.6043382362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9762929.4101770204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16210489.93165146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-9762929.4101770204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5346990.0681411065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4066905.0253152526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-90000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3976905.0253152526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35137455.887559868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1559648.1749934177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1249909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-190858.44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-606310.16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746052.4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35883508.287559867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1224208.8083267435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32">
        <f t="shared" si="16"/>
        <v>1142436.9333333329</v>
      </c>
      <c r="J63" s="12">
        <f t="shared" si="16"/>
        <v>1453353.2087043414</v>
      </c>
      <c r="K63" s="12">
        <f t="shared" si="16"/>
        <v>1636912.318894035</v>
      </c>
      <c r="L63" s="12">
        <f t="shared" si="16"/>
        <v>2091260.1085954506</v>
      </c>
      <c r="M63" s="12">
        <f t="shared" si="16"/>
        <v>813595.77499341755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12132931.933333334</v>
      </c>
      <c r="J64" s="12">
        <f t="shared" si="17"/>
        <v>12443848.208704341</v>
      </c>
      <c r="K64" s="12">
        <f t="shared" si="17"/>
        <v>12627407.318894034</v>
      </c>
      <c r="L64" s="12">
        <f t="shared" si="17"/>
        <v>13081755.108595451</v>
      </c>
      <c r="M64" s="12">
        <f t="shared" si="17"/>
        <v>11804090.774993418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1224208.8083267435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606142.54022865719</v>
      </c>
      <c r="J73" s="16">
        <f t="shared" si="18"/>
        <v>606142.54022865719</v>
      </c>
      <c r="K73" s="16">
        <f t="shared" si="18"/>
        <v>606142.54022865719</v>
      </c>
      <c r="L73" s="16">
        <f t="shared" si="18"/>
        <v>606142.54022865719</v>
      </c>
      <c r="M73" s="16">
        <f t="shared" si="18"/>
        <v>606142.54022865719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606142.54022865742</v>
      </c>
      <c r="J74" s="16">
        <f t="shared" si="18"/>
        <v>606142.54022865742</v>
      </c>
      <c r="K74" s="16">
        <f t="shared" si="18"/>
        <v>606142.54022865556</v>
      </c>
      <c r="L74" s="16">
        <f t="shared" si="18"/>
        <v>606142.54022865742</v>
      </c>
      <c r="M74" s="16">
        <f t="shared" si="18"/>
        <v>606142.54022865742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794909</v>
      </c>
      <c r="K84" s="7">
        <f>SUM(B53:K53)</f>
        <v>794909</v>
      </c>
      <c r="L84" s="7">
        <f>SUM(B53:L53)</f>
        <v>794909</v>
      </c>
      <c r="M84" s="7">
        <f>SUM(B53:M53)</f>
        <v>1249909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178286</v>
      </c>
      <c r="K85" s="7">
        <f t="shared" si="21"/>
        <v>178286</v>
      </c>
      <c r="L85" s="7">
        <f t="shared" si="21"/>
        <v>178286</v>
      </c>
      <c r="M85" s="7">
        <f t="shared" si="21"/>
        <v>178286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35" t="e">
        <f>-#REF!-#REF!</f>
        <v>#REF!</v>
      </c>
      <c r="I87" s="35">
        <f t="shared" si="22"/>
        <v>164812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797168.60000000009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 t="e">
        <f t="shared" si="23"/>
        <v>#REF!</v>
      </c>
      <c r="I88" s="40" t="e">
        <f t="shared" si="23"/>
        <v>#REF!</v>
      </c>
      <c r="J88" s="40" t="e">
        <f t="shared" si="23"/>
        <v>#REF!</v>
      </c>
      <c r="K88" s="40" t="e">
        <f t="shared" si="23"/>
        <v>#REF!</v>
      </c>
      <c r="L88" s="35" t="e">
        <f t="shared" si="23"/>
        <v>#REF!</v>
      </c>
      <c r="M88" s="35" t="e">
        <f t="shared" si="23"/>
        <v>#REF!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February 2017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21" activePane="bottomRight" state="frozen"/>
      <selection pane="topRight" activeCell="B72" sqref="B72"/>
      <selection pane="bottomLeft" activeCell="B72" sqref="B72"/>
      <selection pane="bottomRight" activeCell="E55" sqref="E55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88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3214307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35777054.003394425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70594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1291229.7949907538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3284901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37068283.798385181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>
        <f>11101-10718</f>
        <v>383</v>
      </c>
      <c r="K11" s="7"/>
      <c r="L11" s="7"/>
      <c r="M11" s="7"/>
      <c r="N11" s="7">
        <f>SUM(B11:M11)</f>
        <v>28503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3285284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37096786.798385181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1168366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16072569.473469047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1168366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16072569.473469047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2045941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19704484.529925376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70594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1291229.7949907538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2116535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20995714.324916132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675949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7332894.5571861295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211437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2462863.2093027839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887386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9795757.7664889134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1481996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16208702.304651268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-887386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-9795757.7664889134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501580.93833333341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5312374.0848290212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316356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4065145.4789757845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-10000</v>
      </c>
      <c r="K45" s="22">
        <v>-5000</v>
      </c>
      <c r="L45" s="22">
        <v>-5000</v>
      </c>
      <c r="M45" s="22">
        <v>-5000</v>
      </c>
      <c r="N45" s="22">
        <f>SUM(B45:M45)</f>
        <v>-95000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306356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3970145.4789757845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2863688.9383333335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35150846.803762764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421595.06166666653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1535326.9612890757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28864</v>
      </c>
      <c r="K53" s="10">
        <v>0</v>
      </c>
      <c r="L53" s="10">
        <v>0</v>
      </c>
      <c r="M53" s="10">
        <v>455000</v>
      </c>
      <c r="N53" s="10">
        <f>SUM(B53:M53)</f>
        <v>1159773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-10718</v>
      </c>
      <c r="K56" s="7">
        <v>-9000</v>
      </c>
      <c r="L56" s="7">
        <v>-9000</v>
      </c>
      <c r="M56" s="7">
        <v>-9000</v>
      </c>
      <c r="N56" s="7">
        <f>SUM(B56:M56)</f>
        <v>-192576.44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-114783</v>
      </c>
      <c r="K57" s="22">
        <v>-25000</v>
      </c>
      <c r="L57" s="22">
        <v>-25000</v>
      </c>
      <c r="M57" s="22">
        <v>-25000</v>
      </c>
      <c r="N57" s="22">
        <f>SUM(B57:M57)</f>
        <v>-696093.16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-46637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564415.4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2817051.9383333335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35715262.203762762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30">
        <f t="shared" si="15"/>
        <v>468232.06166666653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1381524.5946224183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32">
        <f t="shared" si="16"/>
        <v>1142436.9333333329</v>
      </c>
      <c r="J63" s="32">
        <f t="shared" si="16"/>
        <v>1610668.9949999994</v>
      </c>
      <c r="K63" s="12">
        <f t="shared" si="16"/>
        <v>1794228.1051896929</v>
      </c>
      <c r="L63" s="12">
        <f t="shared" si="16"/>
        <v>2248575.8948911084</v>
      </c>
      <c r="M63" s="12">
        <f t="shared" si="16"/>
        <v>970911.5612890753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12132931.933333334</v>
      </c>
      <c r="J64" s="12">
        <f t="shared" si="17"/>
        <v>12601163.994999999</v>
      </c>
      <c r="K64" s="12">
        <f t="shared" si="17"/>
        <v>12784723.105189692</v>
      </c>
      <c r="L64" s="12">
        <f t="shared" si="17"/>
        <v>13239070.894891109</v>
      </c>
      <c r="M64" s="12">
        <f t="shared" si="17"/>
        <v>11961406.561289076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157315.78629565798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1381524.5946224183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606142.54022865719</v>
      </c>
      <c r="J73" s="16">
        <f t="shared" si="18"/>
        <v>763458.32652431517</v>
      </c>
      <c r="K73" s="16">
        <f t="shared" si="18"/>
        <v>763458.32652431517</v>
      </c>
      <c r="L73" s="16">
        <f t="shared" si="18"/>
        <v>763458.32652431494</v>
      </c>
      <c r="M73" s="16">
        <f t="shared" si="18"/>
        <v>763458.32652431494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606142.54022865742</v>
      </c>
      <c r="J74" s="16">
        <f t="shared" si="18"/>
        <v>763458.3265243154</v>
      </c>
      <c r="K74" s="16">
        <f t="shared" si="18"/>
        <v>763458.32652431354</v>
      </c>
      <c r="L74" s="16">
        <f t="shared" si="18"/>
        <v>763458.3265243154</v>
      </c>
      <c r="M74" s="16">
        <f t="shared" si="18"/>
        <v>763458.3265243154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704773</v>
      </c>
      <c r="K84" s="7">
        <f>SUM(B53:K53)</f>
        <v>704773</v>
      </c>
      <c r="L84" s="7">
        <f>SUM(B53:L53)</f>
        <v>704773</v>
      </c>
      <c r="M84" s="7">
        <f>SUM(B53:M53)</f>
        <v>1159773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268422</v>
      </c>
      <c r="K85" s="7">
        <f t="shared" si="21"/>
        <v>268422</v>
      </c>
      <c r="L85" s="7">
        <f t="shared" si="21"/>
        <v>268422</v>
      </c>
      <c r="M85" s="7">
        <f t="shared" si="21"/>
        <v>268422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35" t="e">
        <f>-#REF!-#REF!</f>
        <v>#REF!</v>
      </c>
      <c r="I87" s="35">
        <f t="shared" si="22"/>
        <v>164812</v>
      </c>
      <c r="J87" s="35">
        <f t="shared" si="22"/>
        <v>125501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888669.60000000009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 t="e">
        <f t="shared" si="23"/>
        <v>#REF!</v>
      </c>
      <c r="I88" s="40" t="e">
        <f t="shared" si="23"/>
        <v>#REF!</v>
      </c>
      <c r="J88" s="40" t="e">
        <f t="shared" si="23"/>
        <v>#REF!</v>
      </c>
      <c r="K88" s="40" t="e">
        <f t="shared" si="23"/>
        <v>#REF!</v>
      </c>
      <c r="L88" s="35" t="e">
        <f t="shared" si="23"/>
        <v>#REF!</v>
      </c>
      <c r="M88" s="35" t="e">
        <f t="shared" si="23"/>
        <v>#REF!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March 2017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14" activePane="bottomRight" state="frozen"/>
      <selection pane="topRight" activeCell="P45" sqref="P45"/>
      <selection pane="bottomLeft" activeCell="P45" sqref="P45"/>
      <selection pane="bottomRight" activeCell="P45" sqref="P45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89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3214307</v>
      </c>
      <c r="K5" s="53">
        <v>3269506</v>
      </c>
      <c r="L5" s="53">
        <v>2884558.9345671199</v>
      </c>
      <c r="M5" s="53">
        <v>1536863.9470107399</v>
      </c>
      <c r="N5" s="12">
        <f>SUM(B5:M5)</f>
        <v>36185270.881577864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70594</v>
      </c>
      <c r="K6" s="53">
        <v>572765</v>
      </c>
      <c r="L6" s="53">
        <v>303701.34733729798</v>
      </c>
      <c r="M6" s="53">
        <v>46075.731999999996</v>
      </c>
      <c r="N6" s="7">
        <f>SUM(B6:M6)</f>
        <v>1756219.0793372982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3284901</v>
      </c>
      <c r="K9" s="12">
        <f t="shared" si="0"/>
        <v>3842271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37941489.960915163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>
        <f>11101-10718</f>
        <v>383</v>
      </c>
      <c r="K11" s="7">
        <v>0</v>
      </c>
      <c r="L11" s="7"/>
      <c r="M11" s="7"/>
      <c r="N11" s="7">
        <f>SUM(B11:M11)</f>
        <v>28503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3285284</v>
      </c>
      <c r="K13" s="14">
        <f t="shared" si="1"/>
        <v>3842271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37969992.960915163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1168366</v>
      </c>
      <c r="K16" s="53">
        <v>1344740</v>
      </c>
      <c r="L16" s="53">
        <v>1202846.3247627199</v>
      </c>
      <c r="M16" s="53">
        <v>808585.32395320502</v>
      </c>
      <c r="N16" s="7">
        <f>SUM(B16:M16)</f>
        <v>16402851.648715926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1168366</v>
      </c>
      <c r="K20" s="12">
        <f t="shared" si="2"/>
        <v>1344740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16402851.648715926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2045941</v>
      </c>
      <c r="K23" s="7">
        <f t="shared" si="3"/>
        <v>1924766</v>
      </c>
      <c r="L23" s="7">
        <f t="shared" si="3"/>
        <v>1681712.6098044</v>
      </c>
      <c r="M23" s="7">
        <f t="shared" si="3"/>
        <v>728278.62305753492</v>
      </c>
      <c r="N23" s="7">
        <f>SUM(B23:M23)</f>
        <v>19782419.232861936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70594</v>
      </c>
      <c r="K24" s="7">
        <f t="shared" si="3"/>
        <v>572765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1756219.0793372982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2116535</v>
      </c>
      <c r="K27" s="12">
        <f t="shared" si="4"/>
        <v>2497531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21538638.312199235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675949</v>
      </c>
      <c r="K30" s="53">
        <v>733042</v>
      </c>
      <c r="L30" s="53">
        <v>615430.25565265596</v>
      </c>
      <c r="M30" s="53">
        <v>456542.16991265502</v>
      </c>
      <c r="N30" s="7">
        <f>SUM(B30:M30)</f>
        <v>7338126.4255653108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211437</v>
      </c>
      <c r="K31" s="53">
        <v>188816</v>
      </c>
      <c r="L31" s="53">
        <v>196340.080043806</v>
      </c>
      <c r="M31" s="53">
        <v>191011.551540168</v>
      </c>
      <c r="N31" s="7">
        <f>SUM(B31:M31)</f>
        <v>2428308.6315839738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887386</v>
      </c>
      <c r="K34" s="12">
        <f t="shared" si="7"/>
        <v>921858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9766435.0571492836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1481996</v>
      </c>
      <c r="K37" s="53">
        <v>1658913</v>
      </c>
      <c r="L37" s="53">
        <v>1366856.0727674812</v>
      </c>
      <c r="M37" s="53">
        <v>1089068.663147087</v>
      </c>
      <c r="N37" s="7">
        <f>SUM(B37:M37)</f>
        <v>16346436.735914567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-887386</v>
      </c>
      <c r="K38" s="7">
        <f t="shared" si="8"/>
        <v>-921858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-9766435.0571492855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-79458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501580.93833333341</v>
      </c>
      <c r="K42" s="12">
        <f t="shared" si="9"/>
        <v>646733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5479431.2254319489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316356</v>
      </c>
      <c r="K44" s="53">
        <v>355383</v>
      </c>
      <c r="L44" s="53">
        <v>295624.06633946812</v>
      </c>
      <c r="M44" s="53">
        <v>637691.65717914759</v>
      </c>
      <c r="N44" s="12">
        <f>SUM(B44:M44)</f>
        <v>4089327.7235186156</v>
      </c>
      <c r="O44" s="6"/>
    </row>
    <row r="45" spans="1:44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-10000</v>
      </c>
      <c r="K45" s="22">
        <v>-10000</v>
      </c>
      <c r="L45" s="22">
        <v>-5000</v>
      </c>
      <c r="M45" s="22">
        <v>-5000</v>
      </c>
      <c r="N45" s="22">
        <f>SUM(B45:M45)</f>
        <v>-100000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306356</v>
      </c>
      <c r="K46" s="12">
        <f t="shared" si="10"/>
        <v>345383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3989327.7235186156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2863688.9383333335</v>
      </c>
      <c r="K48" s="19">
        <f t="shared" si="11"/>
        <v>3258714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35638045.654815778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421595.06166666653</v>
      </c>
      <c r="K50" s="12">
        <f t="shared" si="12"/>
        <v>583557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1919324.8510993822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28864</v>
      </c>
      <c r="K53" s="10">
        <v>41254.46</v>
      </c>
      <c r="L53" s="10">
        <v>0</v>
      </c>
      <c r="M53" s="10">
        <v>455000</v>
      </c>
      <c r="N53" s="10">
        <f>SUM(B53:M53)</f>
        <v>1201027.46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-10718</v>
      </c>
      <c r="K56" s="7">
        <v>-8839.67</v>
      </c>
      <c r="L56" s="7">
        <v>-9000</v>
      </c>
      <c r="M56" s="7">
        <v>-9000</v>
      </c>
      <c r="N56" s="7">
        <f>SUM(B56:M56)</f>
        <v>-192416.11000000002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-114783</v>
      </c>
      <c r="K57" s="22">
        <v>-108759.15</v>
      </c>
      <c r="L57" s="22">
        <v>-25000</v>
      </c>
      <c r="M57" s="22">
        <v>-25000</v>
      </c>
      <c r="N57" s="22">
        <f>SUM(B57:M57)</f>
        <v>-779852.31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-46637</v>
      </c>
      <c r="K58" s="19">
        <f t="shared" si="13"/>
        <v>-26344.36</v>
      </c>
      <c r="L58" s="19">
        <f t="shared" si="13"/>
        <v>-34000</v>
      </c>
      <c r="M58" s="19">
        <f t="shared" si="13"/>
        <v>421000</v>
      </c>
      <c r="N58" s="19">
        <f t="shared" si="13"/>
        <v>522071.0399999998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2817051.9383333335</v>
      </c>
      <c r="K61" s="19">
        <f t="shared" si="14"/>
        <v>3232369.64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36160116.694815777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30">
        <f t="shared" si="15"/>
        <v>468232.06166666653</v>
      </c>
      <c r="K62" s="30">
        <f t="shared" si="15"/>
        <v>609901.35999999987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1809876.2660993859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32">
        <f t="shared" si="16"/>
        <v>1142436.9333333329</v>
      </c>
      <c r="J63" s="32">
        <f t="shared" si="16"/>
        <v>1610668.9949999994</v>
      </c>
      <c r="K63" s="32">
        <f t="shared" si="16"/>
        <v>2220570.3549999995</v>
      </c>
      <c r="L63" s="12">
        <f t="shared" si="16"/>
        <v>2674918.1447014152</v>
      </c>
      <c r="M63" s="12">
        <f t="shared" si="16"/>
        <v>1397253.8110993821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12132931.933333334</v>
      </c>
      <c r="J64" s="12">
        <f t="shared" si="17"/>
        <v>12601163.994999999</v>
      </c>
      <c r="K64" s="12">
        <f t="shared" si="17"/>
        <v>13211065.355</v>
      </c>
      <c r="L64" s="12">
        <f t="shared" si="17"/>
        <v>13665413.144701416</v>
      </c>
      <c r="M64" s="12">
        <f t="shared" si="17"/>
        <v>12387748.811099382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157315.78629565798</v>
      </c>
      <c r="K72" s="16">
        <f t="shared" si="18"/>
        <v>426342.24981030636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1809876.2660993859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606142.54022865719</v>
      </c>
      <c r="J73" s="16">
        <f t="shared" si="18"/>
        <v>763458.32652431517</v>
      </c>
      <c r="K73" s="16">
        <f t="shared" si="18"/>
        <v>1189800.5763346218</v>
      </c>
      <c r="L73" s="16">
        <f t="shared" si="18"/>
        <v>1189800.5763346218</v>
      </c>
      <c r="M73" s="16">
        <f t="shared" si="18"/>
        <v>1189800.5763346218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606142.54022865742</v>
      </c>
      <c r="J74" s="16">
        <f t="shared" si="18"/>
        <v>763458.3265243154</v>
      </c>
      <c r="K74" s="16">
        <f t="shared" si="18"/>
        <v>1189800.5763346218</v>
      </c>
      <c r="L74" s="16">
        <f t="shared" si="18"/>
        <v>1189800.5763346218</v>
      </c>
      <c r="M74" s="16">
        <f t="shared" si="18"/>
        <v>1189800.5763346218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704773</v>
      </c>
      <c r="K84" s="7">
        <f>SUM(B53:K53)</f>
        <v>746027.46</v>
      </c>
      <c r="L84" s="7">
        <f>SUM(B53:L53)</f>
        <v>746027.46</v>
      </c>
      <c r="M84" s="7">
        <f>SUM(B53:M53)</f>
        <v>1201027.46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268422</v>
      </c>
      <c r="K85" s="7">
        <f t="shared" si="21"/>
        <v>227167.54000000004</v>
      </c>
      <c r="L85" s="7">
        <f t="shared" si="21"/>
        <v>227167.54000000004</v>
      </c>
      <c r="M85" s="7">
        <f t="shared" si="21"/>
        <v>227167.54000000004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40">
        <f t="shared" si="22"/>
        <v>186829.65</v>
      </c>
      <c r="I87" s="35">
        <f t="shared" si="22"/>
        <v>164812</v>
      </c>
      <c r="J87" s="35">
        <f t="shared" si="22"/>
        <v>125501</v>
      </c>
      <c r="K87" s="40">
        <f t="shared" si="22"/>
        <v>117598.81999999999</v>
      </c>
      <c r="L87" s="35">
        <f t="shared" si="22"/>
        <v>34000</v>
      </c>
      <c r="M87" s="35">
        <f t="shared" si="22"/>
        <v>34000</v>
      </c>
      <c r="N87" s="35">
        <f t="shared" si="22"/>
        <v>972268.42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>
        <f t="shared" si="23"/>
        <v>496356.6</v>
      </c>
      <c r="I88" s="40">
        <f t="shared" si="23"/>
        <v>661168.6</v>
      </c>
      <c r="J88" s="40">
        <f t="shared" si="23"/>
        <v>786669.6</v>
      </c>
      <c r="K88" s="40">
        <f t="shared" si="23"/>
        <v>904268.41999999993</v>
      </c>
      <c r="L88" s="35">
        <f t="shared" si="23"/>
        <v>938268.41999999993</v>
      </c>
      <c r="M88" s="35">
        <f t="shared" si="23"/>
        <v>972268.41999999993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April 2017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4" activePane="bottomRight" state="frozen"/>
      <selection pane="topRight" activeCell="B72" sqref="B72"/>
      <selection pane="bottomLeft" activeCell="B72" sqref="B72"/>
      <selection pane="bottomRight" activeCell="O13" sqref="O13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90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3214307</v>
      </c>
      <c r="K5" s="53">
        <v>3269506</v>
      </c>
      <c r="L5" s="53">
        <v>3081873</v>
      </c>
      <c r="M5" s="53">
        <v>1536863.9470107399</v>
      </c>
      <c r="N5" s="12">
        <f>SUM(B5:M5)</f>
        <v>36382584.947010741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70594</v>
      </c>
      <c r="K6" s="53">
        <v>572765</v>
      </c>
      <c r="L6" s="53">
        <v>188411</v>
      </c>
      <c r="M6" s="53">
        <v>46075.731999999996</v>
      </c>
      <c r="N6" s="7">
        <f>SUM(B6:M6)</f>
        <v>1640928.7320000001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3284901</v>
      </c>
      <c r="K9" s="12">
        <f t="shared" si="0"/>
        <v>3842271</v>
      </c>
      <c r="L9" s="12">
        <f t="shared" si="0"/>
        <v>3270284</v>
      </c>
      <c r="M9" s="12">
        <f t="shared" si="0"/>
        <v>1582939.67901074</v>
      </c>
      <c r="N9" s="12">
        <f t="shared" si="0"/>
        <v>38023513.679010741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>
        <f>11101-10718</f>
        <v>383</v>
      </c>
      <c r="K11" s="7">
        <v>0</v>
      </c>
      <c r="L11" s="7">
        <f>65790-7577</f>
        <v>58213</v>
      </c>
      <c r="M11" s="7"/>
      <c r="N11" s="7">
        <f>SUM(B11:M11)</f>
        <v>86716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3285284</v>
      </c>
      <c r="K13" s="14">
        <f t="shared" si="1"/>
        <v>3842271</v>
      </c>
      <c r="L13" s="14">
        <f t="shared" si="1"/>
        <v>3328497</v>
      </c>
      <c r="M13" s="14">
        <f t="shared" si="1"/>
        <v>1582939.67901074</v>
      </c>
      <c r="N13" s="14">
        <f t="shared" si="1"/>
        <v>38110229.679010741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1168366</v>
      </c>
      <c r="K16" s="53">
        <v>1344740</v>
      </c>
      <c r="L16" s="53">
        <v>1147849</v>
      </c>
      <c r="M16" s="53">
        <v>808585.32395320502</v>
      </c>
      <c r="N16" s="7">
        <f>SUM(B16:M16)</f>
        <v>16347854.323953206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1168366</v>
      </c>
      <c r="K20" s="12">
        <f t="shared" si="2"/>
        <v>1344740</v>
      </c>
      <c r="L20" s="12">
        <f t="shared" si="2"/>
        <v>1147849</v>
      </c>
      <c r="M20" s="12">
        <f t="shared" si="2"/>
        <v>808585.32395320502</v>
      </c>
      <c r="N20" s="12">
        <f t="shared" si="2"/>
        <v>16347854.323953206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2045941</v>
      </c>
      <c r="K23" s="7">
        <f t="shared" si="3"/>
        <v>1924766</v>
      </c>
      <c r="L23" s="7">
        <f t="shared" si="3"/>
        <v>1934024</v>
      </c>
      <c r="M23" s="7">
        <f t="shared" si="3"/>
        <v>728278.62305753492</v>
      </c>
      <c r="N23" s="7">
        <f>SUM(B23:M23)</f>
        <v>20034730.623057537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70594</v>
      </c>
      <c r="K24" s="7">
        <f t="shared" si="3"/>
        <v>572765</v>
      </c>
      <c r="L24" s="7">
        <f t="shared" si="3"/>
        <v>188411</v>
      </c>
      <c r="M24" s="7">
        <f t="shared" si="3"/>
        <v>46075.731999999996</v>
      </c>
      <c r="N24" s="7">
        <f>SUM(B24:M24)</f>
        <v>1640928.7320000001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2116535</v>
      </c>
      <c r="K27" s="12">
        <f t="shared" si="4"/>
        <v>2497531</v>
      </c>
      <c r="L27" s="12">
        <f t="shared" si="4"/>
        <v>2122435</v>
      </c>
      <c r="M27" s="12">
        <f>SUM(M23:M26)</f>
        <v>774354.35505753488</v>
      </c>
      <c r="N27" s="12">
        <f t="shared" si="4"/>
        <v>21675659.355057538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675949</v>
      </c>
      <c r="K30" s="53">
        <v>733042</v>
      </c>
      <c r="L30" s="53">
        <v>638064</v>
      </c>
      <c r="M30" s="53">
        <v>456542.16991265502</v>
      </c>
      <c r="N30" s="7">
        <f>SUM(B30:M30)</f>
        <v>7360760.1699126549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211437</v>
      </c>
      <c r="K31" s="53">
        <v>188816</v>
      </c>
      <c r="L31" s="53">
        <v>104234</v>
      </c>
      <c r="M31" s="53">
        <v>191011.551540168</v>
      </c>
      <c r="N31" s="7">
        <f>SUM(B31:M31)</f>
        <v>2336202.551540168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887386</v>
      </c>
      <c r="K34" s="12">
        <f t="shared" si="7"/>
        <v>921858</v>
      </c>
      <c r="L34" s="12">
        <f t="shared" si="7"/>
        <v>742298</v>
      </c>
      <c r="M34" s="12">
        <f t="shared" si="7"/>
        <v>647553.72145282303</v>
      </c>
      <c r="N34" s="12">
        <f t="shared" si="7"/>
        <v>9696962.7214528229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1481996</v>
      </c>
      <c r="K37" s="53">
        <v>1658913</v>
      </c>
      <c r="L37" s="53">
        <v>1366856.0727674812</v>
      </c>
      <c r="M37" s="53">
        <v>1089068.663147087</v>
      </c>
      <c r="N37" s="7">
        <f>SUM(B37:M37)</f>
        <v>16346436.735914567</v>
      </c>
      <c r="O37" s="53"/>
      <c r="P37" s="62"/>
    </row>
    <row r="38" spans="1:44" s="6" customFormat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-887386</v>
      </c>
      <c r="K38" s="7">
        <f t="shared" si="8"/>
        <v>-921858</v>
      </c>
      <c r="L38" s="7">
        <f t="shared" si="8"/>
        <v>-742298</v>
      </c>
      <c r="M38" s="7">
        <f t="shared" si="8"/>
        <v>-647553.72145282303</v>
      </c>
      <c r="N38" s="7">
        <f>SUM(B38:M38)</f>
        <v>-9696962.7214528229</v>
      </c>
    </row>
    <row r="39" spans="1:44" s="6" customFormat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-79458</v>
      </c>
      <c r="L39" s="53">
        <v>-81487</v>
      </c>
      <c r="M39" s="53">
        <v>-80077.631666666595</v>
      </c>
      <c r="N39" s="7">
        <v>-971805.1199999993</v>
      </c>
    </row>
    <row r="40" spans="1:44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501580.93833333341</v>
      </c>
      <c r="K42" s="12">
        <f t="shared" si="9"/>
        <v>646733</v>
      </c>
      <c r="L42" s="12">
        <f t="shared" si="9"/>
        <v>532107.07276748121</v>
      </c>
      <c r="M42" s="12">
        <f t="shared" si="9"/>
        <v>350773.31002759736</v>
      </c>
      <c r="N42" s="12">
        <f t="shared" si="9"/>
        <v>5548903.5611284114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316356</v>
      </c>
      <c r="K44" s="53">
        <v>355383</v>
      </c>
      <c r="L44" s="53">
        <v>305310</v>
      </c>
      <c r="M44" s="53">
        <v>637691.65717914759</v>
      </c>
      <c r="N44" s="12">
        <f>SUM(B44:M44)</f>
        <v>4099013.6571791475</v>
      </c>
      <c r="O44" s="6"/>
    </row>
    <row r="45" spans="1:44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-10000</v>
      </c>
      <c r="K45" s="22">
        <v>-10000</v>
      </c>
      <c r="L45" s="22">
        <v>-10000</v>
      </c>
      <c r="M45" s="22">
        <v>-5000</v>
      </c>
      <c r="N45" s="22">
        <f>SUM(B45:M45)</f>
        <v>-105000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306356</v>
      </c>
      <c r="K46" s="12">
        <f t="shared" si="10"/>
        <v>345383</v>
      </c>
      <c r="L46" s="12">
        <f t="shared" si="10"/>
        <v>295310</v>
      </c>
      <c r="M46" s="12">
        <f t="shared" si="10"/>
        <v>632691.65717914759</v>
      </c>
      <c r="N46" s="12">
        <f t="shared" si="10"/>
        <v>3994013.6571791475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2863688.9383333335</v>
      </c>
      <c r="K48" s="19">
        <f t="shared" si="11"/>
        <v>3258714</v>
      </c>
      <c r="L48" s="19">
        <f t="shared" si="11"/>
        <v>2717564.0727674812</v>
      </c>
      <c r="M48" s="19">
        <f t="shared" si="11"/>
        <v>2439604.0126127731</v>
      </c>
      <c r="N48" s="19">
        <f t="shared" si="11"/>
        <v>35587734.263713591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421595.06166666653</v>
      </c>
      <c r="K50" s="12">
        <f t="shared" si="12"/>
        <v>583557</v>
      </c>
      <c r="L50" s="12">
        <f t="shared" si="12"/>
        <v>610932.92723251879</v>
      </c>
      <c r="M50" s="12">
        <f t="shared" si="12"/>
        <v>-856664.33360203309</v>
      </c>
      <c r="N50" s="12">
        <f>SUM(B50:M50)</f>
        <v>2109909.9886304853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28864</v>
      </c>
      <c r="K53" s="10">
        <v>41254.46</v>
      </c>
      <c r="L53" s="10">
        <v>125061</v>
      </c>
      <c r="M53" s="10">
        <v>455000</v>
      </c>
      <c r="N53" s="10">
        <f>SUM(B53:M53)</f>
        <v>1326088.46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-10718</v>
      </c>
      <c r="K56" s="7">
        <v>-8839.67</v>
      </c>
      <c r="L56" s="7">
        <v>-7577</v>
      </c>
      <c r="M56" s="7">
        <v>-9000</v>
      </c>
      <c r="N56" s="7">
        <f>SUM(B56:M56)</f>
        <v>-190993.11000000002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-114783</v>
      </c>
      <c r="K57" s="22">
        <v>-108759.15</v>
      </c>
      <c r="L57" s="22">
        <v>-101438</v>
      </c>
      <c r="M57" s="22">
        <v>-25000</v>
      </c>
      <c r="N57" s="22">
        <f>SUM(B57:M57)</f>
        <v>-856290.31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-46637</v>
      </c>
      <c r="K58" s="19">
        <f t="shared" si="13"/>
        <v>-26344.36</v>
      </c>
      <c r="L58" s="19">
        <f t="shared" si="13"/>
        <v>16046</v>
      </c>
      <c r="M58" s="19">
        <f t="shared" si="13"/>
        <v>421000</v>
      </c>
      <c r="N58" s="19">
        <f t="shared" si="13"/>
        <v>572117.0399999998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2817051.9383333335</v>
      </c>
      <c r="K61" s="19">
        <f t="shared" si="14"/>
        <v>3232369.64</v>
      </c>
      <c r="L61" s="19">
        <f t="shared" si="14"/>
        <v>2733610.0727674812</v>
      </c>
      <c r="M61" s="19">
        <f t="shared" si="14"/>
        <v>2860604.0126127731</v>
      </c>
      <c r="N61" s="19">
        <f t="shared" si="14"/>
        <v>36159851.30371359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30">
        <f t="shared" si="15"/>
        <v>468232.06166666653</v>
      </c>
      <c r="K62" s="30">
        <f t="shared" si="15"/>
        <v>609901.35999999987</v>
      </c>
      <c r="L62" s="30">
        <f t="shared" si="15"/>
        <v>594886.92723251879</v>
      </c>
      <c r="M62" s="14">
        <f t="shared" si="15"/>
        <v>-1277664.3336020331</v>
      </c>
      <c r="N62" s="14">
        <f t="shared" si="15"/>
        <v>1950378.3752971515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32">
        <f t="shared" si="16"/>
        <v>1142436.9333333329</v>
      </c>
      <c r="J63" s="32">
        <f t="shared" si="16"/>
        <v>1610668.9949999994</v>
      </c>
      <c r="K63" s="32">
        <f t="shared" si="16"/>
        <v>2220570.3549999995</v>
      </c>
      <c r="L63" s="32">
        <f t="shared" si="16"/>
        <v>2815457.2822325183</v>
      </c>
      <c r="M63" s="12">
        <f t="shared" si="16"/>
        <v>1537792.9486304852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12132931.933333334</v>
      </c>
      <c r="J64" s="12">
        <f t="shared" si="17"/>
        <v>12601163.994999999</v>
      </c>
      <c r="K64" s="12">
        <f t="shared" si="17"/>
        <v>13211065.355</v>
      </c>
      <c r="L64" s="12">
        <f t="shared" si="17"/>
        <v>13805952.282232519</v>
      </c>
      <c r="M64" s="12">
        <f t="shared" si="17"/>
        <v>12528287.948630486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157315.78629565798</v>
      </c>
      <c r="K72" s="16">
        <f t="shared" si="18"/>
        <v>426342.24981030636</v>
      </c>
      <c r="L72" s="16">
        <f t="shared" si="18"/>
        <v>140539.1375311031</v>
      </c>
      <c r="M72" s="16">
        <f t="shared" si="18"/>
        <v>0</v>
      </c>
      <c r="N72" s="6"/>
      <c r="O72" s="6"/>
      <c r="P72" s="16">
        <f>+N62-N67</f>
        <v>1950378.3752971515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606142.54022865719</v>
      </c>
      <c r="J73" s="16">
        <f t="shared" si="18"/>
        <v>763458.32652431517</v>
      </c>
      <c r="K73" s="16">
        <f t="shared" si="18"/>
        <v>1189800.5763346218</v>
      </c>
      <c r="L73" s="16">
        <f t="shared" si="18"/>
        <v>1330339.7138657249</v>
      </c>
      <c r="M73" s="16">
        <f t="shared" si="18"/>
        <v>1330339.7138657249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606142.54022865742</v>
      </c>
      <c r="J74" s="16">
        <f t="shared" si="18"/>
        <v>763458.3265243154</v>
      </c>
      <c r="K74" s="16">
        <f t="shared" si="18"/>
        <v>1189800.5763346218</v>
      </c>
      <c r="L74" s="16">
        <f t="shared" si="18"/>
        <v>1330339.7138657253</v>
      </c>
      <c r="M74" s="16">
        <f t="shared" si="18"/>
        <v>1330339.7138657253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704773</v>
      </c>
      <c r="K84" s="7">
        <f>SUM(B53:K53)</f>
        <v>746027.46</v>
      </c>
      <c r="L84" s="7">
        <f>SUM(B53:L53)</f>
        <v>871088.46</v>
      </c>
      <c r="M84" s="7">
        <f>SUM(B53:M53)</f>
        <v>1326088.46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268422</v>
      </c>
      <c r="K85" s="7">
        <f t="shared" si="21"/>
        <v>227167.54000000004</v>
      </c>
      <c r="L85" s="7">
        <f t="shared" si="21"/>
        <v>102106.54000000004</v>
      </c>
      <c r="M85" s="7">
        <f t="shared" si="21"/>
        <v>102106.54000000004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40">
        <f t="shared" si="22"/>
        <v>186829.65</v>
      </c>
      <c r="I87" s="35">
        <f t="shared" si="22"/>
        <v>164812</v>
      </c>
      <c r="J87" s="35">
        <f t="shared" si="22"/>
        <v>125501</v>
      </c>
      <c r="K87" s="40">
        <f t="shared" si="22"/>
        <v>117598.81999999999</v>
      </c>
      <c r="L87" s="35">
        <f t="shared" si="22"/>
        <v>109015</v>
      </c>
      <c r="M87" s="35">
        <f t="shared" si="22"/>
        <v>34000</v>
      </c>
      <c r="N87" s="35">
        <f t="shared" si="22"/>
        <v>1047283.42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>
        <f t="shared" si="23"/>
        <v>496356.6</v>
      </c>
      <c r="I88" s="40">
        <f t="shared" si="23"/>
        <v>661168.6</v>
      </c>
      <c r="J88" s="40">
        <f t="shared" si="23"/>
        <v>786669.6</v>
      </c>
      <c r="K88" s="40">
        <f t="shared" si="23"/>
        <v>904268.41999999993</v>
      </c>
      <c r="L88" s="35">
        <f t="shared" si="23"/>
        <v>1013283.4199999999</v>
      </c>
      <c r="M88" s="35">
        <f t="shared" si="23"/>
        <v>1047283.4199999999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May 2017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4" activePane="bottomRight" state="frozen"/>
      <selection pane="topRight" activeCell="B72" sqref="B72"/>
      <selection pane="bottomLeft" activeCell="B72" sqref="B72"/>
      <selection pane="bottomRight" activeCell="M44" sqref="M44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91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5" t="s">
        <v>24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3214307</v>
      </c>
      <c r="K5" s="53">
        <v>3269506</v>
      </c>
      <c r="L5" s="53">
        <v>3081873</v>
      </c>
      <c r="M5" s="53">
        <v>1454183</v>
      </c>
      <c r="N5" s="12">
        <f>SUM(B5:M5)</f>
        <v>36299904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70594</v>
      </c>
      <c r="K6" s="53">
        <v>572765</v>
      </c>
      <c r="L6" s="53">
        <v>188411</v>
      </c>
      <c r="M6" s="53">
        <v>169551</v>
      </c>
      <c r="N6" s="7">
        <f>SUM(B6:M6)</f>
        <v>1764404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3284901</v>
      </c>
      <c r="K9" s="12">
        <f t="shared" si="0"/>
        <v>3842271</v>
      </c>
      <c r="L9" s="12">
        <f t="shared" si="0"/>
        <v>3270284</v>
      </c>
      <c r="M9" s="12">
        <f t="shared" si="0"/>
        <v>1623734</v>
      </c>
      <c r="N9" s="12">
        <f t="shared" si="0"/>
        <v>38064308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>
        <f>11101-10718</f>
        <v>383</v>
      </c>
      <c r="K11" s="7">
        <v>0</v>
      </c>
      <c r="L11" s="7">
        <f>65790-7577</f>
        <v>58213</v>
      </c>
      <c r="M11" s="7">
        <f>57030-9443</f>
        <v>47587</v>
      </c>
      <c r="N11" s="7">
        <f>SUM(B11:M11)</f>
        <v>134303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3285284</v>
      </c>
      <c r="K13" s="14">
        <f t="shared" si="1"/>
        <v>3842271</v>
      </c>
      <c r="L13" s="14">
        <f t="shared" si="1"/>
        <v>3328497</v>
      </c>
      <c r="M13" s="14">
        <f t="shared" si="1"/>
        <v>1671321</v>
      </c>
      <c r="N13" s="14">
        <f t="shared" si="1"/>
        <v>38198611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1168366</v>
      </c>
      <c r="K16" s="53">
        <v>1344740</v>
      </c>
      <c r="L16" s="53">
        <v>1147849</v>
      </c>
      <c r="M16" s="53">
        <v>900877</v>
      </c>
      <c r="N16" s="7">
        <f>SUM(B16:M16)</f>
        <v>16440146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1168366</v>
      </c>
      <c r="K20" s="12">
        <f t="shared" si="2"/>
        <v>1344740</v>
      </c>
      <c r="L20" s="12">
        <f t="shared" si="2"/>
        <v>1147849</v>
      </c>
      <c r="M20" s="12">
        <f t="shared" si="2"/>
        <v>900877</v>
      </c>
      <c r="N20" s="12">
        <f t="shared" si="2"/>
        <v>16440146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2045941</v>
      </c>
      <c r="K23" s="7">
        <f t="shared" si="3"/>
        <v>1924766</v>
      </c>
      <c r="L23" s="7">
        <f t="shared" si="3"/>
        <v>1934024</v>
      </c>
      <c r="M23" s="7">
        <f t="shared" si="3"/>
        <v>553306</v>
      </c>
      <c r="N23" s="7">
        <f>SUM(B23:M23)</f>
        <v>19859758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70594</v>
      </c>
      <c r="K24" s="7">
        <f t="shared" si="3"/>
        <v>572765</v>
      </c>
      <c r="L24" s="7">
        <f t="shared" si="3"/>
        <v>188411</v>
      </c>
      <c r="M24" s="7">
        <f t="shared" si="3"/>
        <v>169551</v>
      </c>
      <c r="N24" s="7">
        <f>SUM(B24:M24)</f>
        <v>1764404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2116535</v>
      </c>
      <c r="K27" s="12">
        <f t="shared" si="4"/>
        <v>2497531</v>
      </c>
      <c r="L27" s="12">
        <f t="shared" si="4"/>
        <v>2122435</v>
      </c>
      <c r="M27" s="12">
        <f>SUM(M23:M26)</f>
        <v>722857</v>
      </c>
      <c r="N27" s="12">
        <f t="shared" si="4"/>
        <v>21624162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675949</v>
      </c>
      <c r="K30" s="53">
        <v>733042</v>
      </c>
      <c r="L30" s="53">
        <v>638064</v>
      </c>
      <c r="M30" s="53">
        <v>530547</v>
      </c>
      <c r="N30" s="7">
        <f>SUM(B30:M30)</f>
        <v>7434765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211437</v>
      </c>
      <c r="K31" s="53">
        <v>188816</v>
      </c>
      <c r="L31" s="53">
        <v>104234</v>
      </c>
      <c r="M31" s="53">
        <v>170711</v>
      </c>
      <c r="N31" s="7">
        <f>SUM(B31:M31)</f>
        <v>2315902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887386</v>
      </c>
      <c r="K34" s="12">
        <f t="shared" si="7"/>
        <v>921858</v>
      </c>
      <c r="L34" s="12">
        <f t="shared" si="7"/>
        <v>742298</v>
      </c>
      <c r="M34" s="12">
        <f t="shared" si="7"/>
        <v>701258</v>
      </c>
      <c r="N34" s="12">
        <f t="shared" si="7"/>
        <v>9750667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1481996</v>
      </c>
      <c r="K37" s="53">
        <v>1658913</v>
      </c>
      <c r="L37" s="53">
        <v>1366856.0727674812</v>
      </c>
      <c r="M37" s="53">
        <v>1103056</v>
      </c>
      <c r="N37" s="7">
        <f>SUM(B37:M37)</f>
        <v>16360424.072767481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-887386</v>
      </c>
      <c r="K38" s="7">
        <f t="shared" si="8"/>
        <v>-921858</v>
      </c>
      <c r="L38" s="7">
        <f t="shared" si="8"/>
        <v>-742298</v>
      </c>
      <c r="M38" s="7">
        <f t="shared" si="8"/>
        <v>-701258</v>
      </c>
      <c r="N38" s="7">
        <f>SUM(B38:M38)</f>
        <v>-9750667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-79458</v>
      </c>
      <c r="L39" s="53">
        <v>-81487</v>
      </c>
      <c r="M39" s="53">
        <v>-79753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-10664</v>
      </c>
      <c r="K41" s="60">
        <v>-10664</v>
      </c>
      <c r="L41" s="60">
        <v>-10664</v>
      </c>
      <c r="M41" s="60">
        <v>117300</v>
      </c>
      <c r="N41" s="15">
        <f>SUM(B41:M41)</f>
        <v>-1.3333333336049691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501880.93833333341</v>
      </c>
      <c r="K42" s="12">
        <f t="shared" si="9"/>
        <v>646933</v>
      </c>
      <c r="L42" s="12">
        <f t="shared" si="9"/>
        <v>532407.07276748121</v>
      </c>
      <c r="M42" s="12">
        <f t="shared" si="9"/>
        <v>439345</v>
      </c>
      <c r="N42" s="12">
        <f t="shared" si="9"/>
        <v>5637950.6194341481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316356</v>
      </c>
      <c r="K44" s="53">
        <v>355383</v>
      </c>
      <c r="L44" s="53">
        <v>305310</v>
      </c>
      <c r="M44" s="53">
        <v>637691.65717914759</v>
      </c>
      <c r="N44" s="12">
        <f>SUM(B44:M44)</f>
        <v>4099013.6571791475</v>
      </c>
      <c r="O44" s="6"/>
    </row>
    <row r="45" spans="1:44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-10000</v>
      </c>
      <c r="K45" s="22">
        <v>-10000</v>
      </c>
      <c r="L45" s="22">
        <v>-10000</v>
      </c>
      <c r="M45" s="22">
        <f>626522-783494-380000</f>
        <v>-536972</v>
      </c>
      <c r="N45" s="22">
        <f>SUM(B45:M45)</f>
        <v>-636972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306356</v>
      </c>
      <c r="K46" s="12">
        <f t="shared" si="10"/>
        <v>345383</v>
      </c>
      <c r="L46" s="12">
        <f t="shared" si="10"/>
        <v>295310</v>
      </c>
      <c r="M46" s="12">
        <f t="shared" si="10"/>
        <v>100719.65717914759</v>
      </c>
      <c r="N46" s="12">
        <f t="shared" si="10"/>
        <v>3462041.6571791475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2863988.9383333335</v>
      </c>
      <c r="K48" s="19">
        <f t="shared" si="11"/>
        <v>3258914</v>
      </c>
      <c r="L48" s="19">
        <f t="shared" si="11"/>
        <v>2717864.0727674812</v>
      </c>
      <c r="M48" s="19">
        <f t="shared" si="11"/>
        <v>2142199.6571791475</v>
      </c>
      <c r="N48" s="19">
        <f t="shared" si="11"/>
        <v>35290805.276613295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421295.06166666653</v>
      </c>
      <c r="K50" s="12">
        <f t="shared" si="12"/>
        <v>583357</v>
      </c>
      <c r="L50" s="12">
        <f t="shared" si="12"/>
        <v>610632.92723251879</v>
      </c>
      <c r="M50" s="12">
        <f t="shared" si="12"/>
        <v>-470878.65717914747</v>
      </c>
      <c r="N50" s="12">
        <f>SUM(B50:M50)</f>
        <v>2494895.6650533709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28864</v>
      </c>
      <c r="K53" s="10">
        <v>41254.46</v>
      </c>
      <c r="L53" s="10">
        <v>125061</v>
      </c>
      <c r="M53" s="10">
        <f>27221-27608+5000</f>
        <v>4613</v>
      </c>
      <c r="N53" s="10">
        <f>SUM(B53:M53)</f>
        <v>875701.46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>
        <v>0</v>
      </c>
      <c r="M55" s="10">
        <v>0</v>
      </c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-10718</v>
      </c>
      <c r="K56" s="7">
        <v>-8839.67</v>
      </c>
      <c r="L56" s="7">
        <v>-7577</v>
      </c>
      <c r="M56" s="7">
        <v>-9443</v>
      </c>
      <c r="N56" s="7">
        <f>SUM(B56:M56)</f>
        <v>-191436.11000000002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-114783</v>
      </c>
      <c r="K57" s="22">
        <v>-108759.15</v>
      </c>
      <c r="L57" s="22">
        <v>-101438</v>
      </c>
      <c r="M57" s="22">
        <v>-10409</v>
      </c>
      <c r="N57" s="22">
        <f>SUM(B57:M57)</f>
        <v>-841699.31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-46637</v>
      </c>
      <c r="K58" s="19">
        <f t="shared" si="13"/>
        <v>-26344.36</v>
      </c>
      <c r="L58" s="19">
        <f t="shared" si="13"/>
        <v>16046</v>
      </c>
      <c r="M58" s="19">
        <f t="shared" si="13"/>
        <v>-15239</v>
      </c>
      <c r="N58" s="19">
        <f t="shared" si="13"/>
        <v>135878.03999999992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2817351.9383333335</v>
      </c>
      <c r="K61" s="19">
        <f t="shared" si="14"/>
        <v>3232569.64</v>
      </c>
      <c r="L61" s="19">
        <f t="shared" si="14"/>
        <v>2733910.0727674812</v>
      </c>
      <c r="M61" s="19">
        <f t="shared" si="14"/>
        <v>2126960.6571791475</v>
      </c>
      <c r="N61" s="19">
        <f t="shared" si="14"/>
        <v>35426683.316613294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30">
        <f t="shared" si="15"/>
        <v>467932.06166666653</v>
      </c>
      <c r="K62" s="30">
        <f t="shared" si="15"/>
        <v>609701.35999999987</v>
      </c>
      <c r="L62" s="30">
        <f t="shared" si="15"/>
        <v>594586.92723251879</v>
      </c>
      <c r="M62" s="30">
        <f t="shared" si="15"/>
        <v>-455639.65717914747</v>
      </c>
      <c r="N62" s="14">
        <f t="shared" si="15"/>
        <v>2771927.6833867058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32">
        <f t="shared" si="16"/>
        <v>1142436.9333333329</v>
      </c>
      <c r="J63" s="32">
        <f t="shared" si="16"/>
        <v>1610368.9949999994</v>
      </c>
      <c r="K63" s="32">
        <f t="shared" si="16"/>
        <v>2220070.3549999995</v>
      </c>
      <c r="L63" s="32">
        <f t="shared" si="16"/>
        <v>2814657.2822325183</v>
      </c>
      <c r="M63" s="32">
        <f t="shared" si="16"/>
        <v>2359017.6250533708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12132931.933333334</v>
      </c>
      <c r="J64" s="12">
        <f t="shared" si="17"/>
        <v>12600863.994999999</v>
      </c>
      <c r="K64" s="12">
        <f t="shared" si="17"/>
        <v>13210565.355</v>
      </c>
      <c r="L64" s="12">
        <f t="shared" si="17"/>
        <v>13805152.282232519</v>
      </c>
      <c r="M64" s="12">
        <f t="shared" si="17"/>
        <v>13349512.62505337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157015.78629565798</v>
      </c>
      <c r="K72" s="16">
        <f t="shared" si="18"/>
        <v>426142.24981030636</v>
      </c>
      <c r="L72" s="16">
        <f t="shared" si="18"/>
        <v>140239.1375311031</v>
      </c>
      <c r="M72" s="16">
        <f t="shared" si="18"/>
        <v>822024.67642288562</v>
      </c>
      <c r="N72" s="6"/>
      <c r="O72" s="6"/>
      <c r="P72" s="16">
        <f>+N62-N67</f>
        <v>2771927.6833867058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606142.54022865719</v>
      </c>
      <c r="J73" s="16">
        <f t="shared" si="18"/>
        <v>763158.32652431517</v>
      </c>
      <c r="K73" s="16">
        <f t="shared" si="18"/>
        <v>1189300.5763346218</v>
      </c>
      <c r="L73" s="16">
        <f t="shared" si="18"/>
        <v>1329539.7138657249</v>
      </c>
      <c r="M73" s="16">
        <f t="shared" si="18"/>
        <v>2151564.3902886105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606142.54022865742</v>
      </c>
      <c r="J74" s="16">
        <f t="shared" si="18"/>
        <v>763158.3265243154</v>
      </c>
      <c r="K74" s="16">
        <f t="shared" si="18"/>
        <v>1189300.5763346218</v>
      </c>
      <c r="L74" s="16">
        <f t="shared" si="18"/>
        <v>1329539.7138657253</v>
      </c>
      <c r="M74" s="16">
        <f t="shared" si="18"/>
        <v>2151564.39028861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704773</v>
      </c>
      <c r="K84" s="7">
        <f>SUM(B53:K53)</f>
        <v>746027.46</v>
      </c>
      <c r="L84" s="7">
        <f>SUM(B53:L53)</f>
        <v>871088.46</v>
      </c>
      <c r="M84" s="7">
        <f>SUM(B53:M53)</f>
        <v>875701.46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268422</v>
      </c>
      <c r="K85" s="7">
        <f t="shared" si="21"/>
        <v>227167.54000000004</v>
      </c>
      <c r="L85" s="7">
        <f t="shared" si="21"/>
        <v>102106.54000000004</v>
      </c>
      <c r="M85" s="7">
        <f t="shared" si="21"/>
        <v>552493.54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40">
        <f t="shared" si="22"/>
        <v>186829.65</v>
      </c>
      <c r="I87" s="35">
        <f t="shared" si="22"/>
        <v>164812</v>
      </c>
      <c r="J87" s="35">
        <f t="shared" si="22"/>
        <v>125501</v>
      </c>
      <c r="K87" s="40">
        <f t="shared" si="22"/>
        <v>117598.81999999999</v>
      </c>
      <c r="L87" s="35">
        <f t="shared" si="22"/>
        <v>109015</v>
      </c>
      <c r="M87" s="35">
        <f t="shared" si="22"/>
        <v>19852</v>
      </c>
      <c r="N87" s="35">
        <f t="shared" si="22"/>
        <v>1033135.42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>
        <f t="shared" si="23"/>
        <v>496356.6</v>
      </c>
      <c r="I88" s="40">
        <f t="shared" si="23"/>
        <v>661168.6</v>
      </c>
      <c r="J88" s="40">
        <f t="shared" si="23"/>
        <v>786669.6</v>
      </c>
      <c r="K88" s="40">
        <f t="shared" si="23"/>
        <v>904268.41999999993</v>
      </c>
      <c r="L88" s="35">
        <f t="shared" si="23"/>
        <v>1013283.4199999999</v>
      </c>
      <c r="M88" s="35">
        <f t="shared" si="23"/>
        <v>1033135.4199999999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June 2017 Pre-Audit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52" activePane="bottomRight" state="frozen"/>
      <selection pane="topRight" activeCell="B72" sqref="B72"/>
      <selection pane="bottomLeft" activeCell="B72" sqref="B72"/>
      <selection pane="bottomRight" activeCell="I77" sqref="I77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91</v>
      </c>
      <c r="E1" s="6"/>
      <c r="F1" s="6"/>
      <c r="J1" s="6"/>
      <c r="K1" s="6"/>
      <c r="N1" s="3"/>
    </row>
    <row r="2" spans="1:15">
      <c r="B2" s="48" t="s">
        <v>24</v>
      </c>
      <c r="C2" s="48" t="s">
        <v>24</v>
      </c>
      <c r="D2" s="48" t="s">
        <v>24</v>
      </c>
      <c r="E2" s="48" t="s">
        <v>24</v>
      </c>
      <c r="F2" s="48" t="s">
        <v>24</v>
      </c>
      <c r="G2" s="48" t="s">
        <v>24</v>
      </c>
      <c r="H2" s="48" t="s">
        <v>24</v>
      </c>
      <c r="I2" s="48" t="s">
        <v>24</v>
      </c>
      <c r="J2" s="48" t="s">
        <v>24</v>
      </c>
      <c r="K2" s="48" t="s">
        <v>24</v>
      </c>
      <c r="L2" s="48" t="s">
        <v>24</v>
      </c>
      <c r="M2" s="48" t="s">
        <v>24</v>
      </c>
      <c r="N2" s="28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3214307</v>
      </c>
      <c r="K5" s="53">
        <v>3269506</v>
      </c>
      <c r="L5" s="53">
        <v>3081873</v>
      </c>
      <c r="M5" s="53">
        <v>1444717</v>
      </c>
      <c r="N5" s="12">
        <f>SUM(B5:M5)</f>
        <v>36290438</v>
      </c>
      <c r="O5" s="29"/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70594</v>
      </c>
      <c r="K6" s="53">
        <v>572765</v>
      </c>
      <c r="L6" s="53">
        <v>188411</v>
      </c>
      <c r="M6" s="53">
        <v>152051</v>
      </c>
      <c r="N6" s="7">
        <f>SUM(B6:M6)</f>
        <v>1746904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f t="shared" si="0"/>
        <v>3885408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3284901</v>
      </c>
      <c r="K9" s="12">
        <f t="shared" si="0"/>
        <v>3842271</v>
      </c>
      <c r="L9" s="12">
        <f t="shared" si="0"/>
        <v>3270284</v>
      </c>
      <c r="M9" s="12">
        <f t="shared" si="0"/>
        <v>1596768</v>
      </c>
      <c r="N9" s="12">
        <f t="shared" si="0"/>
        <v>38037342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>
        <f>11101-10718</f>
        <v>383</v>
      </c>
      <c r="K11" s="7">
        <v>0</v>
      </c>
      <c r="L11" s="7">
        <f>65790-7577</f>
        <v>58213</v>
      </c>
      <c r="M11" s="7">
        <f>57030-9443</f>
        <v>47587</v>
      </c>
      <c r="N11" s="7">
        <f>SUM(B11:M11)</f>
        <v>134303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3885470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3285284</v>
      </c>
      <c r="K13" s="14">
        <f t="shared" si="1"/>
        <v>3842271</v>
      </c>
      <c r="L13" s="14">
        <f t="shared" si="1"/>
        <v>3328497</v>
      </c>
      <c r="M13" s="14">
        <f t="shared" si="1"/>
        <v>1644355</v>
      </c>
      <c r="N13" s="14">
        <f t="shared" si="1"/>
        <v>38171645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1168366</v>
      </c>
      <c r="K16" s="53">
        <v>1344740</v>
      </c>
      <c r="L16" s="53">
        <v>1147849</v>
      </c>
      <c r="M16" s="53">
        <v>903749</v>
      </c>
      <c r="N16" s="7">
        <f>SUM(B16:M16)</f>
        <v>16443018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1168366</v>
      </c>
      <c r="K20" s="12">
        <f t="shared" si="2"/>
        <v>1344740</v>
      </c>
      <c r="L20" s="12">
        <f t="shared" si="2"/>
        <v>1147849</v>
      </c>
      <c r="M20" s="12">
        <f t="shared" si="2"/>
        <v>903749</v>
      </c>
      <c r="N20" s="12">
        <f t="shared" si="2"/>
        <v>16443018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2045941</v>
      </c>
      <c r="K23" s="7">
        <f t="shared" si="3"/>
        <v>1924766</v>
      </c>
      <c r="L23" s="7">
        <f t="shared" si="3"/>
        <v>1934024</v>
      </c>
      <c r="M23" s="7">
        <f t="shared" si="3"/>
        <v>540968</v>
      </c>
      <c r="N23" s="7">
        <f>SUM(B23:M23)</f>
        <v>19847420</v>
      </c>
      <c r="O23" s="29"/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70594</v>
      </c>
      <c r="K24" s="7">
        <f t="shared" si="3"/>
        <v>572765</v>
      </c>
      <c r="L24" s="7">
        <f t="shared" si="3"/>
        <v>188411</v>
      </c>
      <c r="M24" s="7">
        <f t="shared" si="3"/>
        <v>152051</v>
      </c>
      <c r="N24" s="7">
        <f>SUM(B24:M24)</f>
        <v>1746904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2116535</v>
      </c>
      <c r="K27" s="12">
        <f t="shared" si="4"/>
        <v>2497531</v>
      </c>
      <c r="L27" s="12">
        <f t="shared" si="4"/>
        <v>2122435</v>
      </c>
      <c r="M27" s="12">
        <f>SUM(M23:M26)</f>
        <v>693019</v>
      </c>
      <c r="N27" s="12">
        <f t="shared" si="4"/>
        <v>21594324</v>
      </c>
      <c r="O27" s="29"/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675949</v>
      </c>
      <c r="K30" s="53">
        <v>733042</v>
      </c>
      <c r="L30" s="53">
        <v>638064</v>
      </c>
      <c r="M30" s="53">
        <v>529402</v>
      </c>
      <c r="N30" s="7">
        <f>SUM(B30:M30)</f>
        <v>7433620</v>
      </c>
      <c r="O30" s="29"/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211437</v>
      </c>
      <c r="K31" s="53">
        <v>188816</v>
      </c>
      <c r="L31" s="53">
        <v>104234</v>
      </c>
      <c r="M31" s="53">
        <v>171856</v>
      </c>
      <c r="N31" s="7">
        <f>SUM(B31:M31)</f>
        <v>2317047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887386</v>
      </c>
      <c r="K34" s="12">
        <f t="shared" si="7"/>
        <v>921858</v>
      </c>
      <c r="L34" s="12">
        <f t="shared" si="7"/>
        <v>742298</v>
      </c>
      <c r="M34" s="12">
        <f t="shared" si="7"/>
        <v>701258</v>
      </c>
      <c r="N34" s="12">
        <f t="shared" si="7"/>
        <v>9750667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1481996</v>
      </c>
      <c r="K37" s="53">
        <v>1658913</v>
      </c>
      <c r="L37" s="53">
        <v>1366856.0727674812</v>
      </c>
      <c r="M37" s="53">
        <v>1143424</v>
      </c>
      <c r="N37" s="7">
        <f>SUM(B37:M37)</f>
        <v>16400792.072767481</v>
      </c>
      <c r="O37" s="29"/>
      <c r="P37" s="69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-887386</v>
      </c>
      <c r="K38" s="7">
        <f t="shared" si="8"/>
        <v>-921858</v>
      </c>
      <c r="L38" s="7">
        <f t="shared" si="8"/>
        <v>-742298</v>
      </c>
      <c r="M38" s="7">
        <f t="shared" si="8"/>
        <v>-701258</v>
      </c>
      <c r="N38" s="7">
        <f>SUM(B38:M38)</f>
        <v>-9750667</v>
      </c>
      <c r="O38" s="29"/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-79458</v>
      </c>
      <c r="L39" s="53">
        <v>-81487</v>
      </c>
      <c r="M39" s="53">
        <v>-78772</v>
      </c>
      <c r="N39" s="7">
        <f>SUM(B39:M39)</f>
        <v>-896967.06166666665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-10664</v>
      </c>
      <c r="K41" s="60">
        <v>-10664</v>
      </c>
      <c r="L41" s="60">
        <v>-10664</v>
      </c>
      <c r="M41" s="60">
        <v>117300</v>
      </c>
      <c r="N41" s="15">
        <f>SUM(B41:M41)</f>
        <v>-1.3333333336049691</v>
      </c>
      <c r="O41" s="29"/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501880.93833333341</v>
      </c>
      <c r="K42" s="12">
        <f t="shared" si="9"/>
        <v>646933</v>
      </c>
      <c r="L42" s="12">
        <f t="shared" si="9"/>
        <v>532407.07276748121</v>
      </c>
      <c r="M42" s="12">
        <f t="shared" si="9"/>
        <v>480694</v>
      </c>
      <c r="N42" s="12">
        <f t="shared" si="9"/>
        <v>5753156.6777674807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316356</v>
      </c>
      <c r="K44" s="53">
        <v>355383</v>
      </c>
      <c r="L44" s="53">
        <v>305310</v>
      </c>
      <c r="M44" s="53">
        <v>1390920</v>
      </c>
      <c r="N44" s="12">
        <f>SUM(B44:M44)</f>
        <v>4852242</v>
      </c>
      <c r="O44" s="29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-10000</v>
      </c>
      <c r="K45" s="22">
        <v>-10000</v>
      </c>
      <c r="L45" s="22">
        <v>-10000</v>
      </c>
      <c r="M45" s="22">
        <f>626522-783494-484167-380000</f>
        <v>-1021139</v>
      </c>
      <c r="N45" s="22">
        <f>SUM(B45:M45)</f>
        <v>-1121139</v>
      </c>
      <c r="O45" s="29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306356</v>
      </c>
      <c r="K46" s="12">
        <f t="shared" si="10"/>
        <v>345383</v>
      </c>
      <c r="L46" s="12">
        <f t="shared" si="10"/>
        <v>295310</v>
      </c>
      <c r="M46" s="12">
        <f t="shared" si="10"/>
        <v>369781</v>
      </c>
      <c r="N46" s="12">
        <f t="shared" si="10"/>
        <v>3731103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2863988.9383333335</v>
      </c>
      <c r="K48" s="19">
        <f t="shared" si="11"/>
        <v>3258914</v>
      </c>
      <c r="L48" s="19">
        <f t="shared" si="11"/>
        <v>2717864.0727674812</v>
      </c>
      <c r="M48" s="19">
        <f t="shared" si="11"/>
        <v>2455482</v>
      </c>
      <c r="N48" s="19">
        <f t="shared" si="11"/>
        <v>35677944.677767485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574211.66666666651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421295.06166666653</v>
      </c>
      <c r="K50" s="12">
        <f t="shared" si="12"/>
        <v>583357</v>
      </c>
      <c r="L50" s="12">
        <f t="shared" si="12"/>
        <v>610632.92723251879</v>
      </c>
      <c r="M50" s="12">
        <f t="shared" si="12"/>
        <v>-811127</v>
      </c>
      <c r="N50" s="12">
        <f>SUM(B50:M50)</f>
        <v>2493700.3222325183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28864</v>
      </c>
      <c r="K53" s="10">
        <v>41254.46</v>
      </c>
      <c r="L53" s="10">
        <v>125061</v>
      </c>
      <c r="M53" s="10">
        <f>27221-27608+5000</f>
        <v>4613</v>
      </c>
      <c r="N53" s="10">
        <f>SUM(B53:M53)</f>
        <v>875701.46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>
        <v>0</v>
      </c>
      <c r="M55" s="10">
        <v>0</v>
      </c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-10718</v>
      </c>
      <c r="K56" s="7">
        <v>-8839.67</v>
      </c>
      <c r="L56" s="7">
        <v>-7577</v>
      </c>
      <c r="M56" s="7">
        <f>-367400+47587</f>
        <v>-319813</v>
      </c>
      <c r="N56" s="7">
        <f>SUM(B56:M56)</f>
        <v>-501806.11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-114783</v>
      </c>
      <c r="K57" s="22">
        <v>-108759.15</v>
      </c>
      <c r="L57" s="22">
        <v>-101438</v>
      </c>
      <c r="M57" s="22">
        <v>306925</v>
      </c>
      <c r="N57" s="22">
        <f>SUM(B57:M57)</f>
        <v>-524365.31000000006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-46637</v>
      </c>
      <c r="K58" s="19">
        <f t="shared" si="13"/>
        <v>-26344.36</v>
      </c>
      <c r="L58" s="19">
        <f t="shared" si="13"/>
        <v>16046</v>
      </c>
      <c r="M58" s="19">
        <f t="shared" si="13"/>
        <v>-8275</v>
      </c>
      <c r="N58" s="19">
        <f t="shared" si="13"/>
        <v>142842.03999999992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2817351.9383333335</v>
      </c>
      <c r="K61" s="19">
        <f t="shared" si="14"/>
        <v>3232569.64</v>
      </c>
      <c r="L61" s="19">
        <f t="shared" si="14"/>
        <v>2733910.0727674812</v>
      </c>
      <c r="M61" s="19">
        <f t="shared" si="14"/>
        <v>2447207</v>
      </c>
      <c r="N61" s="19">
        <f t="shared" si="14"/>
        <v>35820786.717767484</v>
      </c>
      <c r="O61" s="29"/>
      <c r="P61" s="25">
        <f>+N61-O61</f>
        <v>35820786.717767484</v>
      </c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223923.66666666651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30">
        <f t="shared" si="15"/>
        <v>467932.06166666653</v>
      </c>
      <c r="K62" s="30">
        <f t="shared" si="15"/>
        <v>609701.35999999987</v>
      </c>
      <c r="L62" s="30">
        <f t="shared" si="15"/>
        <v>594586.92723251879</v>
      </c>
      <c r="M62" s="30">
        <f t="shared" si="15"/>
        <v>-802852</v>
      </c>
      <c r="N62" s="14">
        <f t="shared" si="15"/>
        <v>2350858.2822325155</v>
      </c>
      <c r="O62" s="29"/>
      <c r="P62" s="25">
        <f>+N62-O62</f>
        <v>2350858.2822325155</v>
      </c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752040.66666666581</v>
      </c>
      <c r="F63" s="32">
        <f t="shared" si="16"/>
        <v>668069.28333333298</v>
      </c>
      <c r="G63" s="32">
        <f t="shared" si="16"/>
        <v>827631.95</v>
      </c>
      <c r="H63" s="32">
        <f t="shared" si="16"/>
        <v>866366.26666666637</v>
      </c>
      <c r="I63" s="32">
        <f t="shared" si="16"/>
        <v>1481489.9333333329</v>
      </c>
      <c r="J63" s="32">
        <f t="shared" si="16"/>
        <v>1949421.9949999994</v>
      </c>
      <c r="K63" s="32">
        <f t="shared" si="16"/>
        <v>2559123.3549999995</v>
      </c>
      <c r="L63" s="32">
        <f t="shared" si="16"/>
        <v>3153710.2822325183</v>
      </c>
      <c r="M63" s="32">
        <f t="shared" si="16"/>
        <v>2350858.2822325183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11742535.666666666</v>
      </c>
      <c r="F64" s="12">
        <f t="shared" si="17"/>
        <v>11658564.283333333</v>
      </c>
      <c r="G64" s="12">
        <f t="shared" si="17"/>
        <v>11818126.949999999</v>
      </c>
      <c r="H64" s="12">
        <f t="shared" si="17"/>
        <v>11856861.266666666</v>
      </c>
      <c r="I64" s="12">
        <f t="shared" si="17"/>
        <v>12471984.933333334</v>
      </c>
      <c r="J64" s="12">
        <f t="shared" si="17"/>
        <v>12939916.994999999</v>
      </c>
      <c r="K64" s="12">
        <f t="shared" si="17"/>
        <v>13549618.355</v>
      </c>
      <c r="L64" s="12">
        <f t="shared" si="17"/>
        <v>14144205.282232519</v>
      </c>
      <c r="M64" s="12">
        <f t="shared" si="17"/>
        <v>13341353.282232519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-222069.79458816955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157015.78629565798</v>
      </c>
      <c r="K72" s="16">
        <f t="shared" si="18"/>
        <v>426142.24981030636</v>
      </c>
      <c r="L72" s="16">
        <f t="shared" si="18"/>
        <v>140239.1375311031</v>
      </c>
      <c r="M72" s="16">
        <f t="shared" si="18"/>
        <v>474812.33360203309</v>
      </c>
      <c r="N72" s="6"/>
      <c r="O72" s="6"/>
      <c r="P72" s="16">
        <f>+N62-N67</f>
        <v>2350858.2822325155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-250186.26197246625</v>
      </c>
      <c r="F73" s="16">
        <f t="shared" si="18"/>
        <v>-68408.03825461003</v>
      </c>
      <c r="G73" s="16">
        <f t="shared" si="18"/>
        <v>480857.24398785899</v>
      </c>
      <c r="H73" s="16">
        <f t="shared" si="18"/>
        <v>533952.46902477904</v>
      </c>
      <c r="I73" s="16">
        <f t="shared" si="18"/>
        <v>945195.54022865719</v>
      </c>
      <c r="J73" s="16">
        <f t="shared" si="18"/>
        <v>1102211.3265243152</v>
      </c>
      <c r="K73" s="16">
        <f t="shared" si="18"/>
        <v>1528353.5763346218</v>
      </c>
      <c r="L73" s="16">
        <f t="shared" si="18"/>
        <v>1668592.7138657249</v>
      </c>
      <c r="M73" s="16">
        <f t="shared" si="18"/>
        <v>2143405.0474677579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-250186.26197246648</v>
      </c>
      <c r="F74" s="16">
        <f t="shared" si="18"/>
        <v>-68408.038254609331</v>
      </c>
      <c r="G74" s="16">
        <f t="shared" si="18"/>
        <v>480857.2439878583</v>
      </c>
      <c r="H74" s="16">
        <f t="shared" si="18"/>
        <v>533952.46902477741</v>
      </c>
      <c r="I74" s="16">
        <f t="shared" si="18"/>
        <v>945195.54022865742</v>
      </c>
      <c r="J74" s="16">
        <f t="shared" si="18"/>
        <v>1102211.3265243154</v>
      </c>
      <c r="K74" s="16">
        <f t="shared" si="18"/>
        <v>1528353.5763346218</v>
      </c>
      <c r="L74" s="16">
        <f t="shared" si="18"/>
        <v>1668592.7138657253</v>
      </c>
      <c r="M74" s="16">
        <f t="shared" si="18"/>
        <v>2143405.0474677589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704773</v>
      </c>
      <c r="K84" s="7">
        <f>SUM(B53:K53)</f>
        <v>746027.46</v>
      </c>
      <c r="L84" s="7">
        <f>SUM(B53:L53)</f>
        <v>871088.46</v>
      </c>
      <c r="M84" s="7">
        <f>SUM(B53:M53)</f>
        <v>875701.46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268422</v>
      </c>
      <c r="K85" s="7">
        <f t="shared" si="21"/>
        <v>227167.54000000004</v>
      </c>
      <c r="L85" s="7">
        <f t="shared" si="21"/>
        <v>102106.54000000004</v>
      </c>
      <c r="M85" s="7">
        <f t="shared" si="21"/>
        <v>552493.54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40">
        <f t="shared" si="22"/>
        <v>186829.65</v>
      </c>
      <c r="I87" s="35">
        <f t="shared" si="22"/>
        <v>164812</v>
      </c>
      <c r="J87" s="35">
        <f t="shared" si="22"/>
        <v>125501</v>
      </c>
      <c r="K87" s="40">
        <f t="shared" si="22"/>
        <v>117598.81999999999</v>
      </c>
      <c r="L87" s="35">
        <f t="shared" si="22"/>
        <v>109015</v>
      </c>
      <c r="M87" s="35">
        <f t="shared" si="22"/>
        <v>12888</v>
      </c>
      <c r="N87" s="35">
        <f t="shared" si="22"/>
        <v>1026171.42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>
        <f t="shared" si="23"/>
        <v>496356.6</v>
      </c>
      <c r="I88" s="40">
        <f t="shared" si="23"/>
        <v>661168.6</v>
      </c>
      <c r="J88" s="40">
        <f t="shared" si="23"/>
        <v>786669.6</v>
      </c>
      <c r="K88" s="40">
        <f t="shared" si="23"/>
        <v>904268.41999999993</v>
      </c>
      <c r="L88" s="35">
        <f t="shared" si="23"/>
        <v>1013283.4199999999</v>
      </c>
      <c r="M88" s="35">
        <f t="shared" si="23"/>
        <v>1026171.4199999999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June 2017 Pre-Audit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AR96"/>
  <sheetViews>
    <sheetView showGridLines="0" zoomScale="90" zoomScaleNormal="90" workbookViewId="0">
      <pane xSplit="1" ySplit="3" topLeftCell="B46" activePane="bottomRight" state="frozen"/>
      <selection pane="topRight" activeCell="B72" sqref="B72"/>
      <selection pane="bottomLeft" activeCell="B72" sqref="B72"/>
      <selection pane="bottomRight" activeCell="E71" sqref="E71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92</v>
      </c>
      <c r="E1" s="6"/>
      <c r="F1" s="6"/>
      <c r="J1" s="6"/>
      <c r="K1" s="6"/>
      <c r="N1" s="3"/>
    </row>
    <row r="2" spans="1:15">
      <c r="B2" s="48" t="s">
        <v>76</v>
      </c>
      <c r="C2" s="48" t="s">
        <v>76</v>
      </c>
      <c r="D2" s="48" t="s">
        <v>76</v>
      </c>
      <c r="E2" s="48" t="s">
        <v>76</v>
      </c>
      <c r="F2" s="48" t="s">
        <v>76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77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1073957</v>
      </c>
      <c r="C5" s="53">
        <v>3738585</v>
      </c>
      <c r="D5" s="53">
        <v>5241078</v>
      </c>
      <c r="E5" s="53">
        <v>3796312</v>
      </c>
      <c r="F5" s="53">
        <v>2590434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37311910</v>
      </c>
      <c r="O5" s="29"/>
    </row>
    <row r="6" spans="1:15" s="6" customFormat="1">
      <c r="A6" s="6" t="s">
        <v>29</v>
      </c>
      <c r="B6" s="53">
        <v>48331</v>
      </c>
      <c r="C6" s="53">
        <v>75433</v>
      </c>
      <c r="D6" s="53">
        <v>354577</v>
      </c>
      <c r="E6" s="53">
        <v>106870</v>
      </c>
      <c r="F6" s="53">
        <v>72743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1706351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1122288</v>
      </c>
      <c r="C9" s="12">
        <f t="shared" si="0"/>
        <v>3814018</v>
      </c>
      <c r="D9" s="12">
        <f t="shared" si="0"/>
        <v>5595655</v>
      </c>
      <c r="E9" s="12">
        <f t="shared" si="0"/>
        <v>3903182</v>
      </c>
      <c r="F9" s="12">
        <f t="shared" si="0"/>
        <v>2663177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39018261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0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1122288</v>
      </c>
      <c r="C13" s="14">
        <f>C9+C11</f>
        <v>3814018</v>
      </c>
      <c r="D13" s="14">
        <f t="shared" si="1"/>
        <v>5595655</v>
      </c>
      <c r="E13" s="14">
        <f t="shared" si="1"/>
        <v>3903182</v>
      </c>
      <c r="F13" s="14">
        <f t="shared" si="1"/>
        <v>2663177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39018261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492140</v>
      </c>
      <c r="C16" s="53">
        <v>2188252</v>
      </c>
      <c r="D16" s="53">
        <v>2742467</v>
      </c>
      <c r="E16" s="53">
        <v>1317514</v>
      </c>
      <c r="F16" s="53">
        <v>955424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16984528</v>
      </c>
      <c r="O16" s="29"/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492140</v>
      </c>
      <c r="C20" s="12">
        <f t="shared" si="2"/>
        <v>2188252</v>
      </c>
      <c r="D20" s="12">
        <f t="shared" si="2"/>
        <v>2742467</v>
      </c>
      <c r="E20" s="12">
        <f t="shared" si="2"/>
        <v>1317514</v>
      </c>
      <c r="F20" s="12">
        <f t="shared" si="2"/>
        <v>955424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16984528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581817</v>
      </c>
      <c r="C23" s="7">
        <f t="shared" si="3"/>
        <v>1550333</v>
      </c>
      <c r="D23" s="7">
        <f t="shared" si="3"/>
        <v>2498611</v>
      </c>
      <c r="E23" s="7">
        <f t="shared" si="3"/>
        <v>2478798</v>
      </c>
      <c r="F23" s="7">
        <f t="shared" si="3"/>
        <v>1635010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20327382</v>
      </c>
      <c r="O23" s="29"/>
    </row>
    <row r="24" spans="1:44" s="6" customFormat="1">
      <c r="A24" s="6" t="s">
        <v>37</v>
      </c>
      <c r="B24" s="7">
        <f t="shared" si="3"/>
        <v>48331</v>
      </c>
      <c r="C24" s="7">
        <f t="shared" si="3"/>
        <v>75433</v>
      </c>
      <c r="D24" s="7">
        <f t="shared" si="3"/>
        <v>354577</v>
      </c>
      <c r="E24" s="7">
        <f t="shared" si="3"/>
        <v>106870</v>
      </c>
      <c r="F24" s="7">
        <f t="shared" si="3"/>
        <v>72743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1706351</v>
      </c>
      <c r="O24" s="29"/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630148</v>
      </c>
      <c r="C27" s="12">
        <f t="shared" si="4"/>
        <v>1625766</v>
      </c>
      <c r="D27" s="12">
        <f t="shared" si="4"/>
        <v>2853188</v>
      </c>
      <c r="E27" s="12">
        <f t="shared" si="4"/>
        <v>2585668</v>
      </c>
      <c r="F27" s="12">
        <f t="shared" si="4"/>
        <v>1707753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22033733</v>
      </c>
      <c r="O27" s="29"/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>
      <c r="A30" s="6" t="s">
        <v>93</v>
      </c>
      <c r="B30" s="53">
        <v>533058</v>
      </c>
      <c r="C30" s="53">
        <v>564875</v>
      </c>
      <c r="D30" s="53">
        <v>667038</v>
      </c>
      <c r="E30" s="53">
        <v>779433</v>
      </c>
      <c r="F30" s="53">
        <v>605087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7582164</v>
      </c>
      <c r="O30" s="29"/>
    </row>
    <row r="31" spans="1:44" s="6" customFormat="1">
      <c r="A31" s="6" t="s">
        <v>42</v>
      </c>
      <c r="B31" s="53">
        <v>209856</v>
      </c>
      <c r="C31" s="53">
        <v>192779</v>
      </c>
      <c r="D31" s="53">
        <v>196794</v>
      </c>
      <c r="E31" s="53">
        <v>227112</v>
      </c>
      <c r="F31" s="53">
        <v>192649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2437749</v>
      </c>
      <c r="O31" s="29"/>
    </row>
    <row r="32" spans="1:44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742914</v>
      </c>
      <c r="C34" s="12">
        <f t="shared" si="7"/>
        <v>757654</v>
      </c>
      <c r="D34" s="12">
        <f t="shared" si="7"/>
        <v>863832</v>
      </c>
      <c r="E34" s="12">
        <f t="shared" si="7"/>
        <v>1006545</v>
      </c>
      <c r="F34" s="12">
        <f t="shared" si="7"/>
        <v>797736</v>
      </c>
      <c r="G34" s="12">
        <f t="shared" si="7"/>
        <v>790966</v>
      </c>
      <c r="H34" s="12">
        <f t="shared" si="7"/>
        <v>812563</v>
      </c>
      <c r="I34" s="12">
        <f t="shared" si="7"/>
        <v>883090</v>
      </c>
      <c r="J34" s="12">
        <f t="shared" si="7"/>
        <v>887480</v>
      </c>
      <c r="K34" s="12">
        <f t="shared" si="7"/>
        <v>982392</v>
      </c>
      <c r="L34" s="12">
        <f t="shared" si="7"/>
        <v>837307</v>
      </c>
      <c r="M34" s="12">
        <f t="shared" si="7"/>
        <v>657434</v>
      </c>
      <c r="N34" s="12">
        <f t="shared" si="7"/>
        <v>10019913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1394318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17050997</v>
      </c>
      <c r="O37" s="29"/>
      <c r="P37" s="69"/>
    </row>
    <row r="38" spans="1:44" s="6" customFormat="1">
      <c r="A38" s="6" t="s">
        <v>46</v>
      </c>
      <c r="B38" s="7">
        <f>-B34</f>
        <v>-742914</v>
      </c>
      <c r="C38" s="7">
        <f t="shared" ref="C38:M38" si="8">-C34</f>
        <v>-757654</v>
      </c>
      <c r="D38" s="7">
        <f t="shared" si="8"/>
        <v>-863832</v>
      </c>
      <c r="E38" s="7">
        <f t="shared" si="8"/>
        <v>-1006545</v>
      </c>
      <c r="F38" s="7">
        <f t="shared" si="8"/>
        <v>-797736</v>
      </c>
      <c r="G38" s="7">
        <f t="shared" si="8"/>
        <v>-790966</v>
      </c>
      <c r="H38" s="7">
        <f t="shared" si="8"/>
        <v>-812563</v>
      </c>
      <c r="I38" s="7">
        <f t="shared" si="8"/>
        <v>-883090</v>
      </c>
      <c r="J38" s="7">
        <f t="shared" si="8"/>
        <v>-887480</v>
      </c>
      <c r="K38" s="7">
        <f t="shared" si="8"/>
        <v>-982392</v>
      </c>
      <c r="L38" s="7">
        <f t="shared" si="8"/>
        <v>-837307</v>
      </c>
      <c r="M38" s="7">
        <f t="shared" si="8"/>
        <v>-657434</v>
      </c>
      <c r="N38" s="7">
        <f>SUM(B38:M38)</f>
        <v>-10019913</v>
      </c>
      <c r="O38" s="29"/>
    </row>
    <row r="39" spans="1:44" s="6" customFormat="1">
      <c r="A39" s="6" t="s">
        <v>47</v>
      </c>
      <c r="B39" s="72">
        <v>-78554</v>
      </c>
      <c r="C39" s="72">
        <v>-78293</v>
      </c>
      <c r="D39" s="72">
        <v>-79025</v>
      </c>
      <c r="E39" s="72">
        <v>-81090</v>
      </c>
      <c r="F39" s="72">
        <v>-81090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-1029407</v>
      </c>
      <c r="O39" s="29"/>
    </row>
    <row r="40" spans="1:44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>
      <c r="A41" s="6" t="s">
        <v>48</v>
      </c>
      <c r="B41" s="60">
        <v>-8350</v>
      </c>
      <c r="C41" s="60">
        <v>-8350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-122150</v>
      </c>
      <c r="O41" s="29"/>
    </row>
    <row r="42" spans="1:44" s="6" customFormat="1">
      <c r="A42" s="13" t="s">
        <v>49</v>
      </c>
      <c r="B42" s="12">
        <f t="shared" ref="B42:N42" si="9">SUM(B37:B41)</f>
        <v>338883</v>
      </c>
      <c r="C42" s="12">
        <f t="shared" si="9"/>
        <v>400125</v>
      </c>
      <c r="D42" s="12">
        <f t="shared" si="9"/>
        <v>510300</v>
      </c>
      <c r="E42" s="12">
        <f t="shared" si="9"/>
        <v>694926</v>
      </c>
      <c r="F42" s="12">
        <f t="shared" si="9"/>
        <v>507142</v>
      </c>
      <c r="G42" s="12">
        <f t="shared" si="9"/>
        <v>525982</v>
      </c>
      <c r="H42" s="12">
        <f t="shared" si="9"/>
        <v>364858</v>
      </c>
      <c r="I42" s="12">
        <f t="shared" si="9"/>
        <v>515765</v>
      </c>
      <c r="J42" s="12">
        <f t="shared" si="9"/>
        <v>546707</v>
      </c>
      <c r="K42" s="12">
        <f t="shared" si="9"/>
        <v>502725</v>
      </c>
      <c r="L42" s="12">
        <f t="shared" si="9"/>
        <v>482905</v>
      </c>
      <c r="M42" s="12">
        <f t="shared" si="9"/>
        <v>489209</v>
      </c>
      <c r="N42" s="12">
        <f t="shared" si="9"/>
        <v>5879527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369110</v>
      </c>
      <c r="C44" s="53">
        <v>286330</v>
      </c>
      <c r="D44" s="53">
        <v>341075</v>
      </c>
      <c r="E44" s="53">
        <v>362175</v>
      </c>
      <c r="F44" s="53">
        <v>398914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4424424</v>
      </c>
      <c r="O44" s="29"/>
    </row>
    <row r="45" spans="1:44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369110</v>
      </c>
      <c r="C46" s="12">
        <f>SUM(C44:C45)</f>
        <v>286330</v>
      </c>
      <c r="D46" s="12">
        <f t="shared" ref="D46:N46" si="10">SUM(D44:D45)</f>
        <v>341075</v>
      </c>
      <c r="E46" s="12">
        <f t="shared" si="10"/>
        <v>362175</v>
      </c>
      <c r="F46" s="12">
        <f t="shared" si="10"/>
        <v>398914</v>
      </c>
      <c r="G46" s="12">
        <f t="shared" si="10"/>
        <v>307622</v>
      </c>
      <c r="H46" s="12">
        <f t="shared" si="10"/>
        <v>357356</v>
      </c>
      <c r="I46" s="12">
        <f t="shared" si="10"/>
        <v>287747</v>
      </c>
      <c r="J46" s="12">
        <f t="shared" si="10"/>
        <v>322520</v>
      </c>
      <c r="K46" s="12">
        <f t="shared" si="10"/>
        <v>378879</v>
      </c>
      <c r="L46" s="12">
        <f t="shared" si="10"/>
        <v>307614</v>
      </c>
      <c r="M46" s="12">
        <f t="shared" si="10"/>
        <v>705082</v>
      </c>
      <c r="N46" s="12">
        <f t="shared" si="10"/>
        <v>4424424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1943047</v>
      </c>
      <c r="C48" s="19">
        <f t="shared" si="11"/>
        <v>3632361</v>
      </c>
      <c r="D48" s="19">
        <f t="shared" si="11"/>
        <v>4457674</v>
      </c>
      <c r="E48" s="19">
        <f t="shared" si="11"/>
        <v>3381160</v>
      </c>
      <c r="F48" s="19">
        <f t="shared" si="11"/>
        <v>2659216</v>
      </c>
      <c r="G48" s="19">
        <f t="shared" si="11"/>
        <v>2678842</v>
      </c>
      <c r="H48" s="19">
        <f t="shared" si="11"/>
        <v>3875919</v>
      </c>
      <c r="I48" s="19">
        <f t="shared" si="11"/>
        <v>3297946</v>
      </c>
      <c r="J48" s="19">
        <f t="shared" si="11"/>
        <v>2972629</v>
      </c>
      <c r="K48" s="19">
        <f t="shared" si="11"/>
        <v>2954465</v>
      </c>
      <c r="L48" s="19">
        <f t="shared" si="11"/>
        <v>2753952</v>
      </c>
      <c r="M48" s="19">
        <f t="shared" si="11"/>
        <v>2701181</v>
      </c>
      <c r="N48" s="19">
        <f t="shared" si="11"/>
        <v>37308392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-820759</v>
      </c>
      <c r="C50" s="12">
        <f t="shared" si="12"/>
        <v>181657</v>
      </c>
      <c r="D50" s="12">
        <f t="shared" si="12"/>
        <v>1137981</v>
      </c>
      <c r="E50" s="12">
        <f t="shared" si="12"/>
        <v>522022</v>
      </c>
      <c r="F50" s="12">
        <f t="shared" si="12"/>
        <v>3961</v>
      </c>
      <c r="G50" s="12">
        <f t="shared" si="12"/>
        <v>179136</v>
      </c>
      <c r="H50" s="12">
        <f t="shared" si="12"/>
        <v>-35780</v>
      </c>
      <c r="I50" s="12">
        <f t="shared" si="12"/>
        <v>543790</v>
      </c>
      <c r="J50" s="12">
        <f t="shared" si="12"/>
        <v>591969</v>
      </c>
      <c r="K50" s="12">
        <f t="shared" si="12"/>
        <v>133861</v>
      </c>
      <c r="L50" s="12">
        <f t="shared" si="12"/>
        <v>394367</v>
      </c>
      <c r="M50" s="12">
        <f t="shared" si="12"/>
        <v>-1122336</v>
      </c>
      <c r="N50" s="12">
        <f>SUM(B50:M50)</f>
        <v>1709869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51">
        <v>185000</v>
      </c>
      <c r="C53" s="51">
        <v>53500</v>
      </c>
      <c r="D53" s="51">
        <v>0</v>
      </c>
      <c r="E53" s="51">
        <v>171500</v>
      </c>
      <c r="F53" s="51">
        <v>137500</v>
      </c>
      <c r="G53" s="51">
        <v>120200</v>
      </c>
      <c r="H53" s="52">
        <v>116000</v>
      </c>
      <c r="I53" s="51">
        <v>265000</v>
      </c>
      <c r="J53" s="51">
        <v>0</v>
      </c>
      <c r="K53" s="51">
        <v>192250</v>
      </c>
      <c r="L53" s="51">
        <v>243000</v>
      </c>
      <c r="M53" s="51">
        <v>275000</v>
      </c>
      <c r="N53" s="51">
        <f>SUM(B53:M53)</f>
        <v>1758950</v>
      </c>
      <c r="P53" s="40"/>
    </row>
    <row r="54" spans="1:17" s="6" customFormat="1">
      <c r="A54" s="6" t="s">
        <v>56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57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0</v>
      </c>
      <c r="P55" s="7"/>
    </row>
    <row r="56" spans="1:17" s="6" customFormat="1">
      <c r="A56" s="37" t="s">
        <v>58</v>
      </c>
      <c r="B56" s="7">
        <v>-12500</v>
      </c>
      <c r="C56" s="7">
        <v>-12500</v>
      </c>
      <c r="D56" s="7">
        <v>-12500</v>
      </c>
      <c r="E56" s="7">
        <v>-12500</v>
      </c>
      <c r="F56" s="7">
        <v>-12500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-150000</v>
      </c>
      <c r="P56" s="56"/>
    </row>
    <row r="57" spans="1:17" s="6" customFormat="1">
      <c r="A57" s="6" t="s">
        <v>59</v>
      </c>
      <c r="B57" s="22">
        <v>-25000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-300000</v>
      </c>
      <c r="P57" s="7"/>
    </row>
    <row r="58" spans="1:17" s="6" customFormat="1">
      <c r="A58" s="13" t="s">
        <v>60</v>
      </c>
      <c r="B58" s="19">
        <f t="shared" ref="B58:N58" si="13">SUM(B53:B57)</f>
        <v>147500</v>
      </c>
      <c r="C58" s="19">
        <f t="shared" si="13"/>
        <v>16000</v>
      </c>
      <c r="D58" s="19">
        <f t="shared" si="13"/>
        <v>-37500</v>
      </c>
      <c r="E58" s="19">
        <f t="shared" si="13"/>
        <v>134000</v>
      </c>
      <c r="F58" s="19">
        <f t="shared" si="13"/>
        <v>195000</v>
      </c>
      <c r="G58" s="19">
        <f t="shared" si="13"/>
        <v>82700</v>
      </c>
      <c r="H58" s="19">
        <f>SUM(H53:H57)</f>
        <v>78500</v>
      </c>
      <c r="I58" s="19">
        <f t="shared" si="13"/>
        <v>227500</v>
      </c>
      <c r="J58" s="19">
        <f t="shared" si="13"/>
        <v>-37500</v>
      </c>
      <c r="K58" s="19">
        <f t="shared" si="13"/>
        <v>154750</v>
      </c>
      <c r="L58" s="19">
        <f t="shared" si="13"/>
        <v>205500</v>
      </c>
      <c r="M58" s="19">
        <f t="shared" si="13"/>
        <v>237500</v>
      </c>
      <c r="N58" s="19">
        <f t="shared" si="13"/>
        <v>1403950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44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2090547</v>
      </c>
      <c r="C61" s="19">
        <f t="shared" si="14"/>
        <v>3648361</v>
      </c>
      <c r="D61" s="19">
        <f t="shared" si="14"/>
        <v>4420174</v>
      </c>
      <c r="E61" s="19">
        <f t="shared" si="14"/>
        <v>3515160</v>
      </c>
      <c r="F61" s="19">
        <f t="shared" si="14"/>
        <v>2854216</v>
      </c>
      <c r="G61" s="19">
        <f t="shared" si="14"/>
        <v>2761542</v>
      </c>
      <c r="H61" s="19">
        <f t="shared" si="14"/>
        <v>3954419</v>
      </c>
      <c r="I61" s="19">
        <f t="shared" si="14"/>
        <v>3525446</v>
      </c>
      <c r="J61" s="19">
        <f t="shared" si="14"/>
        <v>2935129</v>
      </c>
      <c r="K61" s="19">
        <f t="shared" si="14"/>
        <v>3109215</v>
      </c>
      <c r="L61" s="19">
        <f t="shared" si="14"/>
        <v>2959452</v>
      </c>
      <c r="M61" s="19">
        <f t="shared" si="14"/>
        <v>2938681</v>
      </c>
      <c r="N61" s="19">
        <f t="shared" si="14"/>
        <v>38712342</v>
      </c>
      <c r="O61" s="29"/>
      <c r="P61" s="25">
        <f>+N61-O61</f>
        <v>38712342</v>
      </c>
    </row>
    <row r="62" spans="1:17" ht="13.5" thickBot="1">
      <c r="A62" s="13" t="s">
        <v>63</v>
      </c>
      <c r="B62" s="30">
        <f t="shared" ref="B62:N62" si="15">+B13-B61</f>
        <v>-968259</v>
      </c>
      <c r="C62" s="30">
        <f t="shared" si="15"/>
        <v>165657</v>
      </c>
      <c r="D62" s="30">
        <f t="shared" si="15"/>
        <v>1175481</v>
      </c>
      <c r="E62" s="30">
        <f t="shared" si="15"/>
        <v>388022</v>
      </c>
      <c r="F62" s="30">
        <f t="shared" si="15"/>
        <v>-191039</v>
      </c>
      <c r="G62" s="30">
        <f t="shared" si="15"/>
        <v>96436</v>
      </c>
      <c r="H62" s="30">
        <f t="shared" si="15"/>
        <v>-114280</v>
      </c>
      <c r="I62" s="30">
        <f t="shared" si="15"/>
        <v>316290</v>
      </c>
      <c r="J62" s="30">
        <f t="shared" si="15"/>
        <v>629469</v>
      </c>
      <c r="K62" s="30">
        <f t="shared" si="15"/>
        <v>-20889</v>
      </c>
      <c r="L62" s="30">
        <f t="shared" si="15"/>
        <v>188867</v>
      </c>
      <c r="M62" s="30">
        <f t="shared" si="15"/>
        <v>-1359836</v>
      </c>
      <c r="N62" s="14">
        <f t="shared" si="15"/>
        <v>305919</v>
      </c>
      <c r="O62" s="29"/>
      <c r="P62" s="25">
        <f>+N62-O62</f>
        <v>305919</v>
      </c>
    </row>
    <row r="63" spans="1:17" s="6" customFormat="1" ht="13.5" thickTop="1">
      <c r="A63" s="13" t="s">
        <v>64</v>
      </c>
      <c r="B63" s="32">
        <f>+B62</f>
        <v>-968259</v>
      </c>
      <c r="C63" s="32">
        <f t="shared" ref="C63:M63" si="16">B63+C62</f>
        <v>-802602</v>
      </c>
      <c r="D63" s="32">
        <f t="shared" si="16"/>
        <v>372879</v>
      </c>
      <c r="E63" s="32">
        <f t="shared" si="16"/>
        <v>760901</v>
      </c>
      <c r="F63" s="32">
        <f t="shared" si="16"/>
        <v>569862</v>
      </c>
      <c r="G63" s="32">
        <f t="shared" si="16"/>
        <v>666298</v>
      </c>
      <c r="H63" s="32">
        <f t="shared" si="16"/>
        <v>552018</v>
      </c>
      <c r="I63" s="32">
        <f t="shared" si="16"/>
        <v>868308</v>
      </c>
      <c r="J63" s="32">
        <f t="shared" si="16"/>
        <v>1497777</v>
      </c>
      <c r="K63" s="32">
        <f t="shared" si="16"/>
        <v>1476888</v>
      </c>
      <c r="L63" s="32">
        <f t="shared" si="16"/>
        <v>1665755</v>
      </c>
      <c r="M63" s="32">
        <f t="shared" si="16"/>
        <v>305919</v>
      </c>
      <c r="N63" s="12"/>
    </row>
    <row r="64" spans="1:17">
      <c r="A64" s="13" t="s">
        <v>65</v>
      </c>
      <c r="B64" s="12">
        <f t="shared" ref="B64:M64" si="17">+$B$60+B63</f>
        <v>12404764</v>
      </c>
      <c r="C64" s="12">
        <f t="shared" si="17"/>
        <v>12570421</v>
      </c>
      <c r="D64" s="12">
        <f t="shared" si="17"/>
        <v>13745902</v>
      </c>
      <c r="E64" s="12">
        <f t="shared" si="17"/>
        <v>14133924</v>
      </c>
      <c r="F64" s="12">
        <f t="shared" si="17"/>
        <v>13942885</v>
      </c>
      <c r="G64" s="12">
        <f t="shared" si="17"/>
        <v>14039321</v>
      </c>
      <c r="H64" s="12">
        <f t="shared" si="17"/>
        <v>13925041</v>
      </c>
      <c r="I64" s="12">
        <f t="shared" si="17"/>
        <v>14241331</v>
      </c>
      <c r="J64" s="12">
        <f t="shared" si="17"/>
        <v>14870800</v>
      </c>
      <c r="K64" s="12">
        <f t="shared" si="17"/>
        <v>14849911</v>
      </c>
      <c r="L64" s="12">
        <f t="shared" si="17"/>
        <v>15038778</v>
      </c>
      <c r="M64" s="12">
        <f t="shared" si="17"/>
        <v>13678942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-968259</v>
      </c>
      <c r="C67" s="30">
        <v>165657</v>
      </c>
      <c r="D67" s="30">
        <v>1175481</v>
      </c>
      <c r="E67" s="30">
        <v>388022</v>
      </c>
      <c r="F67" s="30">
        <v>-191039</v>
      </c>
      <c r="G67" s="30">
        <v>96436</v>
      </c>
      <c r="H67" s="30">
        <v>-114280</v>
      </c>
      <c r="I67" s="30">
        <v>316290</v>
      </c>
      <c r="J67" s="30">
        <v>629469</v>
      </c>
      <c r="K67" s="30">
        <v>-20889</v>
      </c>
      <c r="L67" s="30">
        <v>188867</v>
      </c>
      <c r="M67" s="30">
        <v>-1359836</v>
      </c>
      <c r="N67" s="16"/>
      <c r="O67" s="6"/>
    </row>
    <row r="68" spans="1:16" ht="13.5" thickTop="1">
      <c r="A68" s="13" t="s">
        <v>64</v>
      </c>
      <c r="B68" s="32">
        <f>+B67</f>
        <v>-968259</v>
      </c>
      <c r="C68" s="32">
        <f>+B68+C67</f>
        <v>-802602</v>
      </c>
      <c r="D68" s="32">
        <f t="shared" ref="D68:M68" si="18">+C68+D67</f>
        <v>372879</v>
      </c>
      <c r="E68" s="32">
        <f t="shared" si="18"/>
        <v>760901</v>
      </c>
      <c r="F68" s="32">
        <f t="shared" si="18"/>
        <v>569862</v>
      </c>
      <c r="G68" s="32">
        <f t="shared" si="18"/>
        <v>666298</v>
      </c>
      <c r="H68" s="32">
        <f t="shared" si="18"/>
        <v>552018</v>
      </c>
      <c r="I68" s="32">
        <f t="shared" si="18"/>
        <v>868308</v>
      </c>
      <c r="J68" s="32">
        <f t="shared" si="18"/>
        <v>1497777</v>
      </c>
      <c r="K68" s="32">
        <f t="shared" si="18"/>
        <v>1476888</v>
      </c>
      <c r="L68" s="32">
        <f t="shared" si="18"/>
        <v>1665755</v>
      </c>
      <c r="M68" s="32">
        <f t="shared" si="18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9">+B62-B67</f>
        <v>0</v>
      </c>
      <c r="C72" s="16">
        <f t="shared" si="19"/>
        <v>0</v>
      </c>
      <c r="D72" s="16">
        <f t="shared" si="19"/>
        <v>0</v>
      </c>
      <c r="E72" s="16">
        <f t="shared" si="19"/>
        <v>0</v>
      </c>
      <c r="F72" s="16">
        <f t="shared" si="19"/>
        <v>0</v>
      </c>
      <c r="G72" s="16">
        <f t="shared" si="19"/>
        <v>0</v>
      </c>
      <c r="H72" s="16">
        <f t="shared" si="19"/>
        <v>0</v>
      </c>
      <c r="I72" s="16">
        <f t="shared" si="19"/>
        <v>0</v>
      </c>
      <c r="J72" s="16">
        <f t="shared" si="19"/>
        <v>0</v>
      </c>
      <c r="K72" s="16">
        <f t="shared" si="19"/>
        <v>0</v>
      </c>
      <c r="L72" s="16">
        <f t="shared" si="19"/>
        <v>0</v>
      </c>
      <c r="M72" s="16">
        <f t="shared" si="19"/>
        <v>0</v>
      </c>
      <c r="N72" s="6"/>
      <c r="O72" s="6"/>
      <c r="P72" s="16">
        <f>+N62-N67</f>
        <v>305919</v>
      </c>
    </row>
    <row r="73" spans="1:16" s="6" customFormat="1">
      <c r="A73" s="13" t="s">
        <v>64</v>
      </c>
      <c r="B73" s="16">
        <f t="shared" si="19"/>
        <v>0</v>
      </c>
      <c r="C73" s="16">
        <f t="shared" si="19"/>
        <v>0</v>
      </c>
      <c r="D73" s="16">
        <f t="shared" si="19"/>
        <v>0</v>
      </c>
      <c r="E73" s="16">
        <f t="shared" si="19"/>
        <v>0</v>
      </c>
      <c r="F73" s="16">
        <f t="shared" si="19"/>
        <v>0</v>
      </c>
      <c r="G73" s="16">
        <f t="shared" si="19"/>
        <v>0</v>
      </c>
      <c r="H73" s="16">
        <f t="shared" si="19"/>
        <v>0</v>
      </c>
      <c r="I73" s="16">
        <f t="shared" si="19"/>
        <v>0</v>
      </c>
      <c r="J73" s="16">
        <f t="shared" si="19"/>
        <v>0</v>
      </c>
      <c r="K73" s="16">
        <f t="shared" si="19"/>
        <v>0</v>
      </c>
      <c r="L73" s="16">
        <f t="shared" si="19"/>
        <v>0</v>
      </c>
      <c r="M73" s="16">
        <f t="shared" si="19"/>
        <v>0</v>
      </c>
      <c r="N73" s="16">
        <f t="shared" si="19"/>
        <v>0</v>
      </c>
    </row>
    <row r="74" spans="1:16">
      <c r="A74" s="1" t="s">
        <v>65</v>
      </c>
      <c r="B74" s="16">
        <f t="shared" si="19"/>
        <v>2337976.1993004195</v>
      </c>
      <c r="C74" s="16">
        <f t="shared" si="19"/>
        <v>2095535.1728795301</v>
      </c>
      <c r="D74" s="16">
        <f t="shared" si="19"/>
        <v>2199173.5326157045</v>
      </c>
      <c r="E74" s="16">
        <f t="shared" si="19"/>
        <v>2141202.0713608675</v>
      </c>
      <c r="F74" s="16">
        <f t="shared" si="19"/>
        <v>2215912.6784120575</v>
      </c>
      <c r="G74" s="16">
        <f t="shared" si="19"/>
        <v>2702051.293987859</v>
      </c>
      <c r="H74" s="16">
        <f t="shared" si="19"/>
        <v>2602132.2023581117</v>
      </c>
      <c r="I74" s="16">
        <f t="shared" si="19"/>
        <v>2714541.6068953238</v>
      </c>
      <c r="J74" s="16">
        <f t="shared" si="19"/>
        <v>3033094.3315243162</v>
      </c>
      <c r="K74" s="16">
        <f t="shared" si="19"/>
        <v>2828646.2213346213</v>
      </c>
      <c r="L74" s="16">
        <f t="shared" si="19"/>
        <v>2563165.4316332061</v>
      </c>
      <c r="M74" s="16">
        <f t="shared" si="19"/>
        <v>2480993.7652352396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0">+C83+D82</f>
        <v>82000</v>
      </c>
      <c r="E83" s="7">
        <f t="shared" si="20"/>
        <v>126355</v>
      </c>
      <c r="F83" s="2">
        <f t="shared" si="20"/>
        <v>313195</v>
      </c>
      <c r="G83" s="7">
        <f t="shared" si="20"/>
        <v>515195</v>
      </c>
      <c r="H83" s="2">
        <f t="shared" si="20"/>
        <v>712195</v>
      </c>
      <c r="I83" s="2">
        <f t="shared" si="20"/>
        <v>854195</v>
      </c>
      <c r="J83" s="7">
        <f t="shared" si="20"/>
        <v>973195</v>
      </c>
      <c r="K83" s="2">
        <f t="shared" si="20"/>
        <v>973195</v>
      </c>
      <c r="L83" s="2">
        <f t="shared" si="20"/>
        <v>973195</v>
      </c>
      <c r="M83" s="2">
        <f t="shared" si="20"/>
        <v>1428195</v>
      </c>
    </row>
    <row r="84" spans="1:14">
      <c r="A84" s="33" t="s">
        <v>72</v>
      </c>
      <c r="B84" s="7">
        <f>+B53</f>
        <v>185000</v>
      </c>
      <c r="C84" s="7">
        <f>SUM($B53:C53)</f>
        <v>238500</v>
      </c>
      <c r="D84" s="7">
        <f>SUM($B53:D53)</f>
        <v>238500</v>
      </c>
      <c r="E84" s="7">
        <f>SUM($B53:E53)</f>
        <v>410000</v>
      </c>
      <c r="F84" s="7">
        <f>SUM($B53:F53)</f>
        <v>547500</v>
      </c>
      <c r="G84" s="7">
        <f>SUM($B53:G53)</f>
        <v>667700</v>
      </c>
      <c r="H84" s="7">
        <f>SUM(B53:H53)</f>
        <v>783700</v>
      </c>
      <c r="I84" s="7">
        <f>SUM(B53:I53)</f>
        <v>1048700</v>
      </c>
      <c r="J84" s="7">
        <f>SUM(B53:J53)</f>
        <v>1048700</v>
      </c>
      <c r="K84" s="7">
        <f>SUM(B53:K53)</f>
        <v>1240950</v>
      </c>
      <c r="L84" s="7">
        <f>SUM(B53:L53)</f>
        <v>1483950</v>
      </c>
      <c r="M84" s="7">
        <f>SUM(B53:M53)</f>
        <v>1758950</v>
      </c>
    </row>
    <row r="85" spans="1:14">
      <c r="A85" s="33" t="s">
        <v>73</v>
      </c>
      <c r="B85" s="7">
        <f t="shared" ref="B85:G85" si="21">+B83-B84</f>
        <v>-133000</v>
      </c>
      <c r="C85" s="7">
        <f t="shared" si="21"/>
        <v>-166500</v>
      </c>
      <c r="D85" s="7">
        <f t="shared" si="21"/>
        <v>-156500</v>
      </c>
      <c r="E85" s="7">
        <f t="shared" si="21"/>
        <v>-283645</v>
      </c>
      <c r="F85" s="7">
        <f t="shared" si="21"/>
        <v>-234305</v>
      </c>
      <c r="G85" s="7">
        <f t="shared" si="21"/>
        <v>-152505</v>
      </c>
      <c r="H85" s="7">
        <f t="shared" ref="H85:M85" si="22">+H83-H84</f>
        <v>-71505</v>
      </c>
      <c r="I85" s="7">
        <f t="shared" si="22"/>
        <v>-194505</v>
      </c>
      <c r="J85" s="7">
        <f t="shared" si="22"/>
        <v>-75505</v>
      </c>
      <c r="K85" s="7">
        <f t="shared" si="22"/>
        <v>-267755</v>
      </c>
      <c r="L85" s="7">
        <f t="shared" si="22"/>
        <v>-510755</v>
      </c>
      <c r="M85" s="7">
        <f t="shared" si="22"/>
        <v>-330755</v>
      </c>
    </row>
    <row r="86" spans="1:14">
      <c r="J86" s="6"/>
      <c r="K86" s="6"/>
    </row>
    <row r="87" spans="1:14">
      <c r="A87" t="s">
        <v>74</v>
      </c>
      <c r="B87" s="35">
        <f>-B56-B57</f>
        <v>37500</v>
      </c>
      <c r="C87" s="35">
        <f t="shared" ref="C87:N87" si="23">-C56-C57</f>
        <v>37500</v>
      </c>
      <c r="D87" s="35">
        <f t="shared" si="23"/>
        <v>37500</v>
      </c>
      <c r="E87" s="35">
        <f t="shared" si="23"/>
        <v>37500</v>
      </c>
      <c r="F87" s="35">
        <f t="shared" si="23"/>
        <v>37500</v>
      </c>
      <c r="G87" s="40">
        <f t="shared" si="23"/>
        <v>37500</v>
      </c>
      <c r="H87" s="40">
        <f t="shared" si="23"/>
        <v>37500</v>
      </c>
      <c r="I87" s="35">
        <f t="shared" si="23"/>
        <v>37500</v>
      </c>
      <c r="J87" s="35">
        <f t="shared" si="23"/>
        <v>37500</v>
      </c>
      <c r="K87" s="40">
        <f t="shared" si="23"/>
        <v>37500</v>
      </c>
      <c r="L87" s="35">
        <f t="shared" si="23"/>
        <v>37500</v>
      </c>
      <c r="M87" s="35">
        <f t="shared" si="23"/>
        <v>37500</v>
      </c>
      <c r="N87" s="35">
        <f t="shared" si="23"/>
        <v>450000</v>
      </c>
    </row>
    <row r="88" spans="1:14">
      <c r="C88" s="35">
        <f>+B87+C87</f>
        <v>75000</v>
      </c>
      <c r="D88" s="35">
        <f>+C88+D87</f>
        <v>112500</v>
      </c>
      <c r="E88" s="35">
        <f t="shared" ref="E88:M88" si="24">+D88+E87</f>
        <v>150000</v>
      </c>
      <c r="F88" s="35">
        <f t="shared" si="24"/>
        <v>187500</v>
      </c>
      <c r="G88" s="40">
        <f t="shared" si="24"/>
        <v>225000</v>
      </c>
      <c r="H88" s="35">
        <f t="shared" si="24"/>
        <v>262500</v>
      </c>
      <c r="I88" s="40">
        <f t="shared" si="24"/>
        <v>300000</v>
      </c>
      <c r="J88" s="40">
        <f t="shared" si="24"/>
        <v>337500</v>
      </c>
      <c r="K88" s="40">
        <f t="shared" si="24"/>
        <v>375000</v>
      </c>
      <c r="L88" s="35">
        <f t="shared" si="24"/>
        <v>412500</v>
      </c>
      <c r="M88" s="35">
        <f t="shared" si="24"/>
        <v>450000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5">+C92*-1</f>
        <v>-78293</v>
      </c>
      <c r="D93" s="6">
        <f t="shared" si="25"/>
        <v>-79025</v>
      </c>
      <c r="E93" s="6">
        <f t="shared" si="25"/>
        <v>-81090</v>
      </c>
      <c r="F93" s="6">
        <f t="shared" si="25"/>
        <v>-81090</v>
      </c>
      <c r="G93" s="6">
        <f t="shared" si="25"/>
        <v>-81079</v>
      </c>
      <c r="H93" s="6">
        <f t="shared" si="25"/>
        <v>-89229</v>
      </c>
      <c r="I93" s="6">
        <f t="shared" si="25"/>
        <v>-88964</v>
      </c>
      <c r="J93" s="6">
        <f t="shared" si="25"/>
        <v>-88964</v>
      </c>
      <c r="K93" s="6">
        <f t="shared" si="25"/>
        <v>-88563</v>
      </c>
      <c r="L93" s="6">
        <f t="shared" si="25"/>
        <v>-97279</v>
      </c>
      <c r="M93" s="6">
        <f t="shared" si="25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1" orientation="landscape" r:id="rId1"/>
  <headerFooter alignWithMargins="0">
    <oddHeader xml:space="preserve">&amp;C&amp;"Arial,Bold"&amp;11 49ER SHOPS, INC.
&amp;UFY2016/2017 OPERATIONAL CASH FLOW </oddHeader>
    <oddFooter>&amp;CCash Flow - FY2016/2017
June 2017 Pre-Audit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AR96"/>
  <sheetViews>
    <sheetView showGridLines="0" zoomScaleNormal="100" workbookViewId="0">
      <pane xSplit="1" ySplit="3" topLeftCell="B52" activePane="bottomRight" state="frozen"/>
      <selection pane="topRight" activeCell="B72" sqref="B72"/>
      <selection pane="bottomLeft" activeCell="B72" sqref="B72"/>
      <selection pane="bottomRight" activeCell="C56" sqref="C56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95</v>
      </c>
      <c r="E1" s="6"/>
      <c r="F1" s="6"/>
      <c r="J1" s="6"/>
      <c r="K1" s="6"/>
      <c r="N1" s="3"/>
    </row>
    <row r="2" spans="1:15">
      <c r="B2" s="45" t="s">
        <v>24</v>
      </c>
      <c r="C2" s="48" t="s">
        <v>76</v>
      </c>
      <c r="D2" s="48" t="s">
        <v>76</v>
      </c>
      <c r="E2" s="48" t="s">
        <v>76</v>
      </c>
      <c r="F2" s="48" t="s">
        <v>76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3738585</v>
      </c>
      <c r="D5" s="53">
        <v>5241078</v>
      </c>
      <c r="E5" s="53">
        <v>3796312</v>
      </c>
      <c r="F5" s="53">
        <v>2590434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37339989</v>
      </c>
      <c r="O5" s="29"/>
    </row>
    <row r="6" spans="1:15" s="6" customFormat="1" hidden="1">
      <c r="A6" s="6" t="s">
        <v>29</v>
      </c>
      <c r="B6" s="53">
        <v>70448</v>
      </c>
      <c r="C6" s="53">
        <v>75433</v>
      </c>
      <c r="D6" s="53">
        <v>354577</v>
      </c>
      <c r="E6" s="53">
        <v>106870</v>
      </c>
      <c r="F6" s="53">
        <v>72743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1728468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3814018</v>
      </c>
      <c r="D9" s="12">
        <f t="shared" si="0"/>
        <v>5595655</v>
      </c>
      <c r="E9" s="12">
        <f t="shared" si="0"/>
        <v>3903182</v>
      </c>
      <c r="F9" s="12">
        <f t="shared" si="0"/>
        <v>2663177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39068457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87140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3814018</v>
      </c>
      <c r="D13" s="14">
        <f t="shared" si="1"/>
        <v>5595655</v>
      </c>
      <c r="E13" s="14">
        <f t="shared" si="1"/>
        <v>3903182</v>
      </c>
      <c r="F13" s="14">
        <f t="shared" si="1"/>
        <v>2663177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39155597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2188252</v>
      </c>
      <c r="D16" s="53">
        <v>2742467</v>
      </c>
      <c r="E16" s="53">
        <v>1317514</v>
      </c>
      <c r="F16" s="53">
        <v>955424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16936863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2188252</v>
      </c>
      <c r="D20" s="12">
        <f t="shared" si="2"/>
        <v>2742467</v>
      </c>
      <c r="E20" s="12">
        <f t="shared" si="2"/>
        <v>1317514</v>
      </c>
      <c r="F20" s="12">
        <f t="shared" si="2"/>
        <v>955424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16936863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1550333</v>
      </c>
      <c r="D23" s="7">
        <f t="shared" si="3"/>
        <v>2498611</v>
      </c>
      <c r="E23" s="7">
        <f t="shared" si="3"/>
        <v>2478798</v>
      </c>
      <c r="F23" s="7">
        <f t="shared" si="3"/>
        <v>1635010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20403126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75433</v>
      </c>
      <c r="D24" s="7">
        <f t="shared" si="3"/>
        <v>354577</v>
      </c>
      <c r="E24" s="7">
        <f t="shared" si="3"/>
        <v>106870</v>
      </c>
      <c r="F24" s="7">
        <f t="shared" si="3"/>
        <v>72743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1728468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1625766</v>
      </c>
      <c r="D27" s="12">
        <f t="shared" si="4"/>
        <v>2853188</v>
      </c>
      <c r="E27" s="12">
        <f t="shared" si="4"/>
        <v>2585668</v>
      </c>
      <c r="F27" s="12">
        <f t="shared" si="4"/>
        <v>1707753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22131594</v>
      </c>
      <c r="O27" s="29"/>
    </row>
    <row r="28" spans="1:44" s="6" customFormat="1" ht="14.45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564875</v>
      </c>
      <c r="D30" s="53">
        <v>667038</v>
      </c>
      <c r="E30" s="53">
        <v>779433</v>
      </c>
      <c r="F30" s="53">
        <v>605087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7464885</v>
      </c>
      <c r="O30" s="29"/>
    </row>
    <row r="31" spans="1:44" s="6" customFormat="1" hidden="1">
      <c r="A31" s="6" t="s">
        <v>42</v>
      </c>
      <c r="B31" s="53">
        <v>245383</v>
      </c>
      <c r="C31" s="53">
        <v>192779</v>
      </c>
      <c r="D31" s="53">
        <v>196794</v>
      </c>
      <c r="E31" s="53">
        <v>227112</v>
      </c>
      <c r="F31" s="53">
        <v>192649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2473276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661162</v>
      </c>
      <c r="C34" s="12">
        <f t="shared" si="7"/>
        <v>757654</v>
      </c>
      <c r="D34" s="12">
        <f t="shared" si="7"/>
        <v>863832</v>
      </c>
      <c r="E34" s="12">
        <f t="shared" si="7"/>
        <v>1006545</v>
      </c>
      <c r="F34" s="12">
        <f t="shared" si="7"/>
        <v>797736</v>
      </c>
      <c r="G34" s="12">
        <f t="shared" si="7"/>
        <v>790966</v>
      </c>
      <c r="H34" s="12">
        <f t="shared" si="7"/>
        <v>812563</v>
      </c>
      <c r="I34" s="12">
        <f t="shared" si="7"/>
        <v>883090</v>
      </c>
      <c r="J34" s="12">
        <f t="shared" si="7"/>
        <v>887480</v>
      </c>
      <c r="K34" s="12">
        <f t="shared" si="7"/>
        <v>982392</v>
      </c>
      <c r="L34" s="12">
        <f t="shared" si="7"/>
        <v>837307</v>
      </c>
      <c r="M34" s="12">
        <f t="shared" si="7"/>
        <v>657434</v>
      </c>
      <c r="N34" s="12">
        <f t="shared" si="7"/>
        <v>9938161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1394318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17050997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8">-C34</f>
        <v>-757654</v>
      </c>
      <c r="D38" s="7">
        <f t="shared" si="8"/>
        <v>-863832</v>
      </c>
      <c r="E38" s="7">
        <f t="shared" si="8"/>
        <v>-1006545</v>
      </c>
      <c r="F38" s="7">
        <f t="shared" si="8"/>
        <v>-797736</v>
      </c>
      <c r="G38" s="7">
        <f t="shared" si="8"/>
        <v>-790966</v>
      </c>
      <c r="H38" s="7">
        <f t="shared" si="8"/>
        <v>-812563</v>
      </c>
      <c r="I38" s="7">
        <f t="shared" si="8"/>
        <v>-883090</v>
      </c>
      <c r="J38" s="7">
        <f t="shared" si="8"/>
        <v>-887480</v>
      </c>
      <c r="K38" s="7">
        <f t="shared" si="8"/>
        <v>-982392</v>
      </c>
      <c r="L38" s="7">
        <f t="shared" si="8"/>
        <v>-837307</v>
      </c>
      <c r="M38" s="7">
        <f t="shared" si="8"/>
        <v>-657434</v>
      </c>
      <c r="N38" s="7">
        <f>SUM(B38:M38)</f>
        <v>-9938161</v>
      </c>
      <c r="O38" s="29"/>
    </row>
    <row r="39" spans="1:44" s="6" customFormat="1" hidden="1">
      <c r="A39" s="6" t="s">
        <v>47</v>
      </c>
      <c r="B39" s="72">
        <v>-77886</v>
      </c>
      <c r="C39" s="72">
        <v>-78293</v>
      </c>
      <c r="D39" s="72">
        <v>-79025</v>
      </c>
      <c r="E39" s="72">
        <v>-81090</v>
      </c>
      <c r="F39" s="72">
        <v>-81090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-1028739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-8350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-122150</v>
      </c>
      <c r="O41" s="29"/>
    </row>
    <row r="42" spans="1:44" s="6" customFormat="1">
      <c r="A42" s="13" t="s">
        <v>49</v>
      </c>
      <c r="B42" s="12">
        <f t="shared" ref="B42:N42" si="9">SUM(B37:B41)</f>
        <v>421303</v>
      </c>
      <c r="C42" s="12">
        <f t="shared" si="9"/>
        <v>400125</v>
      </c>
      <c r="D42" s="12">
        <f t="shared" si="9"/>
        <v>510300</v>
      </c>
      <c r="E42" s="12">
        <f t="shared" si="9"/>
        <v>694926</v>
      </c>
      <c r="F42" s="12">
        <f t="shared" si="9"/>
        <v>507142</v>
      </c>
      <c r="G42" s="12">
        <f t="shared" si="9"/>
        <v>525982</v>
      </c>
      <c r="H42" s="12">
        <f t="shared" si="9"/>
        <v>364858</v>
      </c>
      <c r="I42" s="12">
        <f t="shared" si="9"/>
        <v>515765</v>
      </c>
      <c r="J42" s="12">
        <f t="shared" si="9"/>
        <v>546707</v>
      </c>
      <c r="K42" s="12">
        <f t="shared" si="9"/>
        <v>502725</v>
      </c>
      <c r="L42" s="12">
        <f t="shared" si="9"/>
        <v>482905</v>
      </c>
      <c r="M42" s="12">
        <f t="shared" si="9"/>
        <v>489209</v>
      </c>
      <c r="N42" s="12">
        <f t="shared" si="9"/>
        <v>5961947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296581</v>
      </c>
      <c r="C44" s="53">
        <v>286330</v>
      </c>
      <c r="D44" s="53">
        <v>341075</v>
      </c>
      <c r="E44" s="53">
        <v>362175</v>
      </c>
      <c r="F44" s="53">
        <v>398914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4351895</v>
      </c>
      <c r="O44" s="29"/>
    </row>
    <row r="45" spans="1:44" hidden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286330</v>
      </c>
      <c r="D46" s="12">
        <f t="shared" ref="D46:N46" si="10">SUM(D44:D45)</f>
        <v>341075</v>
      </c>
      <c r="E46" s="12">
        <f t="shared" si="10"/>
        <v>362175</v>
      </c>
      <c r="F46" s="12">
        <f t="shared" si="10"/>
        <v>398914</v>
      </c>
      <c r="G46" s="12">
        <f t="shared" si="10"/>
        <v>307622</v>
      </c>
      <c r="H46" s="12">
        <f t="shared" si="10"/>
        <v>357356</v>
      </c>
      <c r="I46" s="12">
        <f t="shared" si="10"/>
        <v>287747</v>
      </c>
      <c r="J46" s="12">
        <f t="shared" si="10"/>
        <v>322520</v>
      </c>
      <c r="K46" s="12">
        <f t="shared" si="10"/>
        <v>378879</v>
      </c>
      <c r="L46" s="12">
        <f t="shared" si="10"/>
        <v>307614</v>
      </c>
      <c r="M46" s="12">
        <f t="shared" si="10"/>
        <v>705082</v>
      </c>
      <c r="N46" s="12">
        <f t="shared" si="10"/>
        <v>4351895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1823521</v>
      </c>
      <c r="C48" s="19">
        <f t="shared" si="11"/>
        <v>3632361</v>
      </c>
      <c r="D48" s="19">
        <f t="shared" si="11"/>
        <v>4457674</v>
      </c>
      <c r="E48" s="19">
        <f t="shared" si="11"/>
        <v>3381160</v>
      </c>
      <c r="F48" s="19">
        <f t="shared" si="11"/>
        <v>2659216</v>
      </c>
      <c r="G48" s="19">
        <f t="shared" si="11"/>
        <v>2678842</v>
      </c>
      <c r="H48" s="19">
        <f t="shared" si="11"/>
        <v>3875919</v>
      </c>
      <c r="I48" s="19">
        <f t="shared" si="11"/>
        <v>3297946</v>
      </c>
      <c r="J48" s="19">
        <f t="shared" si="11"/>
        <v>2972629</v>
      </c>
      <c r="K48" s="19">
        <f t="shared" si="11"/>
        <v>2954465</v>
      </c>
      <c r="L48" s="19">
        <f t="shared" si="11"/>
        <v>2753952</v>
      </c>
      <c r="M48" s="19">
        <f t="shared" si="11"/>
        <v>2701181</v>
      </c>
      <c r="N48" s="19">
        <f t="shared" si="11"/>
        <v>37188866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-563897</v>
      </c>
      <c r="C50" s="12">
        <f t="shared" si="12"/>
        <v>181657</v>
      </c>
      <c r="D50" s="12">
        <f t="shared" si="12"/>
        <v>1137981</v>
      </c>
      <c r="E50" s="12">
        <f t="shared" si="12"/>
        <v>522022</v>
      </c>
      <c r="F50" s="12">
        <f t="shared" si="12"/>
        <v>3961</v>
      </c>
      <c r="G50" s="12">
        <f t="shared" si="12"/>
        <v>179136</v>
      </c>
      <c r="H50" s="12">
        <f t="shared" si="12"/>
        <v>-35780</v>
      </c>
      <c r="I50" s="12">
        <f t="shared" si="12"/>
        <v>543790</v>
      </c>
      <c r="J50" s="12">
        <f t="shared" si="12"/>
        <v>591969</v>
      </c>
      <c r="K50" s="12">
        <f t="shared" si="12"/>
        <v>133861</v>
      </c>
      <c r="L50" s="12">
        <f t="shared" si="12"/>
        <v>394367</v>
      </c>
      <c r="M50" s="12">
        <f t="shared" si="12"/>
        <v>-1122336</v>
      </c>
      <c r="N50" s="12">
        <f>SUM(B50:M50)</f>
        <v>1966731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53500</v>
      </c>
      <c r="D53" s="10">
        <v>0</v>
      </c>
      <c r="E53" s="10">
        <v>171500</v>
      </c>
      <c r="F53" s="10">
        <v>137500</v>
      </c>
      <c r="G53" s="10">
        <v>120200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1675239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-12500</v>
      </c>
      <c r="D56" s="7">
        <v>-12500</v>
      </c>
      <c r="E56" s="7">
        <v>-12500</v>
      </c>
      <c r="F56" s="7">
        <v>-12500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-150089</v>
      </c>
      <c r="P56" s="56"/>
    </row>
    <row r="57" spans="1:17" s="6" customFormat="1">
      <c r="A57" s="6" t="s">
        <v>59</v>
      </c>
      <c r="B57" s="22">
        <v>-187388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-462388</v>
      </c>
      <c r="P57" s="7"/>
    </row>
    <row r="58" spans="1:17" s="6" customFormat="1">
      <c r="A58" s="13" t="s">
        <v>60</v>
      </c>
      <c r="B58" s="19">
        <f t="shared" ref="B58:N58" si="13">SUM(B53:B57)</f>
        <v>177724</v>
      </c>
      <c r="C58" s="19">
        <f t="shared" si="13"/>
        <v>16000</v>
      </c>
      <c r="D58" s="19">
        <f t="shared" si="13"/>
        <v>-37500</v>
      </c>
      <c r="E58" s="19">
        <f t="shared" si="13"/>
        <v>134000</v>
      </c>
      <c r="F58" s="19">
        <f t="shared" si="13"/>
        <v>195000</v>
      </c>
      <c r="G58" s="19">
        <f t="shared" si="13"/>
        <v>82700</v>
      </c>
      <c r="H58" s="19">
        <f>SUM(H53:H57)</f>
        <v>78500</v>
      </c>
      <c r="I58" s="19">
        <f t="shared" si="13"/>
        <v>227500</v>
      </c>
      <c r="J58" s="19">
        <f t="shared" si="13"/>
        <v>-37500</v>
      </c>
      <c r="K58" s="19">
        <f t="shared" si="13"/>
        <v>154750</v>
      </c>
      <c r="L58" s="19">
        <f t="shared" si="13"/>
        <v>205500</v>
      </c>
      <c r="M58" s="19">
        <f t="shared" si="13"/>
        <v>237500</v>
      </c>
      <c r="N58" s="19">
        <f t="shared" si="13"/>
        <v>1434174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2001245</v>
      </c>
      <c r="C61" s="19">
        <f t="shared" si="14"/>
        <v>3648361</v>
      </c>
      <c r="D61" s="19">
        <f t="shared" si="14"/>
        <v>4420174</v>
      </c>
      <c r="E61" s="19">
        <f t="shared" si="14"/>
        <v>3515160</v>
      </c>
      <c r="F61" s="19">
        <f t="shared" si="14"/>
        <v>2854216</v>
      </c>
      <c r="G61" s="19">
        <f t="shared" si="14"/>
        <v>2761542</v>
      </c>
      <c r="H61" s="19">
        <f t="shared" si="14"/>
        <v>3954419</v>
      </c>
      <c r="I61" s="19">
        <f t="shared" si="14"/>
        <v>3525446</v>
      </c>
      <c r="J61" s="19">
        <f t="shared" si="14"/>
        <v>2935129</v>
      </c>
      <c r="K61" s="19">
        <f t="shared" si="14"/>
        <v>3109215</v>
      </c>
      <c r="L61" s="19">
        <f t="shared" si="14"/>
        <v>2959452</v>
      </c>
      <c r="M61" s="19">
        <f t="shared" si="14"/>
        <v>2938681</v>
      </c>
      <c r="N61" s="19">
        <f t="shared" si="14"/>
        <v>38623040</v>
      </c>
      <c r="O61" s="29"/>
      <c r="P61" s="25">
        <f>+N61-O61</f>
        <v>38623040</v>
      </c>
    </row>
    <row r="62" spans="1:17" ht="13.5" thickBot="1">
      <c r="A62" s="13" t="s">
        <v>63</v>
      </c>
      <c r="B62" s="30">
        <f t="shared" ref="B62:N62" si="15">+B13-B61</f>
        <v>-741621</v>
      </c>
      <c r="C62" s="30">
        <f t="shared" si="15"/>
        <v>165657</v>
      </c>
      <c r="D62" s="30">
        <f t="shared" si="15"/>
        <v>1175481</v>
      </c>
      <c r="E62" s="30">
        <f t="shared" si="15"/>
        <v>388022</v>
      </c>
      <c r="F62" s="30">
        <f t="shared" si="15"/>
        <v>-191039</v>
      </c>
      <c r="G62" s="30">
        <f t="shared" si="15"/>
        <v>96436</v>
      </c>
      <c r="H62" s="30">
        <f t="shared" si="15"/>
        <v>-114280</v>
      </c>
      <c r="I62" s="30">
        <f t="shared" si="15"/>
        <v>316290</v>
      </c>
      <c r="J62" s="30">
        <f t="shared" si="15"/>
        <v>629469</v>
      </c>
      <c r="K62" s="30">
        <f t="shared" si="15"/>
        <v>-20889</v>
      </c>
      <c r="L62" s="30">
        <f t="shared" si="15"/>
        <v>188867</v>
      </c>
      <c r="M62" s="30">
        <f t="shared" si="15"/>
        <v>-1359836</v>
      </c>
      <c r="N62" s="14">
        <f t="shared" si="15"/>
        <v>532557</v>
      </c>
      <c r="O62" s="29"/>
      <c r="P62" s="25">
        <f>+N62-O62</f>
        <v>532557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6">B63+C62</f>
        <v>-575964</v>
      </c>
      <c r="D63" s="32">
        <f t="shared" si="16"/>
        <v>599517</v>
      </c>
      <c r="E63" s="32">
        <f t="shared" si="16"/>
        <v>987539</v>
      </c>
      <c r="F63" s="32">
        <f t="shared" si="16"/>
        <v>796500</v>
      </c>
      <c r="G63" s="32">
        <f t="shared" si="16"/>
        <v>892936</v>
      </c>
      <c r="H63" s="32">
        <f t="shared" si="16"/>
        <v>778656</v>
      </c>
      <c r="I63" s="32">
        <f t="shared" si="16"/>
        <v>1094946</v>
      </c>
      <c r="J63" s="32">
        <f t="shared" si="16"/>
        <v>1724415</v>
      </c>
      <c r="K63" s="32">
        <f t="shared" si="16"/>
        <v>1703526</v>
      </c>
      <c r="L63" s="32">
        <f t="shared" si="16"/>
        <v>1892393</v>
      </c>
      <c r="M63" s="32">
        <f t="shared" si="16"/>
        <v>532557</v>
      </c>
      <c r="N63" s="12"/>
    </row>
    <row r="64" spans="1:17">
      <c r="A64" s="13" t="s">
        <v>65</v>
      </c>
      <c r="B64" s="12">
        <f t="shared" ref="B64:M64" si="17">+$B$60+B63</f>
        <v>12631402</v>
      </c>
      <c r="C64" s="12">
        <f t="shared" si="17"/>
        <v>12797059</v>
      </c>
      <c r="D64" s="12">
        <f t="shared" si="17"/>
        <v>13972540</v>
      </c>
      <c r="E64" s="12">
        <f t="shared" si="17"/>
        <v>14360562</v>
      </c>
      <c r="F64" s="12">
        <f t="shared" si="17"/>
        <v>14169523</v>
      </c>
      <c r="G64" s="12">
        <f t="shared" si="17"/>
        <v>14265959</v>
      </c>
      <c r="H64" s="12">
        <f t="shared" si="17"/>
        <v>14151679</v>
      </c>
      <c r="I64" s="12">
        <f t="shared" si="17"/>
        <v>14467969</v>
      </c>
      <c r="J64" s="12">
        <f t="shared" si="17"/>
        <v>15097438</v>
      </c>
      <c r="K64" s="12">
        <f t="shared" si="17"/>
        <v>15076549</v>
      </c>
      <c r="L64" s="12">
        <f t="shared" si="17"/>
        <v>15265416</v>
      </c>
      <c r="M64" s="12">
        <f t="shared" si="17"/>
        <v>13905580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-968259</v>
      </c>
      <c r="C67" s="30">
        <v>165657</v>
      </c>
      <c r="D67" s="30">
        <v>1175481</v>
      </c>
      <c r="E67" s="30">
        <v>388022</v>
      </c>
      <c r="F67" s="30">
        <v>-191039</v>
      </c>
      <c r="G67" s="30">
        <v>96436</v>
      </c>
      <c r="H67" s="30">
        <v>-114280</v>
      </c>
      <c r="I67" s="30">
        <v>316290</v>
      </c>
      <c r="J67" s="30">
        <v>629469</v>
      </c>
      <c r="K67" s="30">
        <v>-20889</v>
      </c>
      <c r="L67" s="30">
        <v>188867</v>
      </c>
      <c r="M67" s="30">
        <v>-1359836</v>
      </c>
      <c r="N67" s="16"/>
      <c r="O67" s="6"/>
    </row>
    <row r="68" spans="1:16" ht="13.5" thickTop="1">
      <c r="A68" s="13" t="s">
        <v>64</v>
      </c>
      <c r="B68" s="32">
        <f>+B67</f>
        <v>-968259</v>
      </c>
      <c r="C68" s="32">
        <f>+B68+C67</f>
        <v>-802602</v>
      </c>
      <c r="D68" s="32">
        <f t="shared" ref="D68:M68" si="18">+C68+D67</f>
        <v>372879</v>
      </c>
      <c r="E68" s="32">
        <f t="shared" si="18"/>
        <v>760901</v>
      </c>
      <c r="F68" s="32">
        <f t="shared" si="18"/>
        <v>569862</v>
      </c>
      <c r="G68" s="32">
        <f t="shared" si="18"/>
        <v>666298</v>
      </c>
      <c r="H68" s="32">
        <f t="shared" si="18"/>
        <v>552018</v>
      </c>
      <c r="I68" s="32">
        <f t="shared" si="18"/>
        <v>868308</v>
      </c>
      <c r="J68" s="32">
        <f t="shared" si="18"/>
        <v>1497777</v>
      </c>
      <c r="K68" s="32">
        <f t="shared" si="18"/>
        <v>1476888</v>
      </c>
      <c r="L68" s="32">
        <f t="shared" si="18"/>
        <v>1665755</v>
      </c>
      <c r="M68" s="32">
        <f t="shared" si="18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9">+B62-B67</f>
        <v>226638</v>
      </c>
      <c r="C72" s="16">
        <f t="shared" si="19"/>
        <v>0</v>
      </c>
      <c r="D72" s="16">
        <f t="shared" si="19"/>
        <v>0</v>
      </c>
      <c r="E72" s="16">
        <f t="shared" si="19"/>
        <v>0</v>
      </c>
      <c r="F72" s="16">
        <f t="shared" si="19"/>
        <v>0</v>
      </c>
      <c r="G72" s="16">
        <f t="shared" si="19"/>
        <v>0</v>
      </c>
      <c r="H72" s="16">
        <f t="shared" si="19"/>
        <v>0</v>
      </c>
      <c r="I72" s="16">
        <f t="shared" si="19"/>
        <v>0</v>
      </c>
      <c r="J72" s="16">
        <f t="shared" si="19"/>
        <v>0</v>
      </c>
      <c r="K72" s="16">
        <f t="shared" si="19"/>
        <v>0</v>
      </c>
      <c r="L72" s="16">
        <f t="shared" si="19"/>
        <v>0</v>
      </c>
      <c r="M72" s="16">
        <f t="shared" si="19"/>
        <v>0</v>
      </c>
      <c r="N72" s="6"/>
      <c r="O72" s="6"/>
      <c r="P72" s="16">
        <f>+N62-N67</f>
        <v>532557</v>
      </c>
    </row>
    <row r="73" spans="1:16" s="6" customFormat="1">
      <c r="A73" s="13" t="s">
        <v>64</v>
      </c>
      <c r="B73" s="16">
        <f t="shared" si="19"/>
        <v>226638</v>
      </c>
      <c r="C73" s="16">
        <f t="shared" si="19"/>
        <v>226638</v>
      </c>
      <c r="D73" s="16">
        <f t="shared" si="19"/>
        <v>226638</v>
      </c>
      <c r="E73" s="16">
        <f t="shared" si="19"/>
        <v>226638</v>
      </c>
      <c r="F73" s="16">
        <f t="shared" si="19"/>
        <v>226638</v>
      </c>
      <c r="G73" s="16">
        <f t="shared" si="19"/>
        <v>226638</v>
      </c>
      <c r="H73" s="16">
        <f t="shared" si="19"/>
        <v>226638</v>
      </c>
      <c r="I73" s="16">
        <f t="shared" si="19"/>
        <v>226638</v>
      </c>
      <c r="J73" s="16">
        <f t="shared" si="19"/>
        <v>226638</v>
      </c>
      <c r="K73" s="16">
        <f t="shared" si="19"/>
        <v>226638</v>
      </c>
      <c r="L73" s="16">
        <f t="shared" si="19"/>
        <v>226638</v>
      </c>
      <c r="M73" s="16">
        <f t="shared" si="19"/>
        <v>226638</v>
      </c>
      <c r="N73" s="16">
        <f t="shared" si="19"/>
        <v>0</v>
      </c>
    </row>
    <row r="74" spans="1:16">
      <c r="A74" s="1" t="s">
        <v>65</v>
      </c>
      <c r="B74" s="16">
        <f t="shared" si="19"/>
        <v>2564614.1993004195</v>
      </c>
      <c r="C74" s="16">
        <f t="shared" si="19"/>
        <v>2322173.1728795301</v>
      </c>
      <c r="D74" s="16">
        <f t="shared" si="19"/>
        <v>2425811.5326157045</v>
      </c>
      <c r="E74" s="16">
        <f t="shared" si="19"/>
        <v>2367840.0713608675</v>
      </c>
      <c r="F74" s="16">
        <f t="shared" si="19"/>
        <v>2442550.6784120575</v>
      </c>
      <c r="G74" s="16">
        <f t="shared" si="19"/>
        <v>2928689.293987859</v>
      </c>
      <c r="H74" s="16">
        <f t="shared" si="19"/>
        <v>2828770.2023581117</v>
      </c>
      <c r="I74" s="16">
        <f t="shared" si="19"/>
        <v>2941179.6068953238</v>
      </c>
      <c r="J74" s="16">
        <f t="shared" si="19"/>
        <v>3259732.3315243162</v>
      </c>
      <c r="K74" s="16">
        <f t="shared" si="19"/>
        <v>3055284.2213346213</v>
      </c>
      <c r="L74" s="16">
        <f t="shared" si="19"/>
        <v>2789803.4316332061</v>
      </c>
      <c r="M74" s="16">
        <f t="shared" si="19"/>
        <v>2707631.7652352396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0">+C83+D82</f>
        <v>82000</v>
      </c>
      <c r="E83" s="7">
        <f t="shared" si="20"/>
        <v>126355</v>
      </c>
      <c r="F83" s="2">
        <f t="shared" si="20"/>
        <v>313195</v>
      </c>
      <c r="G83" s="7">
        <f t="shared" si="20"/>
        <v>515195</v>
      </c>
      <c r="H83" s="2">
        <f t="shared" si="20"/>
        <v>712195</v>
      </c>
      <c r="I83" s="2">
        <f t="shared" si="20"/>
        <v>854195</v>
      </c>
      <c r="J83" s="7">
        <f t="shared" si="20"/>
        <v>973195</v>
      </c>
      <c r="K83" s="2">
        <f t="shared" si="20"/>
        <v>973195</v>
      </c>
      <c r="L83" s="2">
        <f t="shared" si="20"/>
        <v>973195</v>
      </c>
      <c r="M83" s="2">
        <f t="shared" si="20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154789</v>
      </c>
      <c r="D84" s="7">
        <f>SUM($B53:D53)</f>
        <v>154789</v>
      </c>
      <c r="E84" s="7">
        <f>SUM($B53:E53)</f>
        <v>326289</v>
      </c>
      <c r="F84" s="7">
        <f>SUM($B53:F53)</f>
        <v>463789</v>
      </c>
      <c r="G84" s="7">
        <f>SUM($B53:G53)</f>
        <v>583989</v>
      </c>
      <c r="H84" s="7">
        <f>SUM(B53:H53)</f>
        <v>699989</v>
      </c>
      <c r="I84" s="7">
        <f>SUM(B53:I53)</f>
        <v>964989</v>
      </c>
      <c r="J84" s="7">
        <f>SUM(B53:J53)</f>
        <v>964989</v>
      </c>
      <c r="K84" s="7">
        <f>SUM(B53:K53)</f>
        <v>1157239</v>
      </c>
      <c r="L84" s="7">
        <f>SUM(B53:L53)</f>
        <v>1400239</v>
      </c>
      <c r="M84" s="7">
        <f>SUM(B53:M53)</f>
        <v>1675239</v>
      </c>
    </row>
    <row r="85" spans="1:14">
      <c r="A85" s="33" t="s">
        <v>73</v>
      </c>
      <c r="B85" s="7">
        <f t="shared" ref="B85:G85" si="21">+B83-B84</f>
        <v>-49289</v>
      </c>
      <c r="C85" s="7">
        <f t="shared" si="21"/>
        <v>-82789</v>
      </c>
      <c r="D85" s="7">
        <f t="shared" si="21"/>
        <v>-72789</v>
      </c>
      <c r="E85" s="7">
        <f t="shared" si="21"/>
        <v>-199934</v>
      </c>
      <c r="F85" s="7">
        <f t="shared" si="21"/>
        <v>-150594</v>
      </c>
      <c r="G85" s="7">
        <f t="shared" si="21"/>
        <v>-68794</v>
      </c>
      <c r="H85" s="7">
        <f t="shared" ref="H85:M85" si="22">+H83-H84</f>
        <v>12206</v>
      </c>
      <c r="I85" s="7">
        <f t="shared" si="22"/>
        <v>-110794</v>
      </c>
      <c r="J85" s="7">
        <f t="shared" si="22"/>
        <v>8206</v>
      </c>
      <c r="K85" s="7">
        <f t="shared" si="22"/>
        <v>-184044</v>
      </c>
      <c r="L85" s="7">
        <f t="shared" si="22"/>
        <v>-427044</v>
      </c>
      <c r="M85" s="7">
        <f t="shared" si="22"/>
        <v>-247044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3">-C56-C57</f>
        <v>37500</v>
      </c>
      <c r="D87" s="35">
        <f t="shared" si="23"/>
        <v>37500</v>
      </c>
      <c r="E87" s="35">
        <f t="shared" si="23"/>
        <v>37500</v>
      </c>
      <c r="F87" s="35">
        <f t="shared" si="23"/>
        <v>37500</v>
      </c>
      <c r="G87" s="40">
        <f t="shared" si="23"/>
        <v>37500</v>
      </c>
      <c r="H87" s="40">
        <f t="shared" si="23"/>
        <v>37500</v>
      </c>
      <c r="I87" s="35">
        <f t="shared" si="23"/>
        <v>37500</v>
      </c>
      <c r="J87" s="35">
        <f t="shared" si="23"/>
        <v>37500</v>
      </c>
      <c r="K87" s="40">
        <f t="shared" si="23"/>
        <v>37500</v>
      </c>
      <c r="L87" s="35">
        <f t="shared" si="23"/>
        <v>37500</v>
      </c>
      <c r="M87" s="35">
        <f t="shared" si="23"/>
        <v>37500</v>
      </c>
      <c r="N87" s="35">
        <f t="shared" si="23"/>
        <v>612477</v>
      </c>
    </row>
    <row r="88" spans="1:14">
      <c r="C88" s="35">
        <f>+B87+C87</f>
        <v>237477</v>
      </c>
      <c r="D88" s="35">
        <f>+C88+D87</f>
        <v>274977</v>
      </c>
      <c r="E88" s="35">
        <f t="shared" ref="E88:M88" si="24">+D88+E87</f>
        <v>312477</v>
      </c>
      <c r="F88" s="35">
        <f t="shared" si="24"/>
        <v>349977</v>
      </c>
      <c r="G88" s="40">
        <f t="shared" si="24"/>
        <v>387477</v>
      </c>
      <c r="H88" s="35">
        <f t="shared" si="24"/>
        <v>424977</v>
      </c>
      <c r="I88" s="40">
        <f t="shared" si="24"/>
        <v>462477</v>
      </c>
      <c r="J88" s="40">
        <f t="shared" si="24"/>
        <v>499977</v>
      </c>
      <c r="K88" s="40">
        <f t="shared" si="24"/>
        <v>537477</v>
      </c>
      <c r="L88" s="35">
        <f t="shared" si="24"/>
        <v>574977</v>
      </c>
      <c r="M88" s="35">
        <f t="shared" si="24"/>
        <v>612477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5">+C92*-1</f>
        <v>-78293</v>
      </c>
      <c r="D93" s="6">
        <f t="shared" si="25"/>
        <v>-79025</v>
      </c>
      <c r="E93" s="6">
        <f t="shared" si="25"/>
        <v>-81090</v>
      </c>
      <c r="F93" s="6">
        <f t="shared" si="25"/>
        <v>-81090</v>
      </c>
      <c r="G93" s="6">
        <f t="shared" si="25"/>
        <v>-81079</v>
      </c>
      <c r="H93" s="6">
        <f t="shared" si="25"/>
        <v>-89229</v>
      </c>
      <c r="I93" s="6">
        <f t="shared" si="25"/>
        <v>-88964</v>
      </c>
      <c r="J93" s="6">
        <f t="shared" si="25"/>
        <v>-88964</v>
      </c>
      <c r="K93" s="6">
        <f t="shared" si="25"/>
        <v>-88563</v>
      </c>
      <c r="L93" s="6">
        <f t="shared" si="25"/>
        <v>-97279</v>
      </c>
      <c r="M93" s="6">
        <f t="shared" si="25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July 2017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20" activePane="bottomRight" state="frozen"/>
      <selection pane="topRight" activeCell="B72" sqref="B72"/>
      <selection pane="bottomLeft" activeCell="B72" sqref="B72"/>
      <selection pane="bottomRight" activeCell="A14" sqref="A14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98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8" t="s">
        <v>76</v>
      </c>
      <c r="E2" s="48" t="s">
        <v>76</v>
      </c>
      <c r="F2" s="48" t="s">
        <v>76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5241078</v>
      </c>
      <c r="E5" s="53">
        <v>3796312</v>
      </c>
      <c r="F5" s="53">
        <v>2590434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36105379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354577</v>
      </c>
      <c r="E6" s="53">
        <v>106870</v>
      </c>
      <c r="F6" s="53">
        <v>72743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1724269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5595655</v>
      </c>
      <c r="E9" s="12">
        <f t="shared" si="0"/>
        <v>3903182</v>
      </c>
      <c r="F9" s="12">
        <f t="shared" si="0"/>
        <v>2663177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37829648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85808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5595655</v>
      </c>
      <c r="E13" s="14">
        <f t="shared" si="1"/>
        <v>3903182</v>
      </c>
      <c r="F13" s="14">
        <f t="shared" si="1"/>
        <v>2663177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37915456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2742467</v>
      </c>
      <c r="E16" s="53">
        <v>1317514</v>
      </c>
      <c r="F16" s="53">
        <v>955424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16211659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2742467</v>
      </c>
      <c r="E20" s="12">
        <f t="shared" si="2"/>
        <v>1317514</v>
      </c>
      <c r="F20" s="12">
        <f t="shared" si="2"/>
        <v>955424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16211659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2498611</v>
      </c>
      <c r="E23" s="7">
        <f t="shared" si="3"/>
        <v>2478798</v>
      </c>
      <c r="F23" s="7">
        <f t="shared" si="3"/>
        <v>1635010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19893720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354577</v>
      </c>
      <c r="E24" s="7">
        <f t="shared" si="3"/>
        <v>106870</v>
      </c>
      <c r="F24" s="7">
        <f t="shared" si="3"/>
        <v>72743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1724269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2853188</v>
      </c>
      <c r="E27" s="12">
        <f t="shared" si="4"/>
        <v>2585668</v>
      </c>
      <c r="F27" s="12">
        <f t="shared" si="4"/>
        <v>1707753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21617989</v>
      </c>
      <c r="O27" s="29"/>
    </row>
    <row r="28" spans="1:44" s="6" customFormat="1" ht="14.45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667038</v>
      </c>
      <c r="E30" s="53">
        <v>779433</v>
      </c>
      <c r="F30" s="53">
        <v>605087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7461505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196794</v>
      </c>
      <c r="E31" s="53">
        <v>227112</v>
      </c>
      <c r="F31" s="53">
        <v>192649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2492539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661162</v>
      </c>
      <c r="C34" s="12">
        <f t="shared" si="7"/>
        <v>773537</v>
      </c>
      <c r="D34" s="12">
        <f t="shared" si="7"/>
        <v>863832</v>
      </c>
      <c r="E34" s="12">
        <f t="shared" si="7"/>
        <v>1006545</v>
      </c>
      <c r="F34" s="12">
        <f t="shared" si="7"/>
        <v>797736</v>
      </c>
      <c r="G34" s="12">
        <f t="shared" si="7"/>
        <v>790966</v>
      </c>
      <c r="H34" s="12">
        <f t="shared" si="7"/>
        <v>812563</v>
      </c>
      <c r="I34" s="12">
        <f t="shared" si="7"/>
        <v>883090</v>
      </c>
      <c r="J34" s="12">
        <f t="shared" si="7"/>
        <v>887480</v>
      </c>
      <c r="K34" s="12">
        <f t="shared" si="7"/>
        <v>982392</v>
      </c>
      <c r="L34" s="12">
        <f t="shared" si="7"/>
        <v>837307</v>
      </c>
      <c r="M34" s="12">
        <f t="shared" si="7"/>
        <v>657434</v>
      </c>
      <c r="N34" s="12">
        <f t="shared" si="7"/>
        <v>9954044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1394318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17050997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8">-C34</f>
        <v>-773537</v>
      </c>
      <c r="D38" s="7">
        <f t="shared" si="8"/>
        <v>-863832</v>
      </c>
      <c r="E38" s="7">
        <f t="shared" si="8"/>
        <v>-1006545</v>
      </c>
      <c r="F38" s="7">
        <f t="shared" si="8"/>
        <v>-797736</v>
      </c>
      <c r="G38" s="7">
        <f t="shared" si="8"/>
        <v>-790966</v>
      </c>
      <c r="H38" s="7">
        <f t="shared" si="8"/>
        <v>-812563</v>
      </c>
      <c r="I38" s="7">
        <f t="shared" si="8"/>
        <v>-883090</v>
      </c>
      <c r="J38" s="7">
        <f t="shared" si="8"/>
        <v>-887480</v>
      </c>
      <c r="K38" s="7">
        <f t="shared" si="8"/>
        <v>-982392</v>
      </c>
      <c r="L38" s="7">
        <f t="shared" si="8"/>
        <v>-837307</v>
      </c>
      <c r="M38" s="7">
        <f t="shared" si="8"/>
        <v>-657434</v>
      </c>
      <c r="N38" s="7">
        <f>SUM(B38:M38)</f>
        <v>-9954044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-79025</v>
      </c>
      <c r="E39" s="72">
        <v>-81090</v>
      </c>
      <c r="F39" s="72">
        <v>-81090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-1027763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9">SUM(B37:B41)</f>
        <v>421303</v>
      </c>
      <c r="C42" s="12">
        <f t="shared" si="9"/>
        <v>385318</v>
      </c>
      <c r="D42" s="12">
        <f t="shared" si="9"/>
        <v>510300</v>
      </c>
      <c r="E42" s="12">
        <f t="shared" si="9"/>
        <v>694926</v>
      </c>
      <c r="F42" s="12">
        <f t="shared" si="9"/>
        <v>507142</v>
      </c>
      <c r="G42" s="12">
        <f t="shared" si="9"/>
        <v>525982</v>
      </c>
      <c r="H42" s="12">
        <f t="shared" si="9"/>
        <v>364858</v>
      </c>
      <c r="I42" s="12">
        <f t="shared" si="9"/>
        <v>515765</v>
      </c>
      <c r="J42" s="12">
        <f t="shared" si="9"/>
        <v>546707</v>
      </c>
      <c r="K42" s="12">
        <f t="shared" si="9"/>
        <v>502725</v>
      </c>
      <c r="L42" s="12">
        <f t="shared" si="9"/>
        <v>482905</v>
      </c>
      <c r="M42" s="12">
        <f t="shared" si="9"/>
        <v>489209</v>
      </c>
      <c r="N42" s="12">
        <f t="shared" si="9"/>
        <v>5947140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296581</v>
      </c>
      <c r="C44" s="53">
        <v>244043</v>
      </c>
      <c r="D44" s="53">
        <v>341075</v>
      </c>
      <c r="E44" s="53">
        <v>362175</v>
      </c>
      <c r="F44" s="53">
        <v>398914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4309608</v>
      </c>
      <c r="O44" s="29"/>
    </row>
    <row r="45" spans="1:44" hidden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0">SUM(D44:D45)</f>
        <v>341075</v>
      </c>
      <c r="E46" s="12">
        <f t="shared" si="10"/>
        <v>362175</v>
      </c>
      <c r="F46" s="12">
        <f t="shared" si="10"/>
        <v>398914</v>
      </c>
      <c r="G46" s="12">
        <f t="shared" si="10"/>
        <v>307622</v>
      </c>
      <c r="H46" s="12">
        <f t="shared" si="10"/>
        <v>357356</v>
      </c>
      <c r="I46" s="12">
        <f t="shared" si="10"/>
        <v>287747</v>
      </c>
      <c r="J46" s="12">
        <f t="shared" si="10"/>
        <v>322520</v>
      </c>
      <c r="K46" s="12">
        <f t="shared" si="10"/>
        <v>378879</v>
      </c>
      <c r="L46" s="12">
        <f t="shared" si="10"/>
        <v>307614</v>
      </c>
      <c r="M46" s="12">
        <f t="shared" si="10"/>
        <v>705082</v>
      </c>
      <c r="N46" s="12">
        <f t="shared" si="10"/>
        <v>4309608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1823521</v>
      </c>
      <c r="C48" s="19">
        <f t="shared" si="11"/>
        <v>2865946</v>
      </c>
      <c r="D48" s="19">
        <f t="shared" si="11"/>
        <v>4457674</v>
      </c>
      <c r="E48" s="19">
        <f t="shared" si="11"/>
        <v>3381160</v>
      </c>
      <c r="F48" s="19">
        <f t="shared" si="11"/>
        <v>2659216</v>
      </c>
      <c r="G48" s="19">
        <f t="shared" si="11"/>
        <v>2678842</v>
      </c>
      <c r="H48" s="19">
        <f t="shared" si="11"/>
        <v>3875919</v>
      </c>
      <c r="I48" s="19">
        <f t="shared" si="11"/>
        <v>3297946</v>
      </c>
      <c r="J48" s="19">
        <f t="shared" si="11"/>
        <v>2972629</v>
      </c>
      <c r="K48" s="19">
        <f t="shared" si="11"/>
        <v>2954465</v>
      </c>
      <c r="L48" s="19">
        <f t="shared" si="11"/>
        <v>2753952</v>
      </c>
      <c r="M48" s="19">
        <f t="shared" si="11"/>
        <v>2701181</v>
      </c>
      <c r="N48" s="19">
        <f t="shared" si="11"/>
        <v>36422451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-563897</v>
      </c>
      <c r="C50" s="12">
        <f t="shared" si="12"/>
        <v>-292069</v>
      </c>
      <c r="D50" s="12">
        <f t="shared" si="12"/>
        <v>1137981</v>
      </c>
      <c r="E50" s="12">
        <f t="shared" si="12"/>
        <v>522022</v>
      </c>
      <c r="F50" s="12">
        <f t="shared" si="12"/>
        <v>3961</v>
      </c>
      <c r="G50" s="12">
        <f t="shared" si="12"/>
        <v>179136</v>
      </c>
      <c r="H50" s="12">
        <f t="shared" si="12"/>
        <v>-35780</v>
      </c>
      <c r="I50" s="12">
        <f t="shared" si="12"/>
        <v>543790</v>
      </c>
      <c r="J50" s="12">
        <f t="shared" si="12"/>
        <v>591969</v>
      </c>
      <c r="K50" s="12">
        <f t="shared" si="12"/>
        <v>133861</v>
      </c>
      <c r="L50" s="12">
        <f t="shared" si="12"/>
        <v>394367</v>
      </c>
      <c r="M50" s="12">
        <f t="shared" si="12"/>
        <v>-1122336</v>
      </c>
      <c r="N50" s="12">
        <f>SUM(B50:M50)</f>
        <v>1493005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0</v>
      </c>
      <c r="E53" s="10">
        <v>171500</v>
      </c>
      <c r="F53" s="10">
        <v>137500</v>
      </c>
      <c r="G53" s="10">
        <v>120200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1852118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-12500</v>
      </c>
      <c r="E56" s="7">
        <v>-12500</v>
      </c>
      <c r="F56" s="7">
        <v>-12500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-149201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-25000</v>
      </c>
      <c r="E57" s="22">
        <v>-25000</v>
      </c>
      <c r="F57" s="22">
        <v>-25000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-478264</v>
      </c>
      <c r="P57" s="7"/>
    </row>
    <row r="58" spans="1:17" s="6" customFormat="1">
      <c r="A58" s="13" t="s">
        <v>60</v>
      </c>
      <c r="B58" s="19">
        <f t="shared" ref="B58:N58" si="13">SUM(B53:B57)</f>
        <v>177724</v>
      </c>
      <c r="C58" s="19">
        <f t="shared" si="13"/>
        <v>177891</v>
      </c>
      <c r="D58" s="19">
        <f t="shared" si="13"/>
        <v>-37500</v>
      </c>
      <c r="E58" s="19">
        <f t="shared" si="13"/>
        <v>134000</v>
      </c>
      <c r="F58" s="19">
        <f t="shared" si="13"/>
        <v>195000</v>
      </c>
      <c r="G58" s="19">
        <f t="shared" si="13"/>
        <v>82700</v>
      </c>
      <c r="H58" s="19">
        <f>SUM(H53:H57)</f>
        <v>78500</v>
      </c>
      <c r="I58" s="19">
        <f t="shared" si="13"/>
        <v>227500</v>
      </c>
      <c r="J58" s="19">
        <f t="shared" si="13"/>
        <v>-37500</v>
      </c>
      <c r="K58" s="19">
        <f t="shared" si="13"/>
        <v>154750</v>
      </c>
      <c r="L58" s="19">
        <f t="shared" si="13"/>
        <v>205500</v>
      </c>
      <c r="M58" s="19">
        <f t="shared" si="13"/>
        <v>237500</v>
      </c>
      <c r="N58" s="19">
        <f t="shared" si="13"/>
        <v>1596065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2001245</v>
      </c>
      <c r="C61" s="19">
        <f t="shared" si="14"/>
        <v>3043837</v>
      </c>
      <c r="D61" s="19">
        <f t="shared" si="14"/>
        <v>4420174</v>
      </c>
      <c r="E61" s="19">
        <f t="shared" si="14"/>
        <v>3515160</v>
      </c>
      <c r="F61" s="19">
        <f t="shared" si="14"/>
        <v>2854216</v>
      </c>
      <c r="G61" s="19">
        <f t="shared" si="14"/>
        <v>2761542</v>
      </c>
      <c r="H61" s="19">
        <f t="shared" si="14"/>
        <v>3954419</v>
      </c>
      <c r="I61" s="19">
        <f t="shared" si="14"/>
        <v>3525446</v>
      </c>
      <c r="J61" s="19">
        <f t="shared" si="14"/>
        <v>2935129</v>
      </c>
      <c r="K61" s="19">
        <f t="shared" si="14"/>
        <v>3109215</v>
      </c>
      <c r="L61" s="19">
        <f t="shared" si="14"/>
        <v>2959452</v>
      </c>
      <c r="M61" s="19">
        <f t="shared" si="14"/>
        <v>2938681</v>
      </c>
      <c r="N61" s="19">
        <f t="shared" si="14"/>
        <v>38018516</v>
      </c>
      <c r="O61" s="29"/>
      <c r="P61" s="25">
        <f>+N61-O61</f>
        <v>38018516</v>
      </c>
    </row>
    <row r="62" spans="1:17" ht="13.5" thickBot="1">
      <c r="A62" s="13" t="s">
        <v>63</v>
      </c>
      <c r="B62" s="30">
        <f t="shared" ref="B62:N62" si="15">+B13-B61</f>
        <v>-741621</v>
      </c>
      <c r="C62" s="30">
        <f t="shared" si="15"/>
        <v>-469960</v>
      </c>
      <c r="D62" s="14">
        <f t="shared" si="15"/>
        <v>1175481</v>
      </c>
      <c r="E62" s="14">
        <f t="shared" si="15"/>
        <v>388022</v>
      </c>
      <c r="F62" s="14">
        <f t="shared" si="15"/>
        <v>-191039</v>
      </c>
      <c r="G62" s="14">
        <f t="shared" si="15"/>
        <v>96436</v>
      </c>
      <c r="H62" s="14">
        <f t="shared" si="15"/>
        <v>-114280</v>
      </c>
      <c r="I62" s="14">
        <f t="shared" si="15"/>
        <v>316290</v>
      </c>
      <c r="J62" s="14">
        <f t="shared" si="15"/>
        <v>629469</v>
      </c>
      <c r="K62" s="14">
        <f t="shared" si="15"/>
        <v>-20889</v>
      </c>
      <c r="L62" s="14">
        <f t="shared" si="15"/>
        <v>188867</v>
      </c>
      <c r="M62" s="14">
        <f t="shared" si="15"/>
        <v>-1359836</v>
      </c>
      <c r="N62" s="14">
        <f t="shared" si="15"/>
        <v>-103060</v>
      </c>
      <c r="O62" s="29"/>
      <c r="P62" s="25">
        <f>+N62-O62</f>
        <v>-103060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6">B63+C62</f>
        <v>-1211581</v>
      </c>
      <c r="D63" s="12">
        <f t="shared" si="16"/>
        <v>-36100</v>
      </c>
      <c r="E63" s="12">
        <f t="shared" si="16"/>
        <v>351922</v>
      </c>
      <c r="F63" s="12">
        <f t="shared" si="16"/>
        <v>160883</v>
      </c>
      <c r="G63" s="12">
        <f t="shared" si="16"/>
        <v>257319</v>
      </c>
      <c r="H63" s="12">
        <f t="shared" si="16"/>
        <v>143039</v>
      </c>
      <c r="I63" s="12">
        <f t="shared" si="16"/>
        <v>459329</v>
      </c>
      <c r="J63" s="12">
        <f t="shared" si="16"/>
        <v>1088798</v>
      </c>
      <c r="K63" s="12">
        <f t="shared" si="16"/>
        <v>1067909</v>
      </c>
      <c r="L63" s="12">
        <f t="shared" si="16"/>
        <v>1256776</v>
      </c>
      <c r="M63" s="12">
        <f t="shared" si="16"/>
        <v>-103060</v>
      </c>
      <c r="N63" s="12"/>
    </row>
    <row r="64" spans="1:17">
      <c r="A64" s="13" t="s">
        <v>65</v>
      </c>
      <c r="B64" s="12">
        <f t="shared" ref="B64:M64" si="17">+$B$60+B63</f>
        <v>12631402</v>
      </c>
      <c r="C64" s="12">
        <f t="shared" si="17"/>
        <v>12161442</v>
      </c>
      <c r="D64" s="12">
        <f t="shared" si="17"/>
        <v>13336923</v>
      </c>
      <c r="E64" s="12">
        <f t="shared" si="17"/>
        <v>13724945</v>
      </c>
      <c r="F64" s="12">
        <f t="shared" si="17"/>
        <v>13533906</v>
      </c>
      <c r="G64" s="12">
        <f t="shared" si="17"/>
        <v>13630342</v>
      </c>
      <c r="H64" s="12">
        <f t="shared" si="17"/>
        <v>13516062</v>
      </c>
      <c r="I64" s="12">
        <f t="shared" si="17"/>
        <v>13832352</v>
      </c>
      <c r="J64" s="12">
        <f t="shared" si="17"/>
        <v>14461821</v>
      </c>
      <c r="K64" s="12">
        <f t="shared" si="17"/>
        <v>14440932</v>
      </c>
      <c r="L64" s="12">
        <f t="shared" si="17"/>
        <v>14629799</v>
      </c>
      <c r="M64" s="12">
        <f t="shared" si="17"/>
        <v>13269963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8">+C68+D67</f>
        <v>372879</v>
      </c>
      <c r="E68" s="12">
        <f t="shared" si="18"/>
        <v>760901</v>
      </c>
      <c r="F68" s="12">
        <f t="shared" si="18"/>
        <v>569862</v>
      </c>
      <c r="G68" s="12">
        <f t="shared" si="18"/>
        <v>666298</v>
      </c>
      <c r="H68" s="12">
        <f t="shared" si="18"/>
        <v>552018</v>
      </c>
      <c r="I68" s="12">
        <f t="shared" si="18"/>
        <v>868308</v>
      </c>
      <c r="J68" s="12">
        <f t="shared" si="18"/>
        <v>1497777</v>
      </c>
      <c r="K68" s="12">
        <f t="shared" si="18"/>
        <v>1476888</v>
      </c>
      <c r="L68" s="12">
        <f t="shared" si="18"/>
        <v>1665755</v>
      </c>
      <c r="M68" s="12">
        <f t="shared" si="18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19">+B62-B67</f>
        <v>226638</v>
      </c>
      <c r="C72" s="31">
        <f t="shared" si="19"/>
        <v>-635617</v>
      </c>
      <c r="D72" s="16">
        <f t="shared" si="19"/>
        <v>0</v>
      </c>
      <c r="E72" s="16">
        <f t="shared" si="19"/>
        <v>0</v>
      </c>
      <c r="F72" s="16">
        <f t="shared" si="19"/>
        <v>0</v>
      </c>
      <c r="G72" s="16">
        <f t="shared" si="19"/>
        <v>0</v>
      </c>
      <c r="H72" s="16">
        <f t="shared" si="19"/>
        <v>0</v>
      </c>
      <c r="I72" s="16">
        <f t="shared" si="19"/>
        <v>0</v>
      </c>
      <c r="J72" s="16">
        <f t="shared" si="19"/>
        <v>0</v>
      </c>
      <c r="K72" s="16">
        <f t="shared" si="19"/>
        <v>0</v>
      </c>
      <c r="L72" s="16">
        <f t="shared" si="19"/>
        <v>0</v>
      </c>
      <c r="M72" s="16">
        <f t="shared" si="19"/>
        <v>0</v>
      </c>
      <c r="N72" s="6"/>
      <c r="O72" s="6"/>
      <c r="P72" s="16">
        <f>+N62-N67</f>
        <v>-103060</v>
      </c>
    </row>
    <row r="73" spans="1:16" s="6" customFormat="1">
      <c r="A73" s="13" t="s">
        <v>64</v>
      </c>
      <c r="B73" s="31">
        <f t="shared" si="19"/>
        <v>226638</v>
      </c>
      <c r="C73" s="31">
        <f t="shared" si="19"/>
        <v>-408979</v>
      </c>
      <c r="D73" s="16">
        <f t="shared" si="19"/>
        <v>-408979</v>
      </c>
      <c r="E73" s="16">
        <f t="shared" si="19"/>
        <v>-408979</v>
      </c>
      <c r="F73" s="16">
        <f t="shared" si="19"/>
        <v>-408979</v>
      </c>
      <c r="G73" s="16">
        <f t="shared" si="19"/>
        <v>-408979</v>
      </c>
      <c r="H73" s="16">
        <f t="shared" si="19"/>
        <v>-408979</v>
      </c>
      <c r="I73" s="16">
        <f t="shared" si="19"/>
        <v>-408979</v>
      </c>
      <c r="J73" s="16">
        <f t="shared" si="19"/>
        <v>-408979</v>
      </c>
      <c r="K73" s="16">
        <f t="shared" si="19"/>
        <v>-408979</v>
      </c>
      <c r="L73" s="16">
        <f t="shared" si="19"/>
        <v>-408979</v>
      </c>
      <c r="M73" s="16">
        <f t="shared" si="19"/>
        <v>-408979</v>
      </c>
      <c r="N73" s="16">
        <f t="shared" si="19"/>
        <v>0</v>
      </c>
    </row>
    <row r="74" spans="1:16">
      <c r="A74" s="1" t="s">
        <v>65</v>
      </c>
      <c r="B74" s="16">
        <f t="shared" si="19"/>
        <v>2564614.1993004195</v>
      </c>
      <c r="C74" s="16">
        <f t="shared" si="19"/>
        <v>1686556.1728795301</v>
      </c>
      <c r="D74" s="16">
        <f t="shared" si="19"/>
        <v>1790194.5326157045</v>
      </c>
      <c r="E74" s="16">
        <f t="shared" si="19"/>
        <v>1732223.0713608675</v>
      </c>
      <c r="F74" s="16">
        <f t="shared" si="19"/>
        <v>1806933.6784120575</v>
      </c>
      <c r="G74" s="16">
        <f t="shared" si="19"/>
        <v>2293072.293987859</v>
      </c>
      <c r="H74" s="16">
        <f t="shared" si="19"/>
        <v>2193153.2023581117</v>
      </c>
      <c r="I74" s="16">
        <f t="shared" si="19"/>
        <v>2305562.6068953238</v>
      </c>
      <c r="J74" s="16">
        <f t="shared" si="19"/>
        <v>2624115.3315243162</v>
      </c>
      <c r="K74" s="16">
        <f t="shared" si="19"/>
        <v>2419667.2213346213</v>
      </c>
      <c r="L74" s="16">
        <f t="shared" si="19"/>
        <v>2154186.4316332061</v>
      </c>
      <c r="M74" s="16">
        <f t="shared" si="19"/>
        <v>2072014.7652352396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0">+C83+D82</f>
        <v>82000</v>
      </c>
      <c r="E83" s="7">
        <f t="shared" si="20"/>
        <v>126355</v>
      </c>
      <c r="F83" s="2">
        <f t="shared" si="20"/>
        <v>313195</v>
      </c>
      <c r="G83" s="7">
        <f t="shared" si="20"/>
        <v>515195</v>
      </c>
      <c r="H83" s="2">
        <f t="shared" si="20"/>
        <v>712195</v>
      </c>
      <c r="I83" s="2">
        <f t="shared" si="20"/>
        <v>854195</v>
      </c>
      <c r="J83" s="7">
        <f t="shared" si="20"/>
        <v>973195</v>
      </c>
      <c r="K83" s="2">
        <f t="shared" si="20"/>
        <v>973195</v>
      </c>
      <c r="L83" s="2">
        <f t="shared" si="20"/>
        <v>973195</v>
      </c>
      <c r="M83" s="2">
        <f t="shared" si="20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331668</v>
      </c>
      <c r="E84" s="7">
        <f>SUM($B53:E53)</f>
        <v>503168</v>
      </c>
      <c r="F84" s="7">
        <f>SUM($B53:F53)</f>
        <v>640668</v>
      </c>
      <c r="G84" s="7">
        <f>SUM($B53:G53)</f>
        <v>760868</v>
      </c>
      <c r="H84" s="7">
        <f>SUM(B53:H53)</f>
        <v>876868</v>
      </c>
      <c r="I84" s="7">
        <f>SUM(B53:I53)</f>
        <v>1141868</v>
      </c>
      <c r="J84" s="7">
        <f>SUM(B53:J53)</f>
        <v>1141868</v>
      </c>
      <c r="K84" s="7">
        <f>SUM(B53:K53)</f>
        <v>1334118</v>
      </c>
      <c r="L84" s="7">
        <f>SUM(B53:L53)</f>
        <v>1577118</v>
      </c>
      <c r="M84" s="7">
        <f>SUM(B53:M53)</f>
        <v>1852118</v>
      </c>
    </row>
    <row r="85" spans="1:14">
      <c r="A85" s="33" t="s">
        <v>73</v>
      </c>
      <c r="B85" s="7">
        <f t="shared" ref="B85:G85" si="21">+B83-B84</f>
        <v>-49289</v>
      </c>
      <c r="C85" s="7">
        <f t="shared" si="21"/>
        <v>-259668</v>
      </c>
      <c r="D85" s="7">
        <f t="shared" si="21"/>
        <v>-249668</v>
      </c>
      <c r="E85" s="7">
        <f t="shared" si="21"/>
        <v>-376813</v>
      </c>
      <c r="F85" s="7">
        <f t="shared" si="21"/>
        <v>-327473</v>
      </c>
      <c r="G85" s="7">
        <f t="shared" si="21"/>
        <v>-245673</v>
      </c>
      <c r="H85" s="7">
        <f t="shared" ref="H85:M85" si="22">+H83-H84</f>
        <v>-164673</v>
      </c>
      <c r="I85" s="7">
        <f t="shared" si="22"/>
        <v>-287673</v>
      </c>
      <c r="J85" s="7">
        <f t="shared" si="22"/>
        <v>-168673</v>
      </c>
      <c r="K85" s="7">
        <f t="shared" si="22"/>
        <v>-360923</v>
      </c>
      <c r="L85" s="7">
        <f t="shared" si="22"/>
        <v>-603923</v>
      </c>
      <c r="M85" s="7">
        <f t="shared" si="22"/>
        <v>-423923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3">-C56-C57</f>
        <v>52488</v>
      </c>
      <c r="D87" s="35">
        <f t="shared" si="23"/>
        <v>37500</v>
      </c>
      <c r="E87" s="35">
        <f t="shared" si="23"/>
        <v>37500</v>
      </c>
      <c r="F87" s="35">
        <f t="shared" si="23"/>
        <v>37500</v>
      </c>
      <c r="G87" s="40">
        <f t="shared" si="23"/>
        <v>37500</v>
      </c>
      <c r="H87" s="40">
        <f t="shared" si="23"/>
        <v>37500</v>
      </c>
      <c r="I87" s="35">
        <f t="shared" si="23"/>
        <v>37500</v>
      </c>
      <c r="J87" s="35">
        <f t="shared" si="23"/>
        <v>37500</v>
      </c>
      <c r="K87" s="40">
        <f t="shared" si="23"/>
        <v>37500</v>
      </c>
      <c r="L87" s="35">
        <f t="shared" si="23"/>
        <v>37500</v>
      </c>
      <c r="M87" s="35">
        <f t="shared" si="23"/>
        <v>37500</v>
      </c>
      <c r="N87" s="35">
        <f t="shared" si="23"/>
        <v>627465</v>
      </c>
    </row>
    <row r="88" spans="1:14">
      <c r="C88" s="35">
        <f>+B87+C87</f>
        <v>252465</v>
      </c>
      <c r="D88" s="35">
        <f>+C88+D87</f>
        <v>289965</v>
      </c>
      <c r="E88" s="35">
        <f t="shared" ref="E88:M88" si="24">+D88+E87</f>
        <v>327465</v>
      </c>
      <c r="F88" s="35">
        <f t="shared" si="24"/>
        <v>364965</v>
      </c>
      <c r="G88" s="40">
        <f t="shared" si="24"/>
        <v>402465</v>
      </c>
      <c r="H88" s="35">
        <f t="shared" si="24"/>
        <v>439965</v>
      </c>
      <c r="I88" s="40">
        <f t="shared" si="24"/>
        <v>477465</v>
      </c>
      <c r="J88" s="40">
        <f t="shared" si="24"/>
        <v>514965</v>
      </c>
      <c r="K88" s="40">
        <f t="shared" si="24"/>
        <v>552465</v>
      </c>
      <c r="L88" s="35">
        <f t="shared" si="24"/>
        <v>589965</v>
      </c>
      <c r="M88" s="35">
        <f t="shared" si="24"/>
        <v>627465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5">+C92*-1</f>
        <v>-78293</v>
      </c>
      <c r="D93" s="6">
        <f t="shared" si="25"/>
        <v>-79025</v>
      </c>
      <c r="E93" s="6">
        <f t="shared" si="25"/>
        <v>-81090</v>
      </c>
      <c r="F93" s="6">
        <f t="shared" si="25"/>
        <v>-81090</v>
      </c>
      <c r="G93" s="6">
        <f t="shared" si="25"/>
        <v>-81079</v>
      </c>
      <c r="H93" s="6">
        <f t="shared" si="25"/>
        <v>-89229</v>
      </c>
      <c r="I93" s="6">
        <f t="shared" si="25"/>
        <v>-88964</v>
      </c>
      <c r="J93" s="6">
        <f t="shared" si="25"/>
        <v>-88964</v>
      </c>
      <c r="K93" s="6">
        <f t="shared" si="25"/>
        <v>-88563</v>
      </c>
      <c r="L93" s="6">
        <f t="shared" si="25"/>
        <v>-97279</v>
      </c>
      <c r="M93" s="6">
        <f t="shared" si="25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August 2017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100"/>
  <sheetViews>
    <sheetView showGridLines="0" workbookViewId="0">
      <pane xSplit="1" ySplit="3" topLeftCell="B4" activePane="bottomRight" state="frozen"/>
      <selection pane="topRight" activeCell="B66" sqref="B66"/>
      <selection pane="bottomLeft" activeCell="B66" sqref="B66"/>
      <selection pane="bottomRight" activeCell="B66" sqref="B66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23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5" t="s">
        <v>24</v>
      </c>
      <c r="N2" s="55" t="s">
        <v>25</v>
      </c>
    </row>
    <row r="3" spans="1:15" s="5" customFormat="1">
      <c r="B3" s="11">
        <v>42187</v>
      </c>
      <c r="C3" s="11">
        <v>42218</v>
      </c>
      <c r="D3" s="11">
        <v>42249</v>
      </c>
      <c r="E3" s="11">
        <v>42279</v>
      </c>
      <c r="F3" s="11">
        <v>42310</v>
      </c>
      <c r="G3" s="11">
        <v>42340</v>
      </c>
      <c r="H3" s="11">
        <v>42371</v>
      </c>
      <c r="I3" s="11">
        <v>42402</v>
      </c>
      <c r="J3" s="11">
        <v>42431</v>
      </c>
      <c r="K3" s="11">
        <v>42462</v>
      </c>
      <c r="L3" s="11">
        <v>42492</v>
      </c>
      <c r="M3" s="11">
        <v>42523</v>
      </c>
      <c r="N3" s="57" t="s">
        <v>26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>
      <c r="A5" s="6" t="s">
        <v>28</v>
      </c>
      <c r="B5" s="53">
        <v>1260836</v>
      </c>
      <c r="C5" s="53">
        <v>5180219</v>
      </c>
      <c r="D5" s="53">
        <v>3898090</v>
      </c>
      <c r="E5" s="53">
        <v>3622571</v>
      </c>
      <c r="F5" s="53">
        <v>2472212</v>
      </c>
      <c r="G5" s="53">
        <v>2263447</v>
      </c>
      <c r="H5" s="53">
        <v>4725477</v>
      </c>
      <c r="I5" s="53">
        <v>3252593</v>
      </c>
      <c r="J5" s="53">
        <v>3205727</v>
      </c>
      <c r="K5" s="53">
        <v>3042134</v>
      </c>
      <c r="L5" s="53">
        <v>2412136</v>
      </c>
      <c r="M5" s="64">
        <v>1300984</v>
      </c>
      <c r="N5" s="12">
        <f>SUM(B5:M5)</f>
        <v>36636426</v>
      </c>
    </row>
    <row r="6" spans="1:15" s="6" customFormat="1">
      <c r="A6" s="6" t="s">
        <v>29</v>
      </c>
      <c r="B6" s="53">
        <v>24269</v>
      </c>
      <c r="C6" s="53">
        <v>64025</v>
      </c>
      <c r="D6" s="53">
        <v>259674</v>
      </c>
      <c r="E6" s="53">
        <v>87432</v>
      </c>
      <c r="F6" s="53">
        <v>48121</v>
      </c>
      <c r="G6" s="53">
        <v>55259</v>
      </c>
      <c r="H6" s="53">
        <v>40648</v>
      </c>
      <c r="I6" s="53">
        <v>50858</v>
      </c>
      <c r="J6" s="53">
        <v>185361</v>
      </c>
      <c r="K6" s="53">
        <v>194680</v>
      </c>
      <c r="L6" s="53">
        <v>168246</v>
      </c>
      <c r="M6" s="53">
        <v>154354</v>
      </c>
      <c r="N6" s="7">
        <f>SUM(B6:M6)</f>
        <v>1332927</v>
      </c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1285105</v>
      </c>
      <c r="C9" s="12">
        <f t="shared" si="0"/>
        <v>5244244</v>
      </c>
      <c r="D9" s="12">
        <f t="shared" si="0"/>
        <v>4157764</v>
      </c>
      <c r="E9" s="12">
        <f t="shared" si="0"/>
        <v>3710003</v>
      </c>
      <c r="F9" s="12">
        <f t="shared" si="0"/>
        <v>2520333</v>
      </c>
      <c r="G9" s="12">
        <f t="shared" si="0"/>
        <v>2318706</v>
      </c>
      <c r="H9" s="12">
        <f t="shared" si="0"/>
        <v>4766125</v>
      </c>
      <c r="I9" s="12">
        <f t="shared" si="0"/>
        <v>3303451</v>
      </c>
      <c r="J9" s="12">
        <f t="shared" si="0"/>
        <v>3391088</v>
      </c>
      <c r="K9" s="12">
        <f t="shared" si="0"/>
        <v>3236814</v>
      </c>
      <c r="L9" s="12">
        <f t="shared" si="0"/>
        <v>2580382</v>
      </c>
      <c r="M9" s="12">
        <f t="shared" si="0"/>
        <v>1455338</v>
      </c>
      <c r="N9" s="12">
        <f t="shared" si="0"/>
        <v>37969353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f>16770-5788</f>
        <v>10982</v>
      </c>
      <c r="C11" s="7">
        <f>518+300</f>
        <v>818</v>
      </c>
      <c r="D11" s="7">
        <v>400</v>
      </c>
      <c r="E11" s="7">
        <v>20000</v>
      </c>
      <c r="F11" s="7">
        <v>1522</v>
      </c>
      <c r="G11" s="7">
        <v>1865</v>
      </c>
      <c r="H11" s="7">
        <v>1448</v>
      </c>
      <c r="I11" s="7">
        <v>1152</v>
      </c>
      <c r="J11" s="7">
        <v>0</v>
      </c>
      <c r="K11" s="7">
        <v>-659</v>
      </c>
      <c r="L11" s="7">
        <f>725+600</f>
        <v>1325</v>
      </c>
      <c r="M11" s="39">
        <f>57655-7029</f>
        <v>50626</v>
      </c>
      <c r="N11" s="7">
        <f>SUM(B11:M11)</f>
        <v>89479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1296087</v>
      </c>
      <c r="C13" s="14">
        <f>C9+C11</f>
        <v>5245062</v>
      </c>
      <c r="D13" s="14">
        <f t="shared" si="1"/>
        <v>4158164</v>
      </c>
      <c r="E13" s="14">
        <f t="shared" si="1"/>
        <v>3730003</v>
      </c>
      <c r="F13" s="14">
        <f t="shared" si="1"/>
        <v>2521855</v>
      </c>
      <c r="G13" s="14">
        <f t="shared" si="1"/>
        <v>2320571</v>
      </c>
      <c r="H13" s="14">
        <f t="shared" si="1"/>
        <v>4767573</v>
      </c>
      <c r="I13" s="14">
        <f t="shared" si="1"/>
        <v>3304603</v>
      </c>
      <c r="J13" s="14">
        <f t="shared" si="1"/>
        <v>3391088</v>
      </c>
      <c r="K13" s="14">
        <f t="shared" si="1"/>
        <v>3236155</v>
      </c>
      <c r="L13" s="14">
        <f t="shared" si="1"/>
        <v>2581707</v>
      </c>
      <c r="M13" s="14">
        <f t="shared" si="1"/>
        <v>1505964</v>
      </c>
      <c r="N13" s="14">
        <f t="shared" si="1"/>
        <v>38058832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585889</v>
      </c>
      <c r="C16" s="53">
        <v>3216024</v>
      </c>
      <c r="D16" s="53">
        <v>1662271</v>
      </c>
      <c r="E16" s="53">
        <v>1314506</v>
      </c>
      <c r="F16" s="53">
        <v>871920</v>
      </c>
      <c r="G16" s="53">
        <v>898493</v>
      </c>
      <c r="H16" s="53">
        <v>2711294</v>
      </c>
      <c r="I16" s="53">
        <v>1272552</v>
      </c>
      <c r="J16" s="53">
        <v>1098757</v>
      </c>
      <c r="K16" s="53">
        <v>1166440</v>
      </c>
      <c r="L16" s="53">
        <v>1032470</v>
      </c>
      <c r="M16" s="53">
        <v>720006</v>
      </c>
      <c r="N16" s="7">
        <f>SUM(B16:M16)</f>
        <v>16550622</v>
      </c>
    </row>
    <row r="17" spans="1:1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4" s="6" customFormat="1">
      <c r="A20" s="13" t="s">
        <v>35</v>
      </c>
      <c r="B20" s="12">
        <f t="shared" ref="B20:N20" si="2">SUM(B16:B19)</f>
        <v>585889</v>
      </c>
      <c r="C20" s="12">
        <f t="shared" si="2"/>
        <v>3216024</v>
      </c>
      <c r="D20" s="12">
        <f t="shared" si="2"/>
        <v>1662271</v>
      </c>
      <c r="E20" s="12">
        <f t="shared" si="2"/>
        <v>1314506</v>
      </c>
      <c r="F20" s="12">
        <f t="shared" si="2"/>
        <v>871920</v>
      </c>
      <c r="G20" s="12">
        <f t="shared" si="2"/>
        <v>898493</v>
      </c>
      <c r="H20" s="12">
        <f t="shared" si="2"/>
        <v>2711294</v>
      </c>
      <c r="I20" s="12">
        <f t="shared" si="2"/>
        <v>1272552</v>
      </c>
      <c r="J20" s="12">
        <f t="shared" si="2"/>
        <v>1098757</v>
      </c>
      <c r="K20" s="12">
        <f t="shared" si="2"/>
        <v>1166440</v>
      </c>
      <c r="L20" s="12">
        <f t="shared" si="2"/>
        <v>1032470</v>
      </c>
      <c r="M20" s="12">
        <f t="shared" si="2"/>
        <v>720006</v>
      </c>
      <c r="N20" s="12">
        <f t="shared" si="2"/>
        <v>16550622</v>
      </c>
    </row>
    <row r="21" spans="1:1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s="6" customFormat="1">
      <c r="A23" s="6" t="s">
        <v>37</v>
      </c>
      <c r="B23" s="7">
        <f t="shared" ref="B23:M26" si="3">+B5-B16</f>
        <v>674947</v>
      </c>
      <c r="C23" s="7">
        <f t="shared" si="3"/>
        <v>1964195</v>
      </c>
      <c r="D23" s="7">
        <f t="shared" si="3"/>
        <v>2235819</v>
      </c>
      <c r="E23" s="7">
        <f t="shared" si="3"/>
        <v>2308065</v>
      </c>
      <c r="F23" s="7">
        <f t="shared" si="3"/>
        <v>1600292</v>
      </c>
      <c r="G23" s="7">
        <f t="shared" si="3"/>
        <v>1364954</v>
      </c>
      <c r="H23" s="7">
        <f t="shared" si="3"/>
        <v>2014183</v>
      </c>
      <c r="I23" s="7">
        <f t="shared" si="3"/>
        <v>1980041</v>
      </c>
      <c r="J23" s="7">
        <f t="shared" si="3"/>
        <v>2106970</v>
      </c>
      <c r="K23" s="7">
        <f t="shared" si="3"/>
        <v>1875694</v>
      </c>
      <c r="L23" s="7">
        <f t="shared" si="3"/>
        <v>1379666</v>
      </c>
      <c r="M23" s="7">
        <f t="shared" si="3"/>
        <v>580978</v>
      </c>
      <c r="N23" s="7">
        <f>SUM(B23:M23)</f>
        <v>20085804</v>
      </c>
    </row>
    <row r="24" spans="1:14" s="6" customFormat="1">
      <c r="A24" s="6" t="s">
        <v>37</v>
      </c>
      <c r="B24" s="7">
        <f t="shared" si="3"/>
        <v>24269</v>
      </c>
      <c r="C24" s="7">
        <f t="shared" si="3"/>
        <v>64025</v>
      </c>
      <c r="D24" s="7">
        <f t="shared" si="3"/>
        <v>259674</v>
      </c>
      <c r="E24" s="7">
        <f t="shared" si="3"/>
        <v>87432</v>
      </c>
      <c r="F24" s="7">
        <f t="shared" si="3"/>
        <v>48121</v>
      </c>
      <c r="G24" s="7">
        <f t="shared" si="3"/>
        <v>55259</v>
      </c>
      <c r="H24" s="7">
        <f t="shared" si="3"/>
        <v>40648</v>
      </c>
      <c r="I24" s="7">
        <f t="shared" si="3"/>
        <v>50858</v>
      </c>
      <c r="J24" s="7">
        <f t="shared" si="3"/>
        <v>185361</v>
      </c>
      <c r="K24" s="7">
        <f t="shared" si="3"/>
        <v>194680</v>
      </c>
      <c r="L24" s="7">
        <f t="shared" si="3"/>
        <v>168246</v>
      </c>
      <c r="M24" s="7">
        <f t="shared" si="3"/>
        <v>154354</v>
      </c>
      <c r="N24" s="7">
        <f>SUM(B24:M24)</f>
        <v>1332927</v>
      </c>
    </row>
    <row r="25" spans="1:1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1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14" s="6" customFormat="1">
      <c r="A27" s="13" t="s">
        <v>39</v>
      </c>
      <c r="B27" s="12">
        <f t="shared" ref="B27:N27" si="4">SUM(B23:B26)</f>
        <v>699216</v>
      </c>
      <c r="C27" s="12">
        <f t="shared" si="4"/>
        <v>2028220</v>
      </c>
      <c r="D27" s="12">
        <f t="shared" si="4"/>
        <v>2495493</v>
      </c>
      <c r="E27" s="12">
        <f t="shared" si="4"/>
        <v>2395497</v>
      </c>
      <c r="F27" s="12">
        <f t="shared" si="4"/>
        <v>1648413</v>
      </c>
      <c r="G27" s="12">
        <f t="shared" si="4"/>
        <v>1420213</v>
      </c>
      <c r="H27" s="12">
        <f t="shared" si="4"/>
        <v>2054831</v>
      </c>
      <c r="I27" s="12">
        <f t="shared" si="4"/>
        <v>2030899</v>
      </c>
      <c r="J27" s="12">
        <f t="shared" si="4"/>
        <v>2292331</v>
      </c>
      <c r="K27" s="12">
        <f t="shared" si="4"/>
        <v>2070374</v>
      </c>
      <c r="L27" s="12">
        <f t="shared" si="4"/>
        <v>1547912</v>
      </c>
      <c r="M27" s="12">
        <f>SUM(M23:M26)</f>
        <v>735332</v>
      </c>
      <c r="N27" s="12">
        <f t="shared" si="4"/>
        <v>21418731</v>
      </c>
    </row>
    <row r="28" spans="1:1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4" s="6" customFormat="1">
      <c r="A30" s="6" t="s">
        <v>41</v>
      </c>
      <c r="B30" s="53">
        <v>472749</v>
      </c>
      <c r="C30" s="53">
        <v>515192</v>
      </c>
      <c r="D30" s="53">
        <v>599688</v>
      </c>
      <c r="E30" s="53">
        <v>722646</v>
      </c>
      <c r="F30" s="53">
        <v>526671</v>
      </c>
      <c r="G30" s="53">
        <v>479836</v>
      </c>
      <c r="H30" s="53">
        <v>621287</v>
      </c>
      <c r="I30" s="53">
        <v>636469</v>
      </c>
      <c r="J30" s="53">
        <v>627098</v>
      </c>
      <c r="K30" s="53">
        <v>688845</v>
      </c>
      <c r="L30" s="53">
        <v>595366</v>
      </c>
      <c r="M30" s="53">
        <v>372700</v>
      </c>
      <c r="N30" s="7">
        <f>SUM(B30:M30)</f>
        <v>6858547</v>
      </c>
    </row>
    <row r="31" spans="1:14" s="6" customFormat="1">
      <c r="A31" s="6" t="s">
        <v>42</v>
      </c>
      <c r="B31" s="53">
        <v>253779</v>
      </c>
      <c r="C31" s="53">
        <v>210112</v>
      </c>
      <c r="D31" s="53">
        <v>185921</v>
      </c>
      <c r="E31" s="53">
        <v>194719</v>
      </c>
      <c r="F31" s="53">
        <v>211645</v>
      </c>
      <c r="G31" s="53">
        <v>175408</v>
      </c>
      <c r="H31" s="53">
        <v>215399</v>
      </c>
      <c r="I31" s="53">
        <v>193332</v>
      </c>
      <c r="J31" s="53">
        <v>203244</v>
      </c>
      <c r="K31" s="53">
        <v>188593</v>
      </c>
      <c r="L31" s="53">
        <v>177507</v>
      </c>
      <c r="M31" s="53">
        <v>119141</v>
      </c>
      <c r="N31" s="7">
        <f>SUM(B31:M31)</f>
        <v>2328800</v>
      </c>
    </row>
    <row r="32" spans="1:14" s="6" customFormat="1">
      <c r="A32" s="6" t="s">
        <v>38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f>SUM(B32:M32)</f>
        <v>0</v>
      </c>
    </row>
    <row r="33" spans="1:16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</row>
    <row r="34" spans="1:16" s="6" customFormat="1">
      <c r="A34" s="13" t="s">
        <v>43</v>
      </c>
      <c r="B34" s="12">
        <f t="shared" ref="B34:N34" si="5">SUM(B30:B33)</f>
        <v>726528</v>
      </c>
      <c r="C34" s="12">
        <f t="shared" si="5"/>
        <v>725304</v>
      </c>
      <c r="D34" s="12">
        <f t="shared" si="5"/>
        <v>785609</v>
      </c>
      <c r="E34" s="12">
        <f t="shared" si="5"/>
        <v>917365</v>
      </c>
      <c r="F34" s="12">
        <f t="shared" si="5"/>
        <v>738316</v>
      </c>
      <c r="G34" s="12">
        <f t="shared" si="5"/>
        <v>655244</v>
      </c>
      <c r="H34" s="12">
        <f t="shared" si="5"/>
        <v>836686</v>
      </c>
      <c r="I34" s="12">
        <f t="shared" si="5"/>
        <v>829801</v>
      </c>
      <c r="J34" s="12">
        <f t="shared" si="5"/>
        <v>830342</v>
      </c>
      <c r="K34" s="12">
        <f t="shared" si="5"/>
        <v>877438</v>
      </c>
      <c r="L34" s="12">
        <f t="shared" si="5"/>
        <v>772873</v>
      </c>
      <c r="M34" s="12">
        <f t="shared" si="5"/>
        <v>491841</v>
      </c>
      <c r="N34" s="12">
        <f t="shared" si="5"/>
        <v>9187347</v>
      </c>
      <c r="O34" s="7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1190556</v>
      </c>
      <c r="C37" s="53">
        <v>1298225</v>
      </c>
      <c r="D37" s="53">
        <v>1484770</v>
      </c>
      <c r="E37" s="53">
        <v>1601442</v>
      </c>
      <c r="F37" s="53">
        <v>1350288</v>
      </c>
      <c r="G37" s="63">
        <v>1180874</v>
      </c>
      <c r="H37" s="63">
        <v>1361339</v>
      </c>
      <c r="I37" s="63">
        <v>1389742</v>
      </c>
      <c r="J37" s="63">
        <v>1438719</v>
      </c>
      <c r="K37" s="53">
        <v>1478876</v>
      </c>
      <c r="L37" s="53">
        <v>1239219</v>
      </c>
      <c r="M37" s="53">
        <v>840903</v>
      </c>
      <c r="N37" s="7">
        <f>SUM(B37:M37)</f>
        <v>15854953</v>
      </c>
      <c r="O37" s="53">
        <v>15957284</v>
      </c>
      <c r="P37" s="62">
        <f>+N37-O37</f>
        <v>-102331</v>
      </c>
    </row>
    <row r="38" spans="1:16" s="6" customFormat="1">
      <c r="A38" s="6" t="s">
        <v>46</v>
      </c>
      <c r="B38" s="7">
        <f>-B34</f>
        <v>-726528</v>
      </c>
      <c r="C38" s="7">
        <f t="shared" ref="C38:M38" si="6">-C34</f>
        <v>-725304</v>
      </c>
      <c r="D38" s="7">
        <f t="shared" si="6"/>
        <v>-785609</v>
      </c>
      <c r="E38" s="7">
        <f t="shared" si="6"/>
        <v>-917365</v>
      </c>
      <c r="F38" s="7">
        <f t="shared" si="6"/>
        <v>-738316</v>
      </c>
      <c r="G38" s="7">
        <f t="shared" si="6"/>
        <v>-655244</v>
      </c>
      <c r="H38" s="7">
        <f t="shared" si="6"/>
        <v>-836686</v>
      </c>
      <c r="I38" s="7">
        <f t="shared" si="6"/>
        <v>-829801</v>
      </c>
      <c r="J38" s="7">
        <f t="shared" si="6"/>
        <v>-830342</v>
      </c>
      <c r="K38" s="7">
        <f t="shared" si="6"/>
        <v>-877438</v>
      </c>
      <c r="L38" s="7">
        <f t="shared" si="6"/>
        <v>-772873</v>
      </c>
      <c r="M38" s="7">
        <f t="shared" si="6"/>
        <v>-491841</v>
      </c>
      <c r="N38" s="7">
        <f>SUM(B38:M38)</f>
        <v>-9187347</v>
      </c>
    </row>
    <row r="39" spans="1:16" s="6" customFormat="1">
      <c r="A39" s="6" t="s">
        <v>47</v>
      </c>
      <c r="B39" s="53">
        <v>-75016</v>
      </c>
      <c r="C39" s="53">
        <v>-74159</v>
      </c>
      <c r="D39" s="53">
        <v>-74053</v>
      </c>
      <c r="E39" s="53">
        <v>-75271</v>
      </c>
      <c r="F39" s="53">
        <v>-75518</v>
      </c>
      <c r="G39" s="53">
        <v>-74876</v>
      </c>
      <c r="H39" s="53">
        <v>-74488</v>
      </c>
      <c r="I39" s="53">
        <v>-74488</v>
      </c>
      <c r="J39" s="53">
        <v>-71920</v>
      </c>
      <c r="K39" s="53">
        <v>-72339</v>
      </c>
      <c r="L39" s="53">
        <v>-71805</v>
      </c>
      <c r="M39" s="53">
        <v>-84258</v>
      </c>
      <c r="N39" s="7">
        <f>SUM(B39:M39)</f>
        <v>-898191</v>
      </c>
    </row>
    <row r="40" spans="1:16" s="6" customFormat="1">
      <c r="A40" s="6" t="s">
        <v>48</v>
      </c>
      <c r="B40" s="60">
        <v>-12633</v>
      </c>
      <c r="C40" s="60">
        <v>-12633</v>
      </c>
      <c r="D40" s="60">
        <v>-12633</v>
      </c>
      <c r="E40" s="60">
        <v>-12633</v>
      </c>
      <c r="F40" s="60">
        <v>-12633</v>
      </c>
      <c r="G40" s="60">
        <v>-10633</v>
      </c>
      <c r="H40" s="60">
        <v>-10633</v>
      </c>
      <c r="I40" s="60">
        <v>-10183</v>
      </c>
      <c r="J40" s="60">
        <v>-10183</v>
      </c>
      <c r="K40" s="60">
        <v>-10183</v>
      </c>
      <c r="L40" s="60">
        <v>-10183</v>
      </c>
      <c r="M40" s="60">
        <v>125163</v>
      </c>
      <c r="N40" s="15">
        <f>SUM(B40:M40)</f>
        <v>0</v>
      </c>
    </row>
    <row r="41" spans="1:16" s="6" customFormat="1">
      <c r="A41" s="13" t="s">
        <v>49</v>
      </c>
      <c r="B41" s="12">
        <f t="shared" ref="B41:N41" si="7">SUM(B37:B40)</f>
        <v>376379</v>
      </c>
      <c r="C41" s="12">
        <f t="shared" si="7"/>
        <v>486129</v>
      </c>
      <c r="D41" s="12">
        <f t="shared" si="7"/>
        <v>612475</v>
      </c>
      <c r="E41" s="12">
        <f t="shared" si="7"/>
        <v>596173</v>
      </c>
      <c r="F41" s="12">
        <f t="shared" si="7"/>
        <v>523821</v>
      </c>
      <c r="G41" s="12">
        <f t="shared" si="7"/>
        <v>440121</v>
      </c>
      <c r="H41" s="12">
        <f t="shared" si="7"/>
        <v>439532</v>
      </c>
      <c r="I41" s="12">
        <f t="shared" si="7"/>
        <v>475270</v>
      </c>
      <c r="J41" s="12">
        <f t="shared" si="7"/>
        <v>526274</v>
      </c>
      <c r="K41" s="12">
        <f t="shared" si="7"/>
        <v>518916</v>
      </c>
      <c r="L41" s="12">
        <f t="shared" si="7"/>
        <v>384358</v>
      </c>
      <c r="M41" s="12">
        <f t="shared" si="7"/>
        <v>389967</v>
      </c>
      <c r="N41" s="12">
        <f t="shared" si="7"/>
        <v>5769415</v>
      </c>
    </row>
    <row r="42" spans="1:16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6"/>
    </row>
    <row r="43" spans="1:16">
      <c r="A43" s="13" t="s">
        <v>50</v>
      </c>
      <c r="B43" s="53">
        <v>290001</v>
      </c>
      <c r="C43" s="53">
        <v>271611</v>
      </c>
      <c r="D43" s="53">
        <v>280237</v>
      </c>
      <c r="E43" s="53">
        <v>393093</v>
      </c>
      <c r="F43" s="53">
        <v>302752</v>
      </c>
      <c r="G43" s="53">
        <v>268998</v>
      </c>
      <c r="H43" s="59">
        <v>327632</v>
      </c>
      <c r="I43" s="53">
        <v>303143</v>
      </c>
      <c r="J43" s="53">
        <v>333414</v>
      </c>
      <c r="K43" s="53">
        <v>393627</v>
      </c>
      <c r="L43" s="53">
        <v>265241</v>
      </c>
      <c r="M43" s="53">
        <v>1785703</v>
      </c>
      <c r="N43" s="12">
        <f>SUM(B43:M43)</f>
        <v>5215452</v>
      </c>
      <c r="O43" s="6"/>
    </row>
    <row r="44" spans="1:16">
      <c r="A44" s="6" t="s">
        <v>51</v>
      </c>
      <c r="B44" s="22">
        <v>-10000</v>
      </c>
      <c r="C44" s="22">
        <v>-10000</v>
      </c>
      <c r="D44" s="22">
        <v>-10000</v>
      </c>
      <c r="E44" s="22">
        <v>-10000</v>
      </c>
      <c r="F44" s="22">
        <v>-10000</v>
      </c>
      <c r="G44" s="22">
        <v>-10000</v>
      </c>
      <c r="H44" s="22">
        <v>-10000</v>
      </c>
      <c r="I44" s="22">
        <v>-10000</v>
      </c>
      <c r="J44" s="22">
        <v>-10000</v>
      </c>
      <c r="K44" s="22">
        <v>-10000</v>
      </c>
      <c r="L44" s="22">
        <v>-10000</v>
      </c>
      <c r="M44" s="22">
        <f>-880337-291720-300000</f>
        <v>-1472057</v>
      </c>
      <c r="N44" s="22">
        <f>SUM(B44:M44)</f>
        <v>-1582057</v>
      </c>
      <c r="O44" s="6"/>
    </row>
    <row r="45" spans="1:16">
      <c r="A45" s="1" t="s">
        <v>50</v>
      </c>
      <c r="B45" s="12">
        <f>SUM(B43:B44)</f>
        <v>280001</v>
      </c>
      <c r="C45" s="12">
        <f>SUM(C43:C44)</f>
        <v>261611</v>
      </c>
      <c r="D45" s="12">
        <f t="shared" ref="D45:N45" si="8">SUM(D43:D44)</f>
        <v>270237</v>
      </c>
      <c r="E45" s="12">
        <f t="shared" si="8"/>
        <v>383093</v>
      </c>
      <c r="F45" s="12">
        <f t="shared" si="8"/>
        <v>292752</v>
      </c>
      <c r="G45" s="12">
        <f t="shared" si="8"/>
        <v>258998</v>
      </c>
      <c r="H45" s="12">
        <f t="shared" si="8"/>
        <v>317632</v>
      </c>
      <c r="I45" s="12">
        <f t="shared" si="8"/>
        <v>293143</v>
      </c>
      <c r="J45" s="12">
        <f t="shared" si="8"/>
        <v>323414</v>
      </c>
      <c r="K45" s="12">
        <f t="shared" si="8"/>
        <v>383627</v>
      </c>
      <c r="L45" s="12">
        <f t="shared" si="8"/>
        <v>255241</v>
      </c>
      <c r="M45" s="32">
        <f t="shared" si="8"/>
        <v>313646</v>
      </c>
      <c r="N45" s="12">
        <f t="shared" si="8"/>
        <v>3633395</v>
      </c>
      <c r="O45" s="6"/>
    </row>
    <row r="46" spans="1:16">
      <c r="B46" s="7"/>
      <c r="C46" s="7"/>
      <c r="D46" s="7"/>
      <c r="E46" s="7"/>
      <c r="F46" s="7"/>
      <c r="G46" s="7"/>
      <c r="H46" s="7"/>
      <c r="I46" s="7"/>
      <c r="J46" s="7"/>
      <c r="K46" s="6"/>
      <c r="L46" s="6"/>
      <c r="M46" s="6"/>
      <c r="N46" s="6"/>
      <c r="O46" s="6"/>
    </row>
    <row r="47" spans="1:16">
      <c r="A47" s="13" t="s">
        <v>52</v>
      </c>
      <c r="B47" s="19">
        <f t="shared" ref="B47:N47" si="9">+B20+B34+B41+B45</f>
        <v>1968797</v>
      </c>
      <c r="C47" s="19">
        <f t="shared" si="9"/>
        <v>4689068</v>
      </c>
      <c r="D47" s="19">
        <f t="shared" si="9"/>
        <v>3330592</v>
      </c>
      <c r="E47" s="19">
        <f t="shared" si="9"/>
        <v>3211137</v>
      </c>
      <c r="F47" s="19">
        <f t="shared" si="9"/>
        <v>2426809</v>
      </c>
      <c r="G47" s="19">
        <f t="shared" si="9"/>
        <v>2252856</v>
      </c>
      <c r="H47" s="19">
        <f t="shared" si="9"/>
        <v>4305144</v>
      </c>
      <c r="I47" s="19">
        <f t="shared" si="9"/>
        <v>2870766</v>
      </c>
      <c r="J47" s="19">
        <f t="shared" si="9"/>
        <v>2778787</v>
      </c>
      <c r="K47" s="19">
        <f t="shared" si="9"/>
        <v>2946421</v>
      </c>
      <c r="L47" s="19">
        <f t="shared" si="9"/>
        <v>2444942</v>
      </c>
      <c r="M47" s="19">
        <f t="shared" si="9"/>
        <v>1915460</v>
      </c>
      <c r="N47" s="19">
        <f t="shared" si="9"/>
        <v>35140779</v>
      </c>
      <c r="O47" s="6"/>
    </row>
    <row r="48" spans="1:16">
      <c r="B48" s="7"/>
      <c r="C48" s="7"/>
      <c r="D48" s="7"/>
      <c r="E48" s="7"/>
      <c r="F48" s="7"/>
      <c r="G48" s="7"/>
      <c r="H48" s="7"/>
      <c r="I48" s="7"/>
      <c r="J48" s="7"/>
      <c r="K48" s="6"/>
      <c r="L48" s="6"/>
      <c r="M48" s="6"/>
      <c r="N48" s="6"/>
      <c r="O48" s="6"/>
    </row>
    <row r="49" spans="1:17">
      <c r="A49" s="1" t="s">
        <v>53</v>
      </c>
      <c r="B49" s="12">
        <f t="shared" ref="B49:M49" si="10">+B13-B47</f>
        <v>-672710</v>
      </c>
      <c r="C49" s="12">
        <f t="shared" si="10"/>
        <v>555994</v>
      </c>
      <c r="D49" s="12">
        <f t="shared" si="10"/>
        <v>827572</v>
      </c>
      <c r="E49" s="12">
        <f t="shared" si="10"/>
        <v>518866</v>
      </c>
      <c r="F49" s="12">
        <f t="shared" si="10"/>
        <v>95046</v>
      </c>
      <c r="G49" s="12">
        <f t="shared" si="10"/>
        <v>67715</v>
      </c>
      <c r="H49" s="12">
        <f t="shared" si="10"/>
        <v>462429</v>
      </c>
      <c r="I49" s="12">
        <f t="shared" si="10"/>
        <v>433837</v>
      </c>
      <c r="J49" s="12">
        <f t="shared" si="10"/>
        <v>612301</v>
      </c>
      <c r="K49" s="12">
        <f t="shared" si="10"/>
        <v>289734</v>
      </c>
      <c r="L49" s="12">
        <f t="shared" si="10"/>
        <v>136765</v>
      </c>
      <c r="M49" s="12">
        <f t="shared" si="10"/>
        <v>-409496</v>
      </c>
      <c r="N49" s="12">
        <f>SUM(B49:M49)</f>
        <v>2918053</v>
      </c>
      <c r="O49" s="6"/>
      <c r="P49" s="25"/>
    </row>
    <row r="50" spans="1:17" ht="7.5" customHeight="1">
      <c r="B50" s="7"/>
      <c r="C50" s="7"/>
      <c r="D50" s="7"/>
      <c r="E50" s="7"/>
      <c r="F50" s="7"/>
      <c r="G50" s="7"/>
      <c r="H50" s="7"/>
      <c r="I50" s="7"/>
      <c r="J50" s="7"/>
      <c r="K50" s="6"/>
      <c r="L50" s="6"/>
      <c r="M50" s="6"/>
      <c r="N50" s="6"/>
      <c r="O50" s="6"/>
    </row>
    <row r="51" spans="1:17">
      <c r="A51" s="1" t="s">
        <v>54</v>
      </c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 s="6" customFormat="1">
      <c r="A52" s="6" t="s">
        <v>55</v>
      </c>
      <c r="B52" s="10">
        <v>11806</v>
      </c>
      <c r="C52" s="10">
        <v>59991</v>
      </c>
      <c r="D52" s="10">
        <v>585</v>
      </c>
      <c r="E52" s="10">
        <v>95250</v>
      </c>
      <c r="F52" s="10">
        <v>11583</v>
      </c>
      <c r="G52" s="10">
        <v>150864</v>
      </c>
      <c r="H52" s="23">
        <v>205663</v>
      </c>
      <c r="I52" s="10">
        <v>9201</v>
      </c>
      <c r="J52" s="10">
        <v>23627</v>
      </c>
      <c r="K52" s="10">
        <v>6000</v>
      </c>
      <c r="L52" s="10">
        <v>42053</v>
      </c>
      <c r="M52" s="10">
        <v>-41000</v>
      </c>
      <c r="N52" s="10">
        <f>SUM(B52:M52)</f>
        <v>575623</v>
      </c>
      <c r="P52" s="40">
        <f>SUM(B52:J52)</f>
        <v>568570</v>
      </c>
    </row>
    <row r="53" spans="1:17" s="6" customFormat="1">
      <c r="A53" s="6" t="s">
        <v>56</v>
      </c>
      <c r="B53" s="10"/>
      <c r="C53" s="10"/>
      <c r="D53" s="10"/>
      <c r="E53" s="10"/>
      <c r="F53" s="10">
        <v>85000</v>
      </c>
      <c r="G53" s="10"/>
      <c r="H53" s="10"/>
      <c r="I53" s="10"/>
      <c r="J53" s="10"/>
      <c r="K53" s="10"/>
      <c r="L53" s="10"/>
      <c r="M53" s="10"/>
      <c r="N53" s="10">
        <f>SUM(B53:M53)</f>
        <v>85000</v>
      </c>
      <c r="P53" s="7"/>
      <c r="Q53" s="6">
        <v>0</v>
      </c>
    </row>
    <row r="54" spans="1:17" s="6" customFormat="1">
      <c r="A54" s="6" t="s">
        <v>57</v>
      </c>
      <c r="B54" s="10">
        <f>50000+195533</f>
        <v>245533</v>
      </c>
      <c r="C54" s="10">
        <v>50000</v>
      </c>
      <c r="D54" s="10">
        <v>50000</v>
      </c>
      <c r="E54" s="10">
        <v>50000</v>
      </c>
      <c r="F54" s="10">
        <v>50000</v>
      </c>
      <c r="G54" s="10">
        <v>50000</v>
      </c>
      <c r="H54" s="10">
        <v>50000</v>
      </c>
      <c r="I54" s="10">
        <v>0</v>
      </c>
      <c r="J54" s="10">
        <v>0</v>
      </c>
      <c r="K54" s="10">
        <v>50000</v>
      </c>
      <c r="L54" s="10">
        <v>100000</v>
      </c>
      <c r="M54" s="10"/>
      <c r="N54" s="10">
        <f>SUM(B54:M54)</f>
        <v>695533</v>
      </c>
      <c r="P54" s="7"/>
    </row>
    <row r="55" spans="1:17" s="6" customFormat="1">
      <c r="A55" s="37" t="s">
        <v>58</v>
      </c>
      <c r="B55" s="7">
        <v>-5788</v>
      </c>
      <c r="C55" s="7">
        <f>-104-5290</f>
        <v>-5394</v>
      </c>
      <c r="D55" s="7">
        <f>-98-4808</f>
        <v>-4906</v>
      </c>
      <c r="E55" s="7">
        <v>-5357</v>
      </c>
      <c r="F55" s="7">
        <f>-4917-91</f>
        <v>-5008</v>
      </c>
      <c r="G55" s="7">
        <v>-168719</v>
      </c>
      <c r="H55" s="7">
        <f>-5428-35</f>
        <v>-5463</v>
      </c>
      <c r="I55" s="7">
        <f>-3835-90</f>
        <v>-3925</v>
      </c>
      <c r="J55" s="7">
        <v>-5444</v>
      </c>
      <c r="K55" s="7">
        <f>-15741-659</f>
        <v>-16400</v>
      </c>
      <c r="L55" s="7">
        <f>-5587-118</f>
        <v>-5705</v>
      </c>
      <c r="M55" s="7">
        <f>-150819+424</f>
        <v>-150395</v>
      </c>
      <c r="N55" s="7">
        <f>SUM(B55:M55)</f>
        <v>-382504</v>
      </c>
      <c r="P55" s="56"/>
    </row>
    <row r="56" spans="1:17" s="6" customFormat="1">
      <c r="A56" s="6" t="s">
        <v>59</v>
      </c>
      <c r="B56" s="22">
        <v>23306.69</v>
      </c>
      <c r="C56" s="22">
        <v>311029</v>
      </c>
      <c r="D56" s="22">
        <v>264029</v>
      </c>
      <c r="E56" s="22">
        <v>-370264</v>
      </c>
      <c r="F56" s="22">
        <v>44460</v>
      </c>
      <c r="G56" s="22">
        <v>299278</v>
      </c>
      <c r="H56" s="22">
        <v>325286</v>
      </c>
      <c r="I56" s="22">
        <v>36651</v>
      </c>
      <c r="J56" s="22">
        <v>-413865</v>
      </c>
      <c r="K56" s="22">
        <v>-68952</v>
      </c>
      <c r="L56" s="22">
        <v>-3097</v>
      </c>
      <c r="M56" s="22">
        <v>136134</v>
      </c>
      <c r="N56" s="22">
        <f>SUM(B56:M56)</f>
        <v>583995.68999999994</v>
      </c>
      <c r="P56" s="7"/>
    </row>
    <row r="57" spans="1:17" s="6" customFormat="1">
      <c r="A57" s="13" t="s">
        <v>60</v>
      </c>
      <c r="B57" s="19">
        <f t="shared" ref="B57:N57" si="11">SUM(B52:B56)</f>
        <v>274857.69</v>
      </c>
      <c r="C57" s="19">
        <f t="shared" si="11"/>
        <v>415626</v>
      </c>
      <c r="D57" s="19">
        <f t="shared" si="11"/>
        <v>309708</v>
      </c>
      <c r="E57" s="19">
        <f t="shared" si="11"/>
        <v>-230371</v>
      </c>
      <c r="F57" s="19">
        <f t="shared" si="11"/>
        <v>186035</v>
      </c>
      <c r="G57" s="19">
        <f t="shared" si="11"/>
        <v>331423</v>
      </c>
      <c r="H57" s="19">
        <f t="shared" si="11"/>
        <v>575486</v>
      </c>
      <c r="I57" s="19">
        <f t="shared" si="11"/>
        <v>41927</v>
      </c>
      <c r="J57" s="19">
        <f t="shared" si="11"/>
        <v>-395682</v>
      </c>
      <c r="K57" s="19">
        <f t="shared" si="11"/>
        <v>-29352</v>
      </c>
      <c r="L57" s="19">
        <f t="shared" si="11"/>
        <v>133251</v>
      </c>
      <c r="M57" s="19">
        <f t="shared" si="11"/>
        <v>-55261</v>
      </c>
      <c r="N57" s="19">
        <f t="shared" si="11"/>
        <v>1557647.69</v>
      </c>
    </row>
    <row r="58" spans="1:17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6"/>
    </row>
    <row r="59" spans="1:17">
      <c r="A59" s="1" t="s">
        <v>61</v>
      </c>
      <c r="B59" s="12">
        <v>11019009</v>
      </c>
      <c r="C59" s="7"/>
      <c r="D59" s="7"/>
      <c r="E59" s="7"/>
      <c r="F59" s="7"/>
      <c r="G59" s="7"/>
      <c r="H59" s="7" t="s">
        <v>38</v>
      </c>
      <c r="I59" s="7"/>
      <c r="J59" s="7"/>
      <c r="K59" s="6"/>
      <c r="L59" s="6"/>
      <c r="M59" s="6"/>
      <c r="N59" s="6"/>
      <c r="O59" s="6"/>
    </row>
    <row r="60" spans="1:17">
      <c r="A60" s="13" t="s">
        <v>62</v>
      </c>
      <c r="B60" s="19">
        <f t="shared" ref="B60:N60" si="12">+B57+B47</f>
        <v>2243654.69</v>
      </c>
      <c r="C60" s="19">
        <f t="shared" si="12"/>
        <v>5104694</v>
      </c>
      <c r="D60" s="19">
        <f t="shared" si="12"/>
        <v>3640300</v>
      </c>
      <c r="E60" s="19">
        <f t="shared" si="12"/>
        <v>2980766</v>
      </c>
      <c r="F60" s="19">
        <f t="shared" si="12"/>
        <v>2612844</v>
      </c>
      <c r="G60" s="19">
        <f t="shared" si="12"/>
        <v>2584279</v>
      </c>
      <c r="H60" s="19">
        <f t="shared" si="12"/>
        <v>4880630</v>
      </c>
      <c r="I60" s="19">
        <f t="shared" si="12"/>
        <v>2912693</v>
      </c>
      <c r="J60" s="19">
        <f t="shared" si="12"/>
        <v>2383105</v>
      </c>
      <c r="K60" s="19">
        <f t="shared" si="12"/>
        <v>2917069</v>
      </c>
      <c r="L60" s="19">
        <f t="shared" si="12"/>
        <v>2578193</v>
      </c>
      <c r="M60" s="19">
        <f t="shared" si="12"/>
        <v>1860199</v>
      </c>
      <c r="N60" s="19">
        <f t="shared" si="12"/>
        <v>36698426.689999998</v>
      </c>
      <c r="O60" s="6"/>
    </row>
    <row r="61" spans="1:17" ht="13.5" thickBot="1">
      <c r="A61" s="13" t="s">
        <v>63</v>
      </c>
      <c r="B61" s="30">
        <f t="shared" ref="B61:N61" si="13">+B13-B60</f>
        <v>-947567.69</v>
      </c>
      <c r="C61" s="30">
        <f t="shared" si="13"/>
        <v>140368</v>
      </c>
      <c r="D61" s="30">
        <f t="shared" si="13"/>
        <v>517864</v>
      </c>
      <c r="E61" s="30">
        <f t="shared" si="13"/>
        <v>749237</v>
      </c>
      <c r="F61" s="30">
        <f t="shared" si="13"/>
        <v>-90989</v>
      </c>
      <c r="G61" s="30">
        <f t="shared" si="13"/>
        <v>-263708</v>
      </c>
      <c r="H61" s="30">
        <f t="shared" si="13"/>
        <v>-113057</v>
      </c>
      <c r="I61" s="30">
        <f t="shared" si="13"/>
        <v>391910</v>
      </c>
      <c r="J61" s="30">
        <f t="shared" si="13"/>
        <v>1007983</v>
      </c>
      <c r="K61" s="30">
        <f t="shared" si="13"/>
        <v>319086</v>
      </c>
      <c r="L61" s="30">
        <f t="shared" si="13"/>
        <v>3514</v>
      </c>
      <c r="M61" s="30">
        <f t="shared" si="13"/>
        <v>-354235</v>
      </c>
      <c r="N61" s="14">
        <f t="shared" si="13"/>
        <v>1360405.3100000024</v>
      </c>
      <c r="O61" s="6"/>
      <c r="P61" s="25"/>
    </row>
    <row r="62" spans="1:17" s="6" customFormat="1" ht="13.5" thickTop="1">
      <c r="A62" s="13" t="s">
        <v>64</v>
      </c>
      <c r="B62" s="32">
        <f>+B61</f>
        <v>-947567.69</v>
      </c>
      <c r="C62" s="32">
        <f t="shared" ref="C62:M62" si="14">B62+C61</f>
        <v>-807199.69</v>
      </c>
      <c r="D62" s="32">
        <f t="shared" si="14"/>
        <v>-289335.68999999994</v>
      </c>
      <c r="E62" s="32">
        <f t="shared" si="14"/>
        <v>459901.31000000006</v>
      </c>
      <c r="F62" s="32">
        <f t="shared" si="14"/>
        <v>368912.31000000006</v>
      </c>
      <c r="G62" s="32">
        <f t="shared" si="14"/>
        <v>105204.31000000006</v>
      </c>
      <c r="H62" s="32">
        <f t="shared" si="14"/>
        <v>-7852.6899999999441</v>
      </c>
      <c r="I62" s="32">
        <f t="shared" si="14"/>
        <v>384057.31000000006</v>
      </c>
      <c r="J62" s="32">
        <f t="shared" si="14"/>
        <v>1392040.31</v>
      </c>
      <c r="K62" s="32">
        <f t="shared" si="14"/>
        <v>1711126.31</v>
      </c>
      <c r="L62" s="32">
        <f t="shared" si="14"/>
        <v>1714640.31</v>
      </c>
      <c r="M62" s="32">
        <f t="shared" si="14"/>
        <v>1360405.31</v>
      </c>
      <c r="N62" s="12"/>
    </row>
    <row r="63" spans="1:17">
      <c r="A63" s="13" t="s">
        <v>65</v>
      </c>
      <c r="B63" s="12">
        <f t="shared" ref="B63:M63" si="15">+$B$59+B62</f>
        <v>10071441.310000001</v>
      </c>
      <c r="C63" s="12">
        <f t="shared" si="15"/>
        <v>10211809.310000001</v>
      </c>
      <c r="D63" s="12">
        <f t="shared" si="15"/>
        <v>10729673.310000001</v>
      </c>
      <c r="E63" s="12">
        <f t="shared" si="15"/>
        <v>11478910.310000001</v>
      </c>
      <c r="F63" s="12">
        <f t="shared" si="15"/>
        <v>11387921.310000001</v>
      </c>
      <c r="G63" s="12">
        <f t="shared" si="15"/>
        <v>11124213.310000001</v>
      </c>
      <c r="H63" s="12">
        <f t="shared" si="15"/>
        <v>11011156.310000001</v>
      </c>
      <c r="I63" s="12">
        <f t="shared" si="15"/>
        <v>11403066.310000001</v>
      </c>
      <c r="J63" s="12">
        <f t="shared" si="15"/>
        <v>12411049.310000001</v>
      </c>
      <c r="K63" s="12">
        <f t="shared" si="15"/>
        <v>12730135.310000001</v>
      </c>
      <c r="L63" s="12">
        <f t="shared" si="15"/>
        <v>12733649.310000001</v>
      </c>
      <c r="M63" s="12">
        <f t="shared" si="15"/>
        <v>12379414.310000001</v>
      </c>
      <c r="N63" s="12"/>
      <c r="O63" s="6"/>
      <c r="P63" s="29"/>
    </row>
    <row r="64" spans="1:17">
      <c r="A64" s="6"/>
      <c r="B64" s="7"/>
      <c r="C64" s="7"/>
      <c r="D64" s="7"/>
      <c r="E64" s="7"/>
      <c r="F64" s="7"/>
      <c r="G64" s="7"/>
      <c r="H64" s="7"/>
      <c r="I64" s="7"/>
      <c r="J64" s="7"/>
      <c r="K64" s="6"/>
      <c r="L64" s="6"/>
      <c r="M64" s="6"/>
      <c r="N64" s="6"/>
      <c r="O64" s="6"/>
    </row>
    <row r="65" spans="1:16" s="6" customFormat="1">
      <c r="A65" s="17" t="s">
        <v>66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6">
      <c r="A66" s="13" t="s">
        <v>67</v>
      </c>
      <c r="B66" s="16">
        <v>-656994</v>
      </c>
      <c r="C66" s="16">
        <v>509942</v>
      </c>
      <c r="D66" s="16">
        <v>696330</v>
      </c>
      <c r="E66" s="16">
        <v>265094</v>
      </c>
      <c r="F66" s="16">
        <v>-433366</v>
      </c>
      <c r="G66" s="16">
        <v>-137987</v>
      </c>
      <c r="H66" s="16">
        <v>506349</v>
      </c>
      <c r="I66" s="16">
        <v>352153</v>
      </c>
      <c r="J66" s="16">
        <v>413008</v>
      </c>
      <c r="K66" s="16">
        <v>-136272</v>
      </c>
      <c r="L66" s="16">
        <v>76230</v>
      </c>
      <c r="M66" s="16">
        <v>-748336</v>
      </c>
      <c r="N66" s="16"/>
      <c r="O66" s="6"/>
    </row>
    <row r="67" spans="1:16">
      <c r="A67" s="13" t="s">
        <v>64</v>
      </c>
      <c r="B67" s="16">
        <v>-656994</v>
      </c>
      <c r="C67" s="16">
        <v>-147052</v>
      </c>
      <c r="D67" s="16">
        <v>549278</v>
      </c>
      <c r="E67" s="16">
        <v>814372</v>
      </c>
      <c r="F67" s="16">
        <v>381006</v>
      </c>
      <c r="G67" s="16">
        <v>243019</v>
      </c>
      <c r="H67" s="16">
        <v>749368</v>
      </c>
      <c r="I67" s="16">
        <v>1101521</v>
      </c>
      <c r="J67" s="16">
        <v>1514529</v>
      </c>
      <c r="K67" s="16">
        <v>1378257</v>
      </c>
      <c r="L67" s="16">
        <v>1454487</v>
      </c>
      <c r="M67" s="16">
        <v>706151</v>
      </c>
      <c r="N67" s="16"/>
      <c r="O67" s="6"/>
    </row>
    <row r="68" spans="1:16">
      <c r="A68" s="13" t="s">
        <v>65</v>
      </c>
      <c r="B68" s="12">
        <v>10362015</v>
      </c>
      <c r="C68" s="12">
        <v>10871957</v>
      </c>
      <c r="D68" s="12">
        <v>11568287</v>
      </c>
      <c r="E68" s="12">
        <v>11833381</v>
      </c>
      <c r="F68" s="12">
        <v>11400015</v>
      </c>
      <c r="G68" s="12">
        <v>11262028</v>
      </c>
      <c r="H68" s="12">
        <v>11768377</v>
      </c>
      <c r="I68" s="12">
        <v>12120530</v>
      </c>
      <c r="J68" s="12">
        <v>12533538</v>
      </c>
      <c r="K68" s="12">
        <v>12397266</v>
      </c>
      <c r="L68" s="12">
        <v>12473496</v>
      </c>
      <c r="M68" s="12">
        <v>11725160</v>
      </c>
      <c r="N68" s="12"/>
      <c r="O68" s="6"/>
    </row>
    <row r="69" spans="1:16">
      <c r="A69" s="6"/>
      <c r="B69" s="6"/>
      <c r="C69" s="6"/>
      <c r="D69" s="6"/>
      <c r="E69" s="6"/>
      <c r="F69" s="6"/>
      <c r="H69" s="6"/>
      <c r="I69" s="6"/>
      <c r="J69" s="6"/>
      <c r="K69" s="6"/>
      <c r="L69" s="6"/>
      <c r="M69" s="6"/>
      <c r="N69" s="6"/>
      <c r="O69" s="6"/>
    </row>
    <row r="70" spans="1:16">
      <c r="A70" s="24" t="s">
        <v>68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6"/>
    </row>
    <row r="71" spans="1:16">
      <c r="A71" s="13" t="s">
        <v>63</v>
      </c>
      <c r="B71" s="16">
        <f t="shared" ref="B71:N73" si="16">+B61-B66</f>
        <v>-290573.68999999994</v>
      </c>
      <c r="C71" s="16">
        <f t="shared" si="16"/>
        <v>-369574</v>
      </c>
      <c r="D71" s="16">
        <f t="shared" si="16"/>
        <v>-178466</v>
      </c>
      <c r="E71" s="16">
        <f t="shared" si="16"/>
        <v>484143</v>
      </c>
      <c r="F71" s="16">
        <f t="shared" si="16"/>
        <v>342377</v>
      </c>
      <c r="G71" s="16">
        <f t="shared" si="16"/>
        <v>-125721</v>
      </c>
      <c r="H71" s="16">
        <f t="shared" si="16"/>
        <v>-619406</v>
      </c>
      <c r="I71" s="16">
        <f t="shared" si="16"/>
        <v>39757</v>
      </c>
      <c r="J71" s="16">
        <f t="shared" si="16"/>
        <v>594975</v>
      </c>
      <c r="K71" s="16">
        <f t="shared" si="16"/>
        <v>455358</v>
      </c>
      <c r="L71" s="16">
        <f t="shared" si="16"/>
        <v>-72716</v>
      </c>
      <c r="M71" s="16">
        <f t="shared" si="16"/>
        <v>394101</v>
      </c>
      <c r="N71" s="6"/>
      <c r="O71" s="6"/>
      <c r="P71" s="16">
        <f>+N61-N66</f>
        <v>1360405.3100000024</v>
      </c>
    </row>
    <row r="72" spans="1:16" s="6" customFormat="1">
      <c r="A72" s="13" t="s">
        <v>64</v>
      </c>
      <c r="B72" s="16">
        <f t="shared" si="16"/>
        <v>-290573.68999999994</v>
      </c>
      <c r="C72" s="16">
        <f t="shared" si="16"/>
        <v>-660147.68999999994</v>
      </c>
      <c r="D72" s="16">
        <f t="shared" si="16"/>
        <v>-838613.69</v>
      </c>
      <c r="E72" s="16">
        <f t="shared" si="16"/>
        <v>-354470.68999999994</v>
      </c>
      <c r="F72" s="16">
        <f t="shared" si="16"/>
        <v>-12093.689999999944</v>
      </c>
      <c r="G72" s="16">
        <f t="shared" si="16"/>
        <v>-137814.68999999994</v>
      </c>
      <c r="H72" s="16">
        <f t="shared" si="16"/>
        <v>-757220.69</v>
      </c>
      <c r="I72" s="16">
        <f t="shared" si="16"/>
        <v>-717463.69</v>
      </c>
      <c r="J72" s="16">
        <f t="shared" si="16"/>
        <v>-122488.68999999994</v>
      </c>
      <c r="K72" s="16">
        <f t="shared" si="16"/>
        <v>332869.31000000006</v>
      </c>
      <c r="L72" s="16">
        <f t="shared" si="16"/>
        <v>260153.31000000006</v>
      </c>
      <c r="M72" s="16">
        <f t="shared" si="16"/>
        <v>654254.31000000006</v>
      </c>
      <c r="N72" s="16">
        <f t="shared" si="16"/>
        <v>0</v>
      </c>
    </row>
    <row r="73" spans="1:16">
      <c r="A73" s="1" t="s">
        <v>65</v>
      </c>
      <c r="B73" s="16">
        <f t="shared" si="16"/>
        <v>-290573.68999999948</v>
      </c>
      <c r="C73" s="16">
        <f t="shared" si="16"/>
        <v>-660147.68999999948</v>
      </c>
      <c r="D73" s="16">
        <f t="shared" si="16"/>
        <v>-838613.68999999948</v>
      </c>
      <c r="E73" s="16">
        <f t="shared" si="16"/>
        <v>-354470.68999999948</v>
      </c>
      <c r="F73" s="16">
        <f t="shared" si="16"/>
        <v>-12093.689999999478</v>
      </c>
      <c r="G73" s="16">
        <f t="shared" si="16"/>
        <v>-137814.68999999948</v>
      </c>
      <c r="H73" s="16">
        <f t="shared" si="16"/>
        <v>-757220.68999999948</v>
      </c>
      <c r="I73" s="16">
        <f t="shared" si="16"/>
        <v>-717463.68999999948</v>
      </c>
      <c r="J73" s="16">
        <f t="shared" si="16"/>
        <v>-122488.68999999948</v>
      </c>
      <c r="K73" s="16">
        <f t="shared" si="16"/>
        <v>332869.31000000052</v>
      </c>
      <c r="L73" s="16">
        <f t="shared" si="16"/>
        <v>260153.31000000052</v>
      </c>
      <c r="M73" s="16">
        <f t="shared" si="16"/>
        <v>654254.31000000052</v>
      </c>
      <c r="N73" s="16"/>
      <c r="O73" s="6"/>
    </row>
    <row r="74" spans="1:16">
      <c r="B74" s="6"/>
      <c r="C74" s="6"/>
      <c r="D74" s="6"/>
      <c r="E74" s="6"/>
      <c r="F74" s="6"/>
      <c r="H74" s="6"/>
      <c r="I74" s="6"/>
      <c r="J74" s="6"/>
      <c r="K74" s="6"/>
      <c r="L74" s="6"/>
      <c r="M74" s="6"/>
      <c r="N74" s="6"/>
    </row>
    <row r="75" spans="1:16">
      <c r="A75" s="1"/>
      <c r="B75" s="4"/>
      <c r="C75" s="8"/>
      <c r="D75" s="8"/>
      <c r="E75" s="8"/>
      <c r="F75" s="8"/>
      <c r="H75" s="20"/>
      <c r="J75" s="6"/>
      <c r="K75" s="6"/>
    </row>
    <row r="76" spans="1:16">
      <c r="A76" s="1"/>
      <c r="B76" s="4"/>
      <c r="C76" s="8"/>
      <c r="D76" s="8"/>
      <c r="E76" s="8"/>
      <c r="F76" s="8"/>
      <c r="H76" s="20"/>
      <c r="J76" s="6"/>
    </row>
    <row r="77" spans="1:16">
      <c r="A77" s="1"/>
      <c r="B77" s="4"/>
      <c r="D77" s="8"/>
      <c r="E77" s="8"/>
      <c r="F77" s="8"/>
      <c r="H77" s="61"/>
      <c r="J77" s="6"/>
    </row>
    <row r="78" spans="1:16">
      <c r="E78" s="6"/>
      <c r="H78" s="20"/>
      <c r="J78" s="6"/>
      <c r="N78" s="25"/>
    </row>
    <row r="79" spans="1:16">
      <c r="A79" t="s">
        <v>69</v>
      </c>
      <c r="B79" t="s">
        <v>69</v>
      </c>
      <c r="C79" t="s">
        <v>69</v>
      </c>
      <c r="D79" t="s">
        <v>69</v>
      </c>
      <c r="E79" s="6" t="s">
        <v>69</v>
      </c>
      <c r="F79" t="s">
        <v>69</v>
      </c>
      <c r="G79" s="6" t="s">
        <v>69</v>
      </c>
      <c r="H79" t="s">
        <v>69</v>
      </c>
      <c r="I79" t="s">
        <v>69</v>
      </c>
      <c r="J79" s="6" t="s">
        <v>69</v>
      </c>
      <c r="K79" t="s">
        <v>69</v>
      </c>
      <c r="L79" t="s">
        <v>69</v>
      </c>
      <c r="M79" t="s">
        <v>69</v>
      </c>
      <c r="N79" t="s">
        <v>69</v>
      </c>
    </row>
    <row r="80" spans="1:16">
      <c r="E80" s="6"/>
      <c r="J80" s="6"/>
    </row>
    <row r="81" spans="1:14">
      <c r="A81" s="33" t="s">
        <v>70</v>
      </c>
      <c r="B81" s="47">
        <v>0</v>
      </c>
      <c r="C81" s="47">
        <v>101000</v>
      </c>
      <c r="D81" s="47">
        <v>23668</v>
      </c>
      <c r="E81" s="47">
        <v>80000</v>
      </c>
      <c r="F81" s="47">
        <v>184679</v>
      </c>
      <c r="G81" s="10">
        <v>42500</v>
      </c>
      <c r="H81" s="54">
        <v>97000</v>
      </c>
      <c r="I81" s="47">
        <v>5000</v>
      </c>
      <c r="J81" s="47">
        <v>0</v>
      </c>
      <c r="K81" s="47">
        <v>185000</v>
      </c>
      <c r="L81" s="47">
        <v>0</v>
      </c>
      <c r="M81" s="47">
        <v>175000</v>
      </c>
      <c r="N81" s="7">
        <f>SUM(B81:M81)</f>
        <v>893847</v>
      </c>
    </row>
    <row r="82" spans="1:14">
      <c r="A82" s="33" t="s">
        <v>71</v>
      </c>
      <c r="B82" s="2">
        <f>+B81</f>
        <v>0</v>
      </c>
      <c r="C82" s="2">
        <f>+B82+C81</f>
        <v>101000</v>
      </c>
      <c r="D82" s="2">
        <f t="shared" ref="D82:M82" si="17">+C82+D81</f>
        <v>124668</v>
      </c>
      <c r="E82" s="7">
        <f t="shared" si="17"/>
        <v>204668</v>
      </c>
      <c r="F82" s="2">
        <f t="shared" si="17"/>
        <v>389347</v>
      </c>
      <c r="G82" s="7">
        <f t="shared" si="17"/>
        <v>431847</v>
      </c>
      <c r="H82" s="2">
        <f t="shared" si="17"/>
        <v>528847</v>
      </c>
      <c r="I82" s="2">
        <f t="shared" si="17"/>
        <v>533847</v>
      </c>
      <c r="J82" s="7">
        <f t="shared" si="17"/>
        <v>533847</v>
      </c>
      <c r="K82" s="2">
        <f t="shared" si="17"/>
        <v>718847</v>
      </c>
      <c r="L82" s="2">
        <f t="shared" si="17"/>
        <v>718847</v>
      </c>
      <c r="M82" s="2">
        <f t="shared" si="17"/>
        <v>893847</v>
      </c>
    </row>
    <row r="83" spans="1:14">
      <c r="A83" s="33" t="s">
        <v>72</v>
      </c>
      <c r="B83" s="7">
        <f>+B52</f>
        <v>11806</v>
      </c>
      <c r="C83" s="7">
        <f>SUM($B52:C52)</f>
        <v>71797</v>
      </c>
      <c r="D83" s="7">
        <f>SUM($B52:D52)</f>
        <v>72382</v>
      </c>
      <c r="E83" s="7">
        <f>SUM($B52:E52)</f>
        <v>167632</v>
      </c>
      <c r="F83" s="7">
        <f>SUM($B52:F52)</f>
        <v>179215</v>
      </c>
      <c r="G83" s="7">
        <f>SUM($B52:G52)</f>
        <v>330079</v>
      </c>
      <c r="H83" s="7">
        <f>SUM(B52:H52)</f>
        <v>535742</v>
      </c>
      <c r="I83" s="7">
        <f>SUM(B52:I52)</f>
        <v>544943</v>
      </c>
      <c r="J83" s="7">
        <f>SUM(B52:J52)</f>
        <v>568570</v>
      </c>
      <c r="K83" s="7">
        <f>SUM(B52:K52)</f>
        <v>574570</v>
      </c>
      <c r="L83" s="7">
        <f>SUM(B52:L52)</f>
        <v>616623</v>
      </c>
      <c r="M83" s="7">
        <f>SUM(B52:M52)</f>
        <v>575623</v>
      </c>
    </row>
    <row r="84" spans="1:14">
      <c r="A84" s="33" t="s">
        <v>73</v>
      </c>
      <c r="B84" s="7">
        <f t="shared" ref="B84:G84" si="18">+B82-B83</f>
        <v>-11806</v>
      </c>
      <c r="C84" s="7">
        <f t="shared" si="18"/>
        <v>29203</v>
      </c>
      <c r="D84" s="7">
        <f t="shared" si="18"/>
        <v>52286</v>
      </c>
      <c r="E84" s="7">
        <f t="shared" si="18"/>
        <v>37036</v>
      </c>
      <c r="F84" s="7">
        <f t="shared" si="18"/>
        <v>210132</v>
      </c>
      <c r="G84" s="7">
        <f t="shared" si="18"/>
        <v>101768</v>
      </c>
      <c r="H84" s="7">
        <f t="shared" ref="H84:M84" si="19">+H82-H83</f>
        <v>-6895</v>
      </c>
      <c r="I84" s="7">
        <f t="shared" si="19"/>
        <v>-11096</v>
      </c>
      <c r="J84" s="7">
        <f t="shared" si="19"/>
        <v>-34723</v>
      </c>
      <c r="K84" s="7">
        <f t="shared" si="19"/>
        <v>144277</v>
      </c>
      <c r="L84" s="7">
        <f t="shared" si="19"/>
        <v>102224</v>
      </c>
      <c r="M84" s="7">
        <f t="shared" si="19"/>
        <v>318224</v>
      </c>
    </row>
    <row r="85" spans="1:14">
      <c r="J85" s="6"/>
      <c r="K85" s="6"/>
    </row>
    <row r="86" spans="1:14">
      <c r="A86" t="s">
        <v>74</v>
      </c>
      <c r="B86" s="35">
        <f>-B55-B56</f>
        <v>-17518.689999999999</v>
      </c>
      <c r="C86" s="35">
        <f t="shared" ref="C86:N86" si="20">-C55-C56</f>
        <v>-305635</v>
      </c>
      <c r="D86" s="35">
        <f t="shared" si="20"/>
        <v>-259123</v>
      </c>
      <c r="E86" s="35">
        <f t="shared" si="20"/>
        <v>375621</v>
      </c>
      <c r="F86" s="35">
        <f t="shared" si="20"/>
        <v>-39452</v>
      </c>
      <c r="G86" s="40">
        <f t="shared" si="20"/>
        <v>-130559</v>
      </c>
      <c r="H86" s="35">
        <f t="shared" si="20"/>
        <v>-319823</v>
      </c>
      <c r="I86" s="35">
        <f t="shared" si="20"/>
        <v>-32726</v>
      </c>
      <c r="J86" s="35">
        <f t="shared" si="20"/>
        <v>419309</v>
      </c>
      <c r="K86" s="40">
        <f t="shared" si="20"/>
        <v>85352</v>
      </c>
      <c r="L86" s="35">
        <f t="shared" si="20"/>
        <v>8802</v>
      </c>
      <c r="M86" s="35">
        <f t="shared" si="20"/>
        <v>14261</v>
      </c>
      <c r="N86" s="35">
        <f t="shared" si="20"/>
        <v>-201491.68999999994</v>
      </c>
    </row>
    <row r="87" spans="1:14">
      <c r="C87" s="35">
        <f>+B86+C86</f>
        <v>-323153.69</v>
      </c>
      <c r="D87" s="35">
        <f>+C87+D86</f>
        <v>-582276.68999999994</v>
      </c>
      <c r="E87" s="35">
        <f t="shared" ref="E87:M87" si="21">+D87+E86</f>
        <v>-206655.68999999994</v>
      </c>
      <c r="F87" s="35">
        <f t="shared" si="21"/>
        <v>-246107.68999999994</v>
      </c>
      <c r="G87" s="40">
        <f t="shared" si="21"/>
        <v>-376666.68999999994</v>
      </c>
      <c r="H87" s="35">
        <f t="shared" si="21"/>
        <v>-696489.69</v>
      </c>
      <c r="I87" s="40">
        <f t="shared" si="21"/>
        <v>-729215.69</v>
      </c>
      <c r="J87" s="40">
        <f t="shared" si="21"/>
        <v>-309906.68999999994</v>
      </c>
      <c r="K87" s="40">
        <f t="shared" si="21"/>
        <v>-224554.68999999994</v>
      </c>
      <c r="L87" s="35">
        <f t="shared" si="21"/>
        <v>-215752.68999999994</v>
      </c>
      <c r="M87" s="35">
        <f t="shared" si="21"/>
        <v>-201491.68999999994</v>
      </c>
    </row>
    <row r="88" spans="1:14">
      <c r="K88" s="6"/>
    </row>
    <row r="90" spans="1:14">
      <c r="B90" s="6"/>
      <c r="C90" s="6"/>
      <c r="D90" s="6"/>
      <c r="E90" s="6"/>
    </row>
    <row r="91" spans="1:14">
      <c r="B91" s="21">
        <v>48198</v>
      </c>
      <c r="C91" s="21">
        <v>109945</v>
      </c>
      <c r="D91" s="36">
        <v>126000</v>
      </c>
      <c r="E91" s="6">
        <v>7681</v>
      </c>
      <c r="F91">
        <v>52000</v>
      </c>
      <c r="G91" s="6">
        <v>207419</v>
      </c>
      <c r="H91">
        <v>18000</v>
      </c>
      <c r="I91">
        <v>25000</v>
      </c>
      <c r="J91">
        <v>42000</v>
      </c>
      <c r="K91">
        <v>0</v>
      </c>
      <c r="L91">
        <v>0</v>
      </c>
      <c r="M91">
        <v>150000</v>
      </c>
      <c r="N91">
        <v>786243</v>
      </c>
    </row>
    <row r="92" spans="1:14">
      <c r="B92" s="37"/>
      <c r="C92" s="38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21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2:5">
      <c r="B97" s="6"/>
      <c r="C97" s="6"/>
      <c r="D97" s="6"/>
      <c r="E97" s="6"/>
    </row>
    <row r="98" spans="2:5">
      <c r="B98" s="6"/>
      <c r="C98" s="6"/>
      <c r="D98" s="34"/>
      <c r="E98" s="6"/>
    </row>
    <row r="99" spans="2:5">
      <c r="B99" s="6"/>
      <c r="C99" s="6"/>
      <c r="D99" s="6"/>
      <c r="E99" s="6"/>
    </row>
    <row r="100" spans="2:5">
      <c r="B100" s="6"/>
      <c r="C100" s="6"/>
      <c r="D100" s="6"/>
      <c r="E100" s="6"/>
    </row>
  </sheetData>
  <pageMargins left="0.28000000000000003" right="0.25" top="0.99" bottom="0.75" header="0.63" footer="0.23"/>
  <pageSetup scale="62" orientation="landscape" r:id="rId1"/>
  <headerFooter alignWithMargins="0">
    <oddHeader xml:space="preserve">&amp;C&amp;"Arial,Bold"&amp;11 49ER SHOPS, INC.
&amp;UFY2015/2016 OPERATIONAL CASH FLOW </oddHeader>
    <oddFooter xml:space="preserve">&amp;CCash Flow - FY2015/2016 
June 2016 Pre-Audit
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4" activePane="bottomRight" state="frozen"/>
      <selection pane="topRight" activeCell="B72" sqref="B72"/>
      <selection pane="bottomLeft" activeCell="B72" sqref="B72"/>
      <selection pane="bottomRight" activeCell="E21" sqref="E21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99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8" t="s">
        <v>76</v>
      </c>
      <c r="F2" s="48" t="s">
        <v>76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1102036</v>
      </c>
      <c r="C5" s="53">
        <v>2503975</v>
      </c>
      <c r="D5" s="53">
        <v>5591236</v>
      </c>
      <c r="E5" s="53">
        <v>3796312</v>
      </c>
      <c r="F5" s="53">
        <v>2590434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36455537</v>
      </c>
      <c r="O5" s="29"/>
    </row>
    <row r="6" spans="1:15" s="6" customFormat="1">
      <c r="A6" s="6" t="s">
        <v>29</v>
      </c>
      <c r="B6" s="53">
        <v>70448</v>
      </c>
      <c r="C6" s="53">
        <v>71234</v>
      </c>
      <c r="D6" s="53">
        <v>278603</v>
      </c>
      <c r="E6" s="53">
        <v>106870</v>
      </c>
      <c r="F6" s="53">
        <v>72743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1648295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3903182</v>
      </c>
      <c r="F9" s="12">
        <f t="shared" si="0"/>
        <v>2663177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38103832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86734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3903182</v>
      </c>
      <c r="F13" s="14">
        <f t="shared" si="1"/>
        <v>2663177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38190566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444475</v>
      </c>
      <c r="C16" s="53">
        <v>1463048</v>
      </c>
      <c r="D16" s="53">
        <v>3023160</v>
      </c>
      <c r="E16" s="53">
        <v>1317514</v>
      </c>
      <c r="F16" s="53">
        <v>955424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16492352</v>
      </c>
      <c r="O16" s="29"/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1317514</v>
      </c>
      <c r="F20" s="12">
        <f t="shared" si="2"/>
        <v>955424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16492352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2478798</v>
      </c>
      <c r="F23" s="7">
        <f t="shared" si="3"/>
        <v>1635010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19963185</v>
      </c>
      <c r="O23" s="29"/>
    </row>
    <row r="24" spans="1:44" s="6" customFormat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106870</v>
      </c>
      <c r="F24" s="7">
        <f t="shared" si="3"/>
        <v>72743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1648295</v>
      </c>
      <c r="O24" s="29"/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2585668</v>
      </c>
      <c r="F27" s="12">
        <f t="shared" si="4"/>
        <v>1707753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21611480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0.66245130255263529</v>
      </c>
      <c r="F28" s="73">
        <f t="shared" si="5"/>
        <v>0.6412465262353948</v>
      </c>
      <c r="G28" s="73">
        <f t="shared" si="5"/>
        <v>0.63111262577948468</v>
      </c>
      <c r="H28" s="73">
        <f t="shared" si="5"/>
        <v>0.39034967223842676</v>
      </c>
      <c r="I28" s="73">
        <f t="shared" si="5"/>
        <v>0.58056878452866101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0.56717340135238892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779433</v>
      </c>
      <c r="F30" s="53">
        <v>605087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7536805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227112</v>
      </c>
      <c r="F31" s="53">
        <v>192649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2498874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1006545</v>
      </c>
      <c r="F34" s="12">
        <f t="shared" si="8"/>
        <v>797736</v>
      </c>
      <c r="G34" s="12">
        <f t="shared" si="8"/>
        <v>790966</v>
      </c>
      <c r="H34" s="12">
        <f t="shared" si="8"/>
        <v>812563</v>
      </c>
      <c r="I34" s="12">
        <f t="shared" si="8"/>
        <v>883090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10035679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1394318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17050997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-1006545</v>
      </c>
      <c r="F38" s="7">
        <f t="shared" si="9"/>
        <v>-797736</v>
      </c>
      <c r="G38" s="7">
        <f t="shared" si="9"/>
        <v>-790966</v>
      </c>
      <c r="H38" s="7">
        <f t="shared" si="9"/>
        <v>-812563</v>
      </c>
      <c r="I38" s="7">
        <f t="shared" si="9"/>
        <v>-883090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-10035679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-81090</v>
      </c>
      <c r="F39" s="72">
        <v>-81090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-1025713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694926</v>
      </c>
      <c r="F42" s="12">
        <f t="shared" si="10"/>
        <v>507142</v>
      </c>
      <c r="G42" s="12">
        <f t="shared" si="10"/>
        <v>525982</v>
      </c>
      <c r="H42" s="12">
        <f t="shared" si="10"/>
        <v>364858</v>
      </c>
      <c r="I42" s="12">
        <f t="shared" si="10"/>
        <v>515765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5867555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296581</v>
      </c>
      <c r="C44" s="53">
        <v>244043</v>
      </c>
      <c r="D44" s="53">
        <v>272075</v>
      </c>
      <c r="E44" s="53">
        <v>362175</v>
      </c>
      <c r="F44" s="53">
        <v>398914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4240608</v>
      </c>
      <c r="O44" s="29"/>
    </row>
    <row r="45" spans="1:44" hidden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362175</v>
      </c>
      <c r="F46" s="12">
        <f t="shared" si="11"/>
        <v>398914</v>
      </c>
      <c r="G46" s="12">
        <f t="shared" si="11"/>
        <v>307622</v>
      </c>
      <c r="H46" s="12">
        <f t="shared" si="11"/>
        <v>357356</v>
      </c>
      <c r="I46" s="12">
        <f t="shared" si="11"/>
        <v>287747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4240608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3381160</v>
      </c>
      <c r="F48" s="19">
        <f t="shared" si="12"/>
        <v>2659216</v>
      </c>
      <c r="G48" s="19">
        <f t="shared" si="12"/>
        <v>2678842</v>
      </c>
      <c r="H48" s="19">
        <f t="shared" si="12"/>
        <v>3875919</v>
      </c>
      <c r="I48" s="19">
        <f t="shared" si="12"/>
        <v>3297946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36636194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522022</v>
      </c>
      <c r="F50" s="12">
        <f t="shared" si="13"/>
        <v>3961</v>
      </c>
      <c r="G50" s="12">
        <f t="shared" si="13"/>
        <v>179136</v>
      </c>
      <c r="H50" s="12">
        <f t="shared" si="13"/>
        <v>-35780</v>
      </c>
      <c r="I50" s="12">
        <f t="shared" si="13"/>
        <v>543790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1554372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v>171500</v>
      </c>
      <c r="F53" s="10">
        <v>137500</v>
      </c>
      <c r="G53" s="10">
        <v>120200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1857465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-12500</v>
      </c>
      <c r="F56" s="7">
        <v>-12500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-148892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-25000</v>
      </c>
      <c r="F57" s="22">
        <v>-25000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-612115</v>
      </c>
      <c r="P57" s="7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134000</v>
      </c>
      <c r="F58" s="19">
        <f t="shared" si="14"/>
        <v>195000</v>
      </c>
      <c r="G58" s="19">
        <f t="shared" si="14"/>
        <v>82700</v>
      </c>
      <c r="H58" s="19">
        <f>SUM(H53:H57)</f>
        <v>78500</v>
      </c>
      <c r="I58" s="19">
        <f t="shared" si="14"/>
        <v>227500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1467870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3515160</v>
      </c>
      <c r="F61" s="19">
        <f t="shared" si="15"/>
        <v>2854216</v>
      </c>
      <c r="G61" s="19">
        <f t="shared" si="15"/>
        <v>2761542</v>
      </c>
      <c r="H61" s="19">
        <f t="shared" si="15"/>
        <v>3954419</v>
      </c>
      <c r="I61" s="19">
        <f t="shared" si="15"/>
        <v>3525446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38104064</v>
      </c>
      <c r="O61" s="29"/>
      <c r="P61" s="25">
        <f>+N61-O61</f>
        <v>38104064</v>
      </c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14">
        <f t="shared" si="16"/>
        <v>388022</v>
      </c>
      <c r="F62" s="14">
        <f t="shared" si="16"/>
        <v>-191039</v>
      </c>
      <c r="G62" s="14">
        <f t="shared" si="16"/>
        <v>96436</v>
      </c>
      <c r="H62" s="14">
        <f t="shared" si="16"/>
        <v>-114280</v>
      </c>
      <c r="I62" s="14">
        <f t="shared" si="16"/>
        <v>316290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86502</v>
      </c>
      <c r="O62" s="29"/>
      <c r="P62" s="25">
        <f>+N62-O62</f>
        <v>86502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12">
        <f t="shared" si="17"/>
        <v>541484</v>
      </c>
      <c r="F63" s="12">
        <f t="shared" si="17"/>
        <v>350445</v>
      </c>
      <c r="G63" s="12">
        <f t="shared" si="17"/>
        <v>446881</v>
      </c>
      <c r="H63" s="12">
        <f t="shared" si="17"/>
        <v>332601</v>
      </c>
      <c r="I63" s="12">
        <f t="shared" si="17"/>
        <v>648891</v>
      </c>
      <c r="J63" s="12">
        <f t="shared" si="17"/>
        <v>1278360</v>
      </c>
      <c r="K63" s="12">
        <f t="shared" si="17"/>
        <v>1257471</v>
      </c>
      <c r="L63" s="12">
        <f t="shared" si="17"/>
        <v>1446338</v>
      </c>
      <c r="M63" s="12">
        <f t="shared" si="17"/>
        <v>86502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13914507</v>
      </c>
      <c r="F64" s="12">
        <f t="shared" si="18"/>
        <v>13723468</v>
      </c>
      <c r="G64" s="12">
        <f t="shared" si="18"/>
        <v>13819904</v>
      </c>
      <c r="H64" s="12">
        <f t="shared" si="18"/>
        <v>13705624</v>
      </c>
      <c r="I64" s="12">
        <f t="shared" si="18"/>
        <v>14021914</v>
      </c>
      <c r="J64" s="12">
        <f t="shared" si="18"/>
        <v>14651383</v>
      </c>
      <c r="K64" s="12">
        <f t="shared" si="18"/>
        <v>14630494</v>
      </c>
      <c r="L64" s="12">
        <f t="shared" si="18"/>
        <v>14819361</v>
      </c>
      <c r="M64" s="12">
        <f t="shared" si="18"/>
        <v>13459525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16">
        <f t="shared" si="20"/>
        <v>0</v>
      </c>
      <c r="F72" s="16">
        <f t="shared" si="20"/>
        <v>0</v>
      </c>
      <c r="G72" s="16">
        <f t="shared" si="20"/>
        <v>0</v>
      </c>
      <c r="H72" s="16">
        <f t="shared" si="20"/>
        <v>0</v>
      </c>
      <c r="I72" s="16">
        <f t="shared" si="20"/>
        <v>0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86502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16">
        <f t="shared" si="20"/>
        <v>-219417</v>
      </c>
      <c r="F73" s="16">
        <f t="shared" si="20"/>
        <v>-219417</v>
      </c>
      <c r="G73" s="16">
        <f t="shared" si="20"/>
        <v>-219417</v>
      </c>
      <c r="H73" s="16">
        <f t="shared" si="20"/>
        <v>-219417</v>
      </c>
      <c r="I73" s="16">
        <f t="shared" si="20"/>
        <v>-219417</v>
      </c>
      <c r="J73" s="16">
        <f t="shared" si="20"/>
        <v>-219417</v>
      </c>
      <c r="K73" s="16">
        <f t="shared" si="20"/>
        <v>-219417</v>
      </c>
      <c r="L73" s="16">
        <f t="shared" si="20"/>
        <v>-219417</v>
      </c>
      <c r="M73" s="16">
        <f t="shared" si="20"/>
        <v>-219417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1921785.0713608675</v>
      </c>
      <c r="F74" s="16">
        <f t="shared" si="20"/>
        <v>1996495.6784120575</v>
      </c>
      <c r="G74" s="16">
        <f t="shared" si="20"/>
        <v>2482634.293987859</v>
      </c>
      <c r="H74" s="16">
        <f t="shared" si="20"/>
        <v>2382715.2023581117</v>
      </c>
      <c r="I74" s="16">
        <f t="shared" si="20"/>
        <v>2495124.6068953238</v>
      </c>
      <c r="J74" s="16">
        <f t="shared" si="20"/>
        <v>2813677.3315243162</v>
      </c>
      <c r="K74" s="16">
        <f t="shared" si="20"/>
        <v>2609229.2213346213</v>
      </c>
      <c r="L74" s="16">
        <f t="shared" si="20"/>
        <v>2343748.4316332061</v>
      </c>
      <c r="M74" s="16">
        <f t="shared" si="20"/>
        <v>2261576.7652352396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508515</v>
      </c>
      <c r="F84" s="7">
        <f>SUM($B53:F53)</f>
        <v>646015</v>
      </c>
      <c r="G84" s="7">
        <f>SUM($B53:G53)</f>
        <v>766215</v>
      </c>
      <c r="H84" s="7">
        <f>SUM(B53:H53)</f>
        <v>882215</v>
      </c>
      <c r="I84" s="7">
        <f>SUM(B53:I53)</f>
        <v>1147215</v>
      </c>
      <c r="J84" s="7">
        <f>SUM(B53:J53)</f>
        <v>1147215</v>
      </c>
      <c r="K84" s="7">
        <f>SUM(B53:K53)</f>
        <v>1339465</v>
      </c>
      <c r="L84" s="7">
        <f>SUM(B53:L53)</f>
        <v>1582465</v>
      </c>
      <c r="M84" s="7">
        <f>SUM(B53:M53)</f>
        <v>1857465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-382160</v>
      </c>
      <c r="F85" s="7">
        <f t="shared" si="22"/>
        <v>-332820</v>
      </c>
      <c r="G85" s="7">
        <f t="shared" si="22"/>
        <v>-251020</v>
      </c>
      <c r="H85" s="7">
        <f t="shared" ref="H85:M85" si="23">+H83-H84</f>
        <v>-170020</v>
      </c>
      <c r="I85" s="7">
        <f t="shared" si="23"/>
        <v>-293020</v>
      </c>
      <c r="J85" s="7">
        <f t="shared" si="23"/>
        <v>-174020</v>
      </c>
      <c r="K85" s="7">
        <f t="shared" si="23"/>
        <v>-366270</v>
      </c>
      <c r="L85" s="7">
        <f t="shared" si="23"/>
        <v>-609270</v>
      </c>
      <c r="M85" s="7">
        <f t="shared" si="23"/>
        <v>-429270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37500</v>
      </c>
      <c r="F87" s="35">
        <f t="shared" si="24"/>
        <v>37500</v>
      </c>
      <c r="G87" s="40">
        <f t="shared" si="24"/>
        <v>37500</v>
      </c>
      <c r="H87" s="40">
        <f t="shared" si="24"/>
        <v>37500</v>
      </c>
      <c r="I87" s="35">
        <f t="shared" si="24"/>
        <v>37500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761007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461007</v>
      </c>
      <c r="F88" s="35">
        <f t="shared" si="25"/>
        <v>498507</v>
      </c>
      <c r="G88" s="40">
        <f t="shared" si="25"/>
        <v>536007</v>
      </c>
      <c r="H88" s="35">
        <f t="shared" si="25"/>
        <v>573507</v>
      </c>
      <c r="I88" s="40">
        <f t="shared" si="25"/>
        <v>611007</v>
      </c>
      <c r="J88" s="40">
        <f t="shared" si="25"/>
        <v>648507</v>
      </c>
      <c r="K88" s="40">
        <f t="shared" si="25"/>
        <v>686007</v>
      </c>
      <c r="L88" s="35">
        <f t="shared" si="25"/>
        <v>723507</v>
      </c>
      <c r="M88" s="35">
        <f t="shared" si="25"/>
        <v>761007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September 2017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66" activePane="bottomRight" state="frozen"/>
      <selection pane="topRight" activeCell="B72" sqref="B72"/>
      <selection pane="bottomLeft" activeCell="B72" sqref="B72"/>
      <selection pane="bottomRight" activeCell="A92" sqref="A9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101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8" t="s">
        <v>76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2590434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36656956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72743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1608711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2663177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38265667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108665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2663177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38374332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955424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16640114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955424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16640114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1635010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20016842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72743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1608711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1707753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21625553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0.6412465262353948</v>
      </c>
      <c r="G28" s="73">
        <f t="shared" si="5"/>
        <v>0.63111262577948468</v>
      </c>
      <c r="H28" s="73">
        <f t="shared" si="5"/>
        <v>0.39034967223842676</v>
      </c>
      <c r="I28" s="73">
        <f t="shared" si="5"/>
        <v>0.58056878452866101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0.56514245524584739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605087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7587055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192649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2507196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797736</v>
      </c>
      <c r="G34" s="12">
        <f t="shared" si="8"/>
        <v>790966</v>
      </c>
      <c r="H34" s="12">
        <f t="shared" si="8"/>
        <v>812563</v>
      </c>
      <c r="I34" s="12">
        <f t="shared" si="8"/>
        <v>883090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10094251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1394318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17050997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-797736</v>
      </c>
      <c r="G38" s="7">
        <f t="shared" si="9"/>
        <v>-790966</v>
      </c>
      <c r="H38" s="7">
        <f t="shared" si="9"/>
        <v>-812563</v>
      </c>
      <c r="I38" s="7">
        <f t="shared" si="9"/>
        <v>-883090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-10094251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-81090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-1020580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507142</v>
      </c>
      <c r="G42" s="12">
        <f t="shared" si="10"/>
        <v>525982</v>
      </c>
      <c r="H42" s="12">
        <f t="shared" si="10"/>
        <v>364858</v>
      </c>
      <c r="I42" s="12">
        <f t="shared" si="10"/>
        <v>515765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5814116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398914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4209829</v>
      </c>
      <c r="O44" s="29"/>
    </row>
    <row r="45" spans="1:44" hidden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398914</v>
      </c>
      <c r="G46" s="12">
        <f t="shared" si="11"/>
        <v>307622</v>
      </c>
      <c r="H46" s="12">
        <f t="shared" si="11"/>
        <v>357356</v>
      </c>
      <c r="I46" s="12">
        <f t="shared" si="11"/>
        <v>287747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4209829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2659216</v>
      </c>
      <c r="G48" s="19">
        <f t="shared" si="12"/>
        <v>2678842</v>
      </c>
      <c r="H48" s="19">
        <f t="shared" si="12"/>
        <v>3875919</v>
      </c>
      <c r="I48" s="19">
        <f t="shared" si="12"/>
        <v>3297946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36758310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3961</v>
      </c>
      <c r="G50" s="12">
        <f t="shared" si="13"/>
        <v>179136</v>
      </c>
      <c r="H50" s="12">
        <f t="shared" si="13"/>
        <v>-35780</v>
      </c>
      <c r="I50" s="12">
        <f t="shared" si="13"/>
        <v>543790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1616022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137500</v>
      </c>
      <c r="G53" s="10">
        <v>120200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1703987.65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-12500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-146310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-25000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-742223</v>
      </c>
      <c r="P57" s="7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195000</v>
      </c>
      <c r="G58" s="19">
        <f t="shared" si="14"/>
        <v>82700</v>
      </c>
      <c r="H58" s="19">
        <f>SUM(H53:H57)</f>
        <v>78500</v>
      </c>
      <c r="I58" s="19">
        <f t="shared" si="14"/>
        <v>227500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1186866.6499999999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2854216</v>
      </c>
      <c r="G61" s="19">
        <f t="shared" si="15"/>
        <v>2761542</v>
      </c>
      <c r="H61" s="19">
        <f t="shared" si="15"/>
        <v>3954419</v>
      </c>
      <c r="I61" s="19">
        <f t="shared" si="15"/>
        <v>3525446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37945176.649999999</v>
      </c>
      <c r="O61" s="29"/>
      <c r="P61" s="25">
        <f>+N61-O61</f>
        <v>37945176.649999999</v>
      </c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14">
        <f t="shared" si="16"/>
        <v>-191039</v>
      </c>
      <c r="G62" s="14">
        <f t="shared" si="16"/>
        <v>96436</v>
      </c>
      <c r="H62" s="14">
        <f t="shared" si="16"/>
        <v>-114280</v>
      </c>
      <c r="I62" s="14">
        <f t="shared" si="16"/>
        <v>316290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429155.35000000149</v>
      </c>
      <c r="O62" s="29"/>
      <c r="P62" s="25">
        <f>+N62-O62</f>
        <v>429155.35000000149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12">
        <f t="shared" si="17"/>
        <v>693098.35000000009</v>
      </c>
      <c r="G63" s="12">
        <f t="shared" si="17"/>
        <v>789534.35000000009</v>
      </c>
      <c r="H63" s="12">
        <f t="shared" si="17"/>
        <v>675254.35000000009</v>
      </c>
      <c r="I63" s="12">
        <f t="shared" si="17"/>
        <v>991544.35000000009</v>
      </c>
      <c r="J63" s="12">
        <f t="shared" si="17"/>
        <v>1621013.35</v>
      </c>
      <c r="K63" s="12">
        <f t="shared" si="17"/>
        <v>1600124.35</v>
      </c>
      <c r="L63" s="12">
        <f t="shared" si="17"/>
        <v>1788991.35</v>
      </c>
      <c r="M63" s="12">
        <f t="shared" si="17"/>
        <v>429155.35000000009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14066121.35</v>
      </c>
      <c r="G64" s="12">
        <f t="shared" si="18"/>
        <v>14162557.35</v>
      </c>
      <c r="H64" s="12">
        <f t="shared" si="18"/>
        <v>14048277.35</v>
      </c>
      <c r="I64" s="12">
        <f t="shared" si="18"/>
        <v>14364567.35</v>
      </c>
      <c r="J64" s="12">
        <f t="shared" si="18"/>
        <v>14994036.35</v>
      </c>
      <c r="K64" s="12">
        <f t="shared" si="18"/>
        <v>14973147.35</v>
      </c>
      <c r="L64" s="12">
        <f t="shared" si="18"/>
        <v>15162014.35</v>
      </c>
      <c r="M64" s="12">
        <f t="shared" si="18"/>
        <v>13802178.35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16">
        <f t="shared" si="20"/>
        <v>0</v>
      </c>
      <c r="G72" s="16">
        <f t="shared" si="20"/>
        <v>0</v>
      </c>
      <c r="H72" s="16">
        <f t="shared" si="20"/>
        <v>0</v>
      </c>
      <c r="I72" s="16">
        <f t="shared" si="20"/>
        <v>0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429155.35000000149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16">
        <f t="shared" si="20"/>
        <v>123236.35000000009</v>
      </c>
      <c r="G73" s="16">
        <f t="shared" si="20"/>
        <v>123236.35000000009</v>
      </c>
      <c r="H73" s="16">
        <f t="shared" si="20"/>
        <v>123236.35000000009</v>
      </c>
      <c r="I73" s="16">
        <f t="shared" si="20"/>
        <v>123236.35000000009</v>
      </c>
      <c r="J73" s="16">
        <f t="shared" si="20"/>
        <v>123236.35000000009</v>
      </c>
      <c r="K73" s="16">
        <f t="shared" si="20"/>
        <v>123236.35000000009</v>
      </c>
      <c r="L73" s="16">
        <f t="shared" si="20"/>
        <v>123236.35000000009</v>
      </c>
      <c r="M73" s="16">
        <f t="shared" si="20"/>
        <v>123236.35000000009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2339149.0284120571</v>
      </c>
      <c r="G74" s="16">
        <f t="shared" si="20"/>
        <v>2825287.6439878587</v>
      </c>
      <c r="H74" s="16">
        <f t="shared" si="20"/>
        <v>2725368.5523581114</v>
      </c>
      <c r="I74" s="16">
        <f t="shared" si="20"/>
        <v>2837777.9568953235</v>
      </c>
      <c r="J74" s="16">
        <f t="shared" si="20"/>
        <v>3156330.6815243158</v>
      </c>
      <c r="K74" s="16">
        <f t="shared" si="20"/>
        <v>2951882.5713346209</v>
      </c>
      <c r="L74" s="16">
        <f t="shared" si="20"/>
        <v>2686401.7816332057</v>
      </c>
      <c r="M74" s="16">
        <f t="shared" si="20"/>
        <v>2604230.1152352393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492537.65</v>
      </c>
      <c r="G84" s="7">
        <f>SUM($B53:G53)</f>
        <v>612737.65</v>
      </c>
      <c r="H84" s="7">
        <f>SUM(B53:H53)</f>
        <v>728737.65</v>
      </c>
      <c r="I84" s="7">
        <f>SUM(B53:I53)</f>
        <v>993737.65</v>
      </c>
      <c r="J84" s="7">
        <f>SUM(B53:J53)</f>
        <v>993737.65</v>
      </c>
      <c r="K84" s="7">
        <f>SUM(B53:K53)</f>
        <v>1185987.6499999999</v>
      </c>
      <c r="L84" s="7">
        <f>SUM(B53:L53)</f>
        <v>1428987.65</v>
      </c>
      <c r="M84" s="7">
        <f>SUM(B53:M53)</f>
        <v>1703987.65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-179342.65000000002</v>
      </c>
      <c r="G85" s="7">
        <f t="shared" si="22"/>
        <v>-97542.650000000023</v>
      </c>
      <c r="H85" s="7">
        <f t="shared" ref="H85:M85" si="23">+H83-H84</f>
        <v>-16542.650000000023</v>
      </c>
      <c r="I85" s="7">
        <f t="shared" si="23"/>
        <v>-139542.65000000002</v>
      </c>
      <c r="J85" s="7">
        <f t="shared" si="23"/>
        <v>-20542.650000000023</v>
      </c>
      <c r="K85" s="7">
        <f t="shared" si="23"/>
        <v>-212792.64999999991</v>
      </c>
      <c r="L85" s="7">
        <f t="shared" si="23"/>
        <v>-455792.64999999991</v>
      </c>
      <c r="M85" s="7">
        <f t="shared" si="23"/>
        <v>-275792.64999999991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37500</v>
      </c>
      <c r="G87" s="40">
        <f t="shared" si="24"/>
        <v>37500</v>
      </c>
      <c r="H87" s="40">
        <f t="shared" si="24"/>
        <v>37500</v>
      </c>
      <c r="I87" s="35">
        <f t="shared" si="24"/>
        <v>37500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888533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626033</v>
      </c>
      <c r="G88" s="40">
        <f t="shared" si="25"/>
        <v>663533</v>
      </c>
      <c r="H88" s="35">
        <f t="shared" si="25"/>
        <v>701033</v>
      </c>
      <c r="I88" s="40">
        <f t="shared" si="25"/>
        <v>738533</v>
      </c>
      <c r="J88" s="40">
        <f t="shared" si="25"/>
        <v>776033</v>
      </c>
      <c r="K88" s="40">
        <f t="shared" si="25"/>
        <v>813533</v>
      </c>
      <c r="L88" s="35">
        <f t="shared" si="25"/>
        <v>851033</v>
      </c>
      <c r="M88" s="35">
        <f t="shared" si="25"/>
        <v>888533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October 2017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C4" activePane="bottomRight" state="frozen"/>
      <selection pane="topRight" activeCell="B72" sqref="B72"/>
      <selection pane="bottomLeft" activeCell="B72" sqref="B72"/>
      <selection pane="bottomRight" activeCell="G2" sqref="G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102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64">
        <v>2408043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36474565</v>
      </c>
      <c r="O5" s="29"/>
    </row>
    <row r="6" spans="1:15" s="6" customFormat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64">
        <v>128754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1664722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38139287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42">
        <f>9121+F56</f>
        <v>964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109629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38248916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64">
        <v>847496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16532186</v>
      </c>
      <c r="O16" s="29"/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16532186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42">
        <f t="shared" si="3"/>
        <v>1560547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19942379</v>
      </c>
      <c r="O23" s="29"/>
    </row>
    <row r="24" spans="1:44" s="6" customFormat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42">
        <f t="shared" si="3"/>
        <v>128754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1664722</v>
      </c>
      <c r="O24" s="29"/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42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43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44">
        <f t="shared" si="4"/>
        <v>1689301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21607101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0.63111262577948468</v>
      </c>
      <c r="H28" s="73">
        <f t="shared" si="5"/>
        <v>0.39034967223842676</v>
      </c>
      <c r="I28" s="73">
        <f t="shared" si="5"/>
        <v>0.58056878452866101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0.56653133027893254</v>
      </c>
    </row>
    <row r="29" spans="1:4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49">
        <v>607435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7589403</v>
      </c>
      <c r="O30" s="29"/>
    </row>
    <row r="31" spans="1:44" s="6" customFormat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49">
        <v>203129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2517676</v>
      </c>
      <c r="O31" s="29"/>
    </row>
    <row r="32" spans="1:44" s="6" customFormat="1" ht="15">
      <c r="A32" s="6" t="s">
        <v>38</v>
      </c>
      <c r="B32" s="68"/>
      <c r="C32" s="68"/>
      <c r="D32" s="68"/>
      <c r="E32" s="68"/>
      <c r="F32" s="74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>
      <c r="B33" s="15"/>
      <c r="C33" s="15"/>
      <c r="D33" s="15"/>
      <c r="E33" s="15"/>
      <c r="F33" s="43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44">
        <f t="shared" si="8"/>
        <v>810564</v>
      </c>
      <c r="G34" s="12">
        <f t="shared" si="8"/>
        <v>790966</v>
      </c>
      <c r="H34" s="12">
        <f t="shared" si="8"/>
        <v>812563</v>
      </c>
      <c r="I34" s="12">
        <f t="shared" si="8"/>
        <v>883090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10107079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49">
        <v>1370885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17027564</v>
      </c>
      <c r="O37" s="29"/>
      <c r="P37" s="69"/>
    </row>
    <row r="38" spans="1:44" s="6" customFormat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42">
        <f t="shared" si="9"/>
        <v>-810564</v>
      </c>
      <c r="G38" s="7">
        <f t="shared" si="9"/>
        <v>-790966</v>
      </c>
      <c r="H38" s="7">
        <f t="shared" si="9"/>
        <v>-812563</v>
      </c>
      <c r="I38" s="7">
        <f t="shared" si="9"/>
        <v>-883090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-10107079</v>
      </c>
      <c r="O38" s="29"/>
    </row>
    <row r="39" spans="1:44" s="6" customFormat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5">
        <v>-75944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-1015434</v>
      </c>
      <c r="O39" s="29"/>
    </row>
    <row r="40" spans="1:44" s="6" customFormat="1">
      <c r="A40" s="6" t="s">
        <v>78</v>
      </c>
      <c r="B40" s="53"/>
      <c r="C40" s="53"/>
      <c r="D40" s="53"/>
      <c r="E40" s="53"/>
      <c r="F40" s="49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76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44">
        <f t="shared" si="10"/>
        <v>476027</v>
      </c>
      <c r="G42" s="12">
        <f t="shared" si="10"/>
        <v>525982</v>
      </c>
      <c r="H42" s="12">
        <f t="shared" si="10"/>
        <v>364858</v>
      </c>
      <c r="I42" s="12">
        <f t="shared" si="10"/>
        <v>515765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5783001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49">
        <v>346084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4156999</v>
      </c>
      <c r="O44" s="29"/>
    </row>
    <row r="45" spans="1:44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307622</v>
      </c>
      <c r="H46" s="12">
        <f t="shared" si="11"/>
        <v>357356</v>
      </c>
      <c r="I46" s="12">
        <f t="shared" si="11"/>
        <v>287747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4156999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2678842</v>
      </c>
      <c r="H48" s="19">
        <f t="shared" si="12"/>
        <v>3875919</v>
      </c>
      <c r="I48" s="19">
        <f t="shared" si="12"/>
        <v>3297946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36579265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179136</v>
      </c>
      <c r="H50" s="12">
        <f t="shared" si="13"/>
        <v>-35780</v>
      </c>
      <c r="I50" s="12">
        <f t="shared" si="13"/>
        <v>543790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1669651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51">
        <v>85439</v>
      </c>
      <c r="G53" s="10">
        <v>120200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1651926.65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51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42">
        <v>-8157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-141967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50">
        <v>-96958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-814181</v>
      </c>
      <c r="P57" s="7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82700</v>
      </c>
      <c r="H58" s="19">
        <f>SUM(H53:H57)</f>
        <v>78500</v>
      </c>
      <c r="I58" s="19">
        <f t="shared" si="14"/>
        <v>227500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1067190.6499999999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2761542</v>
      </c>
      <c r="H61" s="19">
        <f t="shared" si="15"/>
        <v>3954419</v>
      </c>
      <c r="I61" s="19">
        <f t="shared" si="15"/>
        <v>3525446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37646455.649999999</v>
      </c>
      <c r="O61" s="29"/>
      <c r="P61" s="25">
        <f>+N61-O61</f>
        <v>37646455.649999999</v>
      </c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14">
        <f t="shared" si="16"/>
        <v>96436</v>
      </c>
      <c r="H62" s="14">
        <f t="shared" si="16"/>
        <v>-114280</v>
      </c>
      <c r="I62" s="14">
        <f t="shared" si="16"/>
        <v>316290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602460.35000000149</v>
      </c>
      <c r="O62" s="29"/>
      <c r="P62" s="25">
        <f>+N62-O62</f>
        <v>602460.35000000149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12">
        <f t="shared" si="17"/>
        <v>962839.35000000009</v>
      </c>
      <c r="H63" s="12">
        <f t="shared" si="17"/>
        <v>848559.35000000009</v>
      </c>
      <c r="I63" s="12">
        <f t="shared" si="17"/>
        <v>1164849.3500000001</v>
      </c>
      <c r="J63" s="12">
        <f t="shared" si="17"/>
        <v>1794318.35</v>
      </c>
      <c r="K63" s="12">
        <f t="shared" si="17"/>
        <v>1773429.35</v>
      </c>
      <c r="L63" s="12">
        <f t="shared" si="17"/>
        <v>1962296.35</v>
      </c>
      <c r="M63" s="12">
        <f t="shared" si="17"/>
        <v>602460.35000000009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14335862.35</v>
      </c>
      <c r="H64" s="12">
        <f t="shared" si="18"/>
        <v>14221582.35</v>
      </c>
      <c r="I64" s="12">
        <f t="shared" si="18"/>
        <v>14537872.35</v>
      </c>
      <c r="J64" s="12">
        <f t="shared" si="18"/>
        <v>15167341.35</v>
      </c>
      <c r="K64" s="12">
        <f t="shared" si="18"/>
        <v>15146452.35</v>
      </c>
      <c r="L64" s="12">
        <f t="shared" si="18"/>
        <v>15335319.35</v>
      </c>
      <c r="M64" s="12">
        <f t="shared" si="18"/>
        <v>13975483.35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16">
        <f t="shared" si="20"/>
        <v>0</v>
      </c>
      <c r="H72" s="16">
        <f t="shared" si="20"/>
        <v>0</v>
      </c>
      <c r="I72" s="16">
        <f t="shared" si="20"/>
        <v>0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602460.35000000149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16">
        <f t="shared" si="20"/>
        <v>296541.35000000009</v>
      </c>
      <c r="H73" s="16">
        <f t="shared" si="20"/>
        <v>296541.35000000009</v>
      </c>
      <c r="I73" s="16">
        <f t="shared" si="20"/>
        <v>296541.35000000009</v>
      </c>
      <c r="J73" s="16">
        <f t="shared" si="20"/>
        <v>296541.35000000009</v>
      </c>
      <c r="K73" s="16">
        <f t="shared" si="20"/>
        <v>296541.35000000009</v>
      </c>
      <c r="L73" s="16">
        <f t="shared" si="20"/>
        <v>296541.35000000009</v>
      </c>
      <c r="M73" s="16">
        <f t="shared" si="20"/>
        <v>296541.35000000009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2998592.6439878587</v>
      </c>
      <c r="H74" s="16">
        <f t="shared" si="20"/>
        <v>2898673.5523581114</v>
      </c>
      <c r="I74" s="16">
        <f t="shared" si="20"/>
        <v>3011082.9568953235</v>
      </c>
      <c r="J74" s="16">
        <f t="shared" si="20"/>
        <v>3329635.6815243158</v>
      </c>
      <c r="K74" s="16">
        <f t="shared" si="20"/>
        <v>3125187.5713346209</v>
      </c>
      <c r="L74" s="16">
        <f t="shared" si="20"/>
        <v>2859706.7816332057</v>
      </c>
      <c r="M74" s="16">
        <f t="shared" si="20"/>
        <v>2777535.1152352393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560676.65</v>
      </c>
      <c r="H84" s="7">
        <f>SUM(B53:H53)</f>
        <v>676676.65</v>
      </c>
      <c r="I84" s="7">
        <f>SUM(B53:I53)</f>
        <v>941676.65</v>
      </c>
      <c r="J84" s="7">
        <f>SUM(B53:J53)</f>
        <v>941676.65</v>
      </c>
      <c r="K84" s="7">
        <f>SUM(B53:K53)</f>
        <v>1133926.6499999999</v>
      </c>
      <c r="L84" s="7">
        <f>SUM(B53:L53)</f>
        <v>1376926.65</v>
      </c>
      <c r="M84" s="7">
        <f>SUM(B53:M53)</f>
        <v>1651926.65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-45481.650000000023</v>
      </c>
      <c r="H85" s="7">
        <f t="shared" ref="H85:M85" si="23">+H83-H84</f>
        <v>35518.349999999977</v>
      </c>
      <c r="I85" s="7">
        <f t="shared" si="23"/>
        <v>-87481.650000000023</v>
      </c>
      <c r="J85" s="7">
        <f t="shared" si="23"/>
        <v>31518.349999999977</v>
      </c>
      <c r="K85" s="7">
        <f t="shared" si="23"/>
        <v>-160731.64999999991</v>
      </c>
      <c r="L85" s="7">
        <f t="shared" si="23"/>
        <v>-403731.64999999991</v>
      </c>
      <c r="M85" s="7">
        <f t="shared" si="23"/>
        <v>-223731.64999999991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37500</v>
      </c>
      <c r="H87" s="40">
        <f t="shared" si="24"/>
        <v>37500</v>
      </c>
      <c r="I87" s="35">
        <f t="shared" si="24"/>
        <v>37500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956148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731148</v>
      </c>
      <c r="H88" s="35">
        <f t="shared" si="25"/>
        <v>768648</v>
      </c>
      <c r="I88" s="40">
        <f t="shared" si="25"/>
        <v>806148</v>
      </c>
      <c r="J88" s="40">
        <f t="shared" si="25"/>
        <v>843648</v>
      </c>
      <c r="K88" s="40">
        <f t="shared" si="25"/>
        <v>881148</v>
      </c>
      <c r="L88" s="35">
        <f t="shared" si="25"/>
        <v>918648</v>
      </c>
      <c r="M88" s="35">
        <f t="shared" si="25"/>
        <v>956148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1" orientation="landscape" r:id="rId1"/>
  <headerFooter alignWithMargins="0">
    <oddHeader xml:space="preserve">&amp;C&amp;"Arial,Bold"&amp;11 49ER SHOPS, INC.
&amp;UFY2017/2018 OPERATIONAL CASH FLOW </oddHeader>
    <oddFooter>&amp;CCash Flow - FY2017/2018
October 2017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AR97"/>
  <sheetViews>
    <sheetView showGridLines="0" zoomScale="90" zoomScaleNormal="90" workbookViewId="0">
      <pane xSplit="1" ySplit="3" topLeftCell="B4" activePane="bottomRight" state="frozen"/>
      <selection pane="topRight" activeCell="B72" sqref="B72"/>
      <selection pane="bottomLeft" activeCell="B72" sqref="B72"/>
      <selection pane="bottomRight" sqref="A1:XFD1048576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103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t="12.75" hidden="1" customHeight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t="12.75" hidden="1" customHeight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36290967</v>
      </c>
      <c r="O5" s="29"/>
    </row>
    <row r="6" spans="1:15" s="6" customFormat="1" ht="12.75" hidden="1" customHeight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1583851</v>
      </c>
      <c r="O6" s="29"/>
    </row>
    <row r="7" spans="1:15" s="6" customFormat="1" ht="12.75" hidden="1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t="12.75" hidden="1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37874818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110202.58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37985020.579999998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t="12.75" hidden="1" customHeigh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t="12.75" hidden="1" customHeight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16467961</v>
      </c>
      <c r="O16" s="29"/>
    </row>
    <row r="17" spans="1:44" s="6" customFormat="1" ht="12.75" hidden="1" customHeigh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t="12.75" hidden="1" customHeigh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t="12.75" hidden="1" customHeigh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16467961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t="12.75" hidden="1" customHeigh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t="12.75" hidden="1" customHeight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19823006</v>
      </c>
      <c r="O23" s="29"/>
    </row>
    <row r="24" spans="1:44" s="6" customFormat="1" ht="12.75" hidden="1" customHeight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1583851</v>
      </c>
      <c r="O24" s="29"/>
    </row>
    <row r="25" spans="1:44" s="6" customFormat="1" ht="12.75" hidden="1" customHeigh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t="12.75" hidden="1" customHeigh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21406857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0.39034967223842676</v>
      </c>
      <c r="I28" s="73">
        <f t="shared" si="5"/>
        <v>0.58056878452866101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0.56520026050026173</v>
      </c>
    </row>
    <row r="29" spans="1:44" s="6" customFormat="1" ht="12.75" hidden="1" customHeigh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t="12.75" hidden="1" customHeight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7622441</v>
      </c>
      <c r="O30" s="29"/>
    </row>
    <row r="31" spans="1:44" s="6" customFormat="1" ht="12.75" hidden="1" customHeight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2534251</v>
      </c>
      <c r="O31" s="29"/>
    </row>
    <row r="32" spans="1:44" s="6" customFormat="1" ht="15" hidden="1" customHeight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t="12.75" hidden="1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812563</v>
      </c>
      <c r="I34" s="12">
        <f t="shared" si="8"/>
        <v>883090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10156692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t="12.75" hidden="1" customHeigh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t="12.75" hidden="1" customHeight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17185394</v>
      </c>
      <c r="O37" s="29"/>
      <c r="P37" s="69"/>
    </row>
    <row r="38" spans="1:44" s="6" customFormat="1" ht="12.75" hidden="1" customHeight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-812563</v>
      </c>
      <c r="I38" s="7">
        <f t="shared" si="9"/>
        <v>-883090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-10156692</v>
      </c>
      <c r="O38" s="29"/>
    </row>
    <row r="39" spans="1:44" s="6" customFormat="1" ht="12.75" hidden="1" customHeight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-1010299</v>
      </c>
      <c r="O39" s="29"/>
    </row>
    <row r="40" spans="1:44" s="6" customFormat="1" ht="12.75" hidden="1" customHeigh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t="12.75" hidden="1" customHeight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364858</v>
      </c>
      <c r="I42" s="12">
        <f t="shared" si="10"/>
        <v>515765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5896353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t="12.75" hidden="1" customHeight="1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4128354</v>
      </c>
      <c r="O44" s="29"/>
    </row>
    <row r="45" spans="1:44" ht="12.75" hidden="1" customHeight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357356</v>
      </c>
      <c r="I46" s="12">
        <f t="shared" si="11"/>
        <v>287747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4128354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3875919</v>
      </c>
      <c r="I48" s="19">
        <f t="shared" si="12"/>
        <v>3297946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36649360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-35780</v>
      </c>
      <c r="I50" s="12">
        <f t="shared" si="13"/>
        <v>543790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1335660.58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1554790.65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-225172.41999999998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-808052.16</v>
      </c>
      <c r="P57" s="7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78500</v>
      </c>
      <c r="I58" s="19">
        <f t="shared" si="14"/>
        <v>227500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892978.07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3954419</v>
      </c>
      <c r="I61" s="19">
        <f t="shared" si="15"/>
        <v>3525446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37542338.07</v>
      </c>
      <c r="O61" s="29"/>
      <c r="P61" s="25">
        <f>+N61-O61</f>
        <v>37542338.07</v>
      </c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14">
        <f t="shared" si="16"/>
        <v>-114280</v>
      </c>
      <c r="I62" s="14">
        <f t="shared" si="16"/>
        <v>316290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442682.50999999791</v>
      </c>
      <c r="O62" s="29"/>
      <c r="P62" s="25">
        <f>+N62-O62</f>
        <v>442682.50999999791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12">
        <f t="shared" si="17"/>
        <v>688781.51000000024</v>
      </c>
      <c r="I63" s="12">
        <f t="shared" si="17"/>
        <v>1005071.5100000002</v>
      </c>
      <c r="J63" s="12">
        <f t="shared" si="17"/>
        <v>1634540.5100000002</v>
      </c>
      <c r="K63" s="12">
        <f t="shared" si="17"/>
        <v>1613651.5100000002</v>
      </c>
      <c r="L63" s="12">
        <f t="shared" si="17"/>
        <v>1802518.5100000002</v>
      </c>
      <c r="M63" s="12">
        <f t="shared" si="17"/>
        <v>442682.51000000024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14061804.51</v>
      </c>
      <c r="I64" s="12">
        <f t="shared" si="18"/>
        <v>14378094.51</v>
      </c>
      <c r="J64" s="12">
        <f t="shared" si="18"/>
        <v>15007563.51</v>
      </c>
      <c r="K64" s="12">
        <f t="shared" si="18"/>
        <v>14986674.51</v>
      </c>
      <c r="L64" s="12">
        <f t="shared" si="18"/>
        <v>15175541.51</v>
      </c>
      <c r="M64" s="12">
        <f t="shared" si="18"/>
        <v>13815705.51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16">
        <f t="shared" si="20"/>
        <v>0</v>
      </c>
      <c r="I72" s="16">
        <f t="shared" si="20"/>
        <v>0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442682.50999999791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16">
        <f t="shared" si="20"/>
        <v>136763.51000000024</v>
      </c>
      <c r="I73" s="16">
        <f t="shared" si="20"/>
        <v>136763.51000000024</v>
      </c>
      <c r="J73" s="16">
        <f t="shared" si="20"/>
        <v>136763.51000000024</v>
      </c>
      <c r="K73" s="16">
        <f t="shared" si="20"/>
        <v>136763.51000000024</v>
      </c>
      <c r="L73" s="16">
        <f t="shared" si="20"/>
        <v>136763.51000000024</v>
      </c>
      <c r="M73" s="16">
        <f t="shared" si="20"/>
        <v>136763.51000000024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2738895.7123581115</v>
      </c>
      <c r="I74" s="16">
        <f t="shared" si="20"/>
        <v>2851305.1168953236</v>
      </c>
      <c r="J74" s="16">
        <f t="shared" si="20"/>
        <v>3169857.841524316</v>
      </c>
      <c r="K74" s="16">
        <f t="shared" si="20"/>
        <v>2965409.7313346211</v>
      </c>
      <c r="L74" s="16">
        <f t="shared" si="20"/>
        <v>2699928.9416332059</v>
      </c>
      <c r="M74" s="16">
        <f t="shared" si="20"/>
        <v>2617757.2752352394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579540.65</v>
      </c>
      <c r="I84" s="7">
        <f>SUM(B53:I53)</f>
        <v>844540.65</v>
      </c>
      <c r="J84" s="7">
        <f>SUM(B53:J53)</f>
        <v>844540.65</v>
      </c>
      <c r="K84" s="7">
        <f>SUM(B53:K53)</f>
        <v>1036790.65</v>
      </c>
      <c r="L84" s="7">
        <f>SUM(B53:L53)</f>
        <v>1279790.6499999999</v>
      </c>
      <c r="M84" s="7">
        <f>SUM(B53:M53)</f>
        <v>1554790.65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132654.34999999998</v>
      </c>
      <c r="I85" s="7">
        <f t="shared" si="23"/>
        <v>9654.3499999999767</v>
      </c>
      <c r="J85" s="7">
        <f t="shared" si="23"/>
        <v>128654.34999999998</v>
      </c>
      <c r="K85" s="7">
        <f t="shared" si="23"/>
        <v>-63595.650000000023</v>
      </c>
      <c r="L85" s="7">
        <f t="shared" si="23"/>
        <v>-306595.64999999991</v>
      </c>
      <c r="M85" s="7">
        <f t="shared" si="23"/>
        <v>-126595.64999999991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37500</v>
      </c>
      <c r="I87" s="35">
        <f t="shared" si="24"/>
        <v>37500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1033224.5800000001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845724.58</v>
      </c>
      <c r="I88" s="40">
        <f t="shared" si="25"/>
        <v>883224.58</v>
      </c>
      <c r="J88" s="40">
        <f t="shared" si="25"/>
        <v>920724.58</v>
      </c>
      <c r="K88" s="40">
        <f t="shared" si="25"/>
        <v>958224.58</v>
      </c>
      <c r="L88" s="35">
        <f t="shared" si="25"/>
        <v>995724.58</v>
      </c>
      <c r="M88" s="35">
        <f t="shared" si="25"/>
        <v>1033224.58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December 2017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AR97"/>
  <sheetViews>
    <sheetView showGridLines="0" zoomScale="90" zoomScaleNormal="90" workbookViewId="0">
      <pane xSplit="1" ySplit="3" topLeftCell="F52" activePane="bottomRight" state="frozen"/>
      <selection pane="topRight" activeCell="B72" sqref="B72"/>
      <selection pane="bottomLeft" activeCell="B72" sqref="B72"/>
      <selection pane="bottomRight" activeCell="H62" sqref="H6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104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35898510</v>
      </c>
      <c r="O5" s="29"/>
    </row>
    <row r="6" spans="1:15" s="6" customFormat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1604064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37502574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110224.58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37612798.579999998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16209448</v>
      </c>
      <c r="O16" s="29"/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16209448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19689062</v>
      </c>
      <c r="O23" s="29"/>
    </row>
    <row r="24" spans="1:44" s="6" customFormat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1604064</v>
      </c>
      <c r="O24" s="29"/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21293126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0.58056878452866101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0.56777772107055902</v>
      </c>
    </row>
    <row r="29" spans="1:4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7627436</v>
      </c>
      <c r="O30" s="29"/>
    </row>
    <row r="31" spans="1:44" s="6" customFormat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2561875</v>
      </c>
      <c r="O31" s="29"/>
    </row>
    <row r="32" spans="1:44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883090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10189311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17180323</v>
      </c>
      <c r="O37" s="29"/>
      <c r="P37" s="69"/>
    </row>
    <row r="38" spans="1:44" s="6" customFormat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-883090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-10189311</v>
      </c>
      <c r="O38" s="29"/>
    </row>
    <row r="39" spans="1:44" s="6" customFormat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-997014</v>
      </c>
      <c r="O39" s="29"/>
    </row>
    <row r="40" spans="1:44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515765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5871948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4121129</v>
      </c>
      <c r="O44" s="29"/>
    </row>
    <row r="45" spans="1:44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287747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4121129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3297946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36391836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543790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1220962.58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1454392.65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-221965.41999999998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-1221356.1600000001</v>
      </c>
      <c r="P57" s="7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227500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382483.06999999983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3525446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36774319.07</v>
      </c>
      <c r="O61" s="29"/>
      <c r="P61" s="25">
        <f>+N61-O61</f>
        <v>36774319.07</v>
      </c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14">
        <f t="shared" si="16"/>
        <v>316290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838479.50999999791</v>
      </c>
      <c r="O62" s="29"/>
      <c r="P62" s="25">
        <f>+N62-O62</f>
        <v>838479.50999999791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12">
        <f t="shared" si="17"/>
        <v>1400868.5100000002</v>
      </c>
      <c r="J63" s="12">
        <f t="shared" si="17"/>
        <v>2030337.5100000002</v>
      </c>
      <c r="K63" s="12">
        <f t="shared" si="17"/>
        <v>2009448.5100000002</v>
      </c>
      <c r="L63" s="12">
        <f t="shared" si="17"/>
        <v>2198315.5100000002</v>
      </c>
      <c r="M63" s="12">
        <f t="shared" si="17"/>
        <v>838479.51000000024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14773891.51</v>
      </c>
      <c r="J64" s="12">
        <f t="shared" si="18"/>
        <v>15403360.51</v>
      </c>
      <c r="K64" s="12">
        <f t="shared" si="18"/>
        <v>15382471.51</v>
      </c>
      <c r="L64" s="12">
        <f t="shared" si="18"/>
        <v>15571338.51</v>
      </c>
      <c r="M64" s="12">
        <f t="shared" si="18"/>
        <v>14211502.51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16">
        <f t="shared" si="20"/>
        <v>0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838479.50999999791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16">
        <f t="shared" si="20"/>
        <v>532560.51000000024</v>
      </c>
      <c r="J73" s="16">
        <f t="shared" si="20"/>
        <v>532560.51000000024</v>
      </c>
      <c r="K73" s="16">
        <f t="shared" si="20"/>
        <v>532560.51000000024</v>
      </c>
      <c r="L73" s="16">
        <f t="shared" si="20"/>
        <v>532560.51000000024</v>
      </c>
      <c r="M73" s="16">
        <f t="shared" si="20"/>
        <v>532560.51000000024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3247102.1168953236</v>
      </c>
      <c r="J74" s="16">
        <f t="shared" si="20"/>
        <v>3565654.841524316</v>
      </c>
      <c r="K74" s="16">
        <f t="shared" si="20"/>
        <v>3361206.7313346211</v>
      </c>
      <c r="L74" s="16">
        <f t="shared" si="20"/>
        <v>3095725.9416332059</v>
      </c>
      <c r="M74" s="16">
        <f t="shared" si="20"/>
        <v>3013554.2752352394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744142.65</v>
      </c>
      <c r="J84" s="7">
        <f>SUM(B53:J53)</f>
        <v>744142.65</v>
      </c>
      <c r="K84" s="7">
        <f>SUM(B53:K53)</f>
        <v>936392.65</v>
      </c>
      <c r="L84" s="7">
        <f>SUM(B53:L53)</f>
        <v>1179392.6499999999</v>
      </c>
      <c r="M84" s="7">
        <f>SUM(B53:M53)</f>
        <v>1454392.65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110052.34999999998</v>
      </c>
      <c r="J85" s="7">
        <f t="shared" si="23"/>
        <v>229052.34999999998</v>
      </c>
      <c r="K85" s="7">
        <f t="shared" si="23"/>
        <v>36802.349999999977</v>
      </c>
      <c r="L85" s="7">
        <f t="shared" si="23"/>
        <v>-206197.64999999991</v>
      </c>
      <c r="M85" s="7">
        <f t="shared" si="23"/>
        <v>-26197.649999999907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37500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1443321.58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1255821.58</v>
      </c>
      <c r="I88" s="40">
        <f t="shared" si="25"/>
        <v>1293321.58</v>
      </c>
      <c r="J88" s="40">
        <f t="shared" si="25"/>
        <v>1330821.58</v>
      </c>
      <c r="K88" s="40">
        <f t="shared" si="25"/>
        <v>1368321.58</v>
      </c>
      <c r="L88" s="35">
        <f t="shared" si="25"/>
        <v>1405821.58</v>
      </c>
      <c r="M88" s="35">
        <f t="shared" si="25"/>
        <v>1443321.58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1" orientation="landscape" r:id="rId1"/>
  <headerFooter alignWithMargins="0">
    <oddHeader xml:space="preserve">&amp;C&amp;"Arial,Bold"&amp;11 49ER SHOPS, INC.
&amp;UFY2017/2018 OPERATIONAL CASH FLOW </oddHeader>
    <oddFooter>&amp;CCash Flow - FY2017/2018
January 2018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AR97"/>
  <sheetViews>
    <sheetView showGridLines="0" zoomScale="90" zoomScaleNormal="90" workbookViewId="0">
      <pane xSplit="1" ySplit="3" topLeftCell="B4" activePane="bottomRight" state="frozen"/>
      <selection pane="topRight" activeCell="B72" sqref="B72"/>
      <selection pane="bottomLeft" activeCell="B72" sqref="B72"/>
      <selection pane="bottomRight" activeCell="A54" sqref="A54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105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35668880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1649314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37318194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128396.58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37446590.579999998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16098473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16098473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19570407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1649314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21219721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0.56861596785739421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7664336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2564598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922713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10228934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17167568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-922713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-10228934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-983729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476672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5832855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4100416</v>
      </c>
      <c r="O44" s="29"/>
    </row>
    <row r="45" spans="1:44" hidden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267034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4100416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3166788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36260678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508740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1185912.58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68439.69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1257832.3400000001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-217988.41999999998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-882970.16000000015</v>
      </c>
      <c r="P57" s="56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373302.69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528285.76</v>
      </c>
      <c r="O58" s="29"/>
      <c r="P58" s="40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3540090.69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36788963.759999998</v>
      </c>
      <c r="O61" s="29"/>
      <c r="P61" s="25"/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30">
        <f t="shared" si="16"/>
        <v>135437.31000000006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657626.8200000003</v>
      </c>
      <c r="O62" s="29"/>
      <c r="P62" s="25"/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32">
        <f t="shared" si="17"/>
        <v>1220015.8200000003</v>
      </c>
      <c r="J63" s="12">
        <f t="shared" si="17"/>
        <v>1849484.8200000003</v>
      </c>
      <c r="K63" s="12">
        <f t="shared" si="17"/>
        <v>1828595.8200000003</v>
      </c>
      <c r="L63" s="12">
        <f t="shared" si="17"/>
        <v>2017462.8200000003</v>
      </c>
      <c r="M63" s="12">
        <f t="shared" si="17"/>
        <v>657626.8200000003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14593038.82</v>
      </c>
      <c r="J64" s="12">
        <f t="shared" si="18"/>
        <v>15222507.82</v>
      </c>
      <c r="K64" s="12">
        <f t="shared" si="18"/>
        <v>15201618.82</v>
      </c>
      <c r="L64" s="12">
        <f t="shared" si="18"/>
        <v>15390485.82</v>
      </c>
      <c r="M64" s="12">
        <f t="shared" si="18"/>
        <v>14030649.82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31">
        <f t="shared" si="20"/>
        <v>-180852.68999999994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657626.8200000003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31">
        <f t="shared" si="20"/>
        <v>351707.8200000003</v>
      </c>
      <c r="J73" s="16">
        <f t="shared" si="20"/>
        <v>351707.8200000003</v>
      </c>
      <c r="K73" s="16">
        <f t="shared" si="20"/>
        <v>351707.8200000003</v>
      </c>
      <c r="L73" s="16">
        <f t="shared" si="20"/>
        <v>351707.8200000003</v>
      </c>
      <c r="M73" s="16">
        <f t="shared" si="20"/>
        <v>351707.8200000003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3066249.4268953241</v>
      </c>
      <c r="J74" s="16">
        <f t="shared" si="20"/>
        <v>3384802.1515243165</v>
      </c>
      <c r="K74" s="16">
        <f t="shared" si="20"/>
        <v>3180354.0413346216</v>
      </c>
      <c r="L74" s="16">
        <f t="shared" si="20"/>
        <v>2914873.2516332064</v>
      </c>
      <c r="M74" s="16">
        <f t="shared" si="20"/>
        <v>2832701.5852352399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547582.34000000008</v>
      </c>
      <c r="J84" s="7">
        <f>SUM(B53:J53)</f>
        <v>547582.34000000008</v>
      </c>
      <c r="K84" s="7">
        <f>SUM(B53:K53)</f>
        <v>739832.34000000008</v>
      </c>
      <c r="L84" s="7">
        <f>SUM(B53:L53)</f>
        <v>982832.34000000008</v>
      </c>
      <c r="M84" s="7">
        <f>SUM(B53:M53)</f>
        <v>1257832.3400000001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306612.65999999992</v>
      </c>
      <c r="J85" s="7">
        <f t="shared" si="23"/>
        <v>425612.65999999992</v>
      </c>
      <c r="K85" s="7">
        <f t="shared" si="23"/>
        <v>233362.65999999992</v>
      </c>
      <c r="L85" s="7">
        <f t="shared" si="23"/>
        <v>-9637.3400000000838</v>
      </c>
      <c r="M85" s="7">
        <f t="shared" si="23"/>
        <v>170362.65999999992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-304863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1100958.58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1255821.58</v>
      </c>
      <c r="I88" s="40">
        <f t="shared" si="25"/>
        <v>950958.58000000007</v>
      </c>
      <c r="J88" s="40">
        <f t="shared" si="25"/>
        <v>988458.58000000007</v>
      </c>
      <c r="K88" s="40">
        <f t="shared" si="25"/>
        <v>1025958.5800000001</v>
      </c>
      <c r="L88" s="35">
        <f t="shared" si="25"/>
        <v>1063458.58</v>
      </c>
      <c r="M88" s="35">
        <f t="shared" si="25"/>
        <v>1100958.58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February 2018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AR97"/>
  <sheetViews>
    <sheetView showGridLines="0" topLeftCell="C42" zoomScale="90" zoomScaleNormal="90" workbookViewId="0">
      <selection activeCell="Q62" sqref="Q6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106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3275212</v>
      </c>
      <c r="K5" s="53">
        <v>2998356</v>
      </c>
      <c r="L5" s="53">
        <v>2831511</v>
      </c>
      <c r="M5" s="53">
        <v>1460406</v>
      </c>
      <c r="N5" s="12">
        <f>SUM(B5:M5)</f>
        <v>35608307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330162</v>
      </c>
      <c r="K6" s="53">
        <v>89970</v>
      </c>
      <c r="L6" s="53">
        <v>316808</v>
      </c>
      <c r="M6" s="53">
        <v>118439</v>
      </c>
      <c r="N6" s="7">
        <f>SUM(B6:M6)</f>
        <v>1750663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3605374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37358970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f>22350+J56</f>
        <v>10053</v>
      </c>
      <c r="K11" s="7">
        <v>0</v>
      </c>
      <c r="L11" s="7">
        <v>0</v>
      </c>
      <c r="M11" s="7">
        <v>0</v>
      </c>
      <c r="N11" s="7">
        <f>SUM(B11:M11)</f>
        <v>138449.58000000002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3615427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37497419.579999998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1164645</v>
      </c>
      <c r="K16" s="53">
        <v>1090469</v>
      </c>
      <c r="L16" s="53">
        <v>1126126</v>
      </c>
      <c r="M16" s="53">
        <v>849456</v>
      </c>
      <c r="N16" s="7">
        <f>SUM(B16:M16)</f>
        <v>16047196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1164645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16047196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2110567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19561111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330162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1750663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2440729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21311774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0.67696971243482651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0.57045935688269778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687238</v>
      </c>
      <c r="K30" s="53">
        <v>755862</v>
      </c>
      <c r="L30" s="53">
        <v>642868</v>
      </c>
      <c r="M30" s="53">
        <v>459430</v>
      </c>
      <c r="N30" s="7">
        <f>SUM(B30:M30)</f>
        <v>7662639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218161</v>
      </c>
      <c r="K31" s="53">
        <v>226530</v>
      </c>
      <c r="L31" s="53">
        <v>194439</v>
      </c>
      <c r="M31" s="53">
        <v>198004</v>
      </c>
      <c r="N31" s="7">
        <f>SUM(B31:M31)</f>
        <v>2584214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922713</v>
      </c>
      <c r="J34" s="12">
        <f t="shared" si="8"/>
        <v>905399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10246853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1568535</v>
      </c>
      <c r="K37" s="53">
        <v>1582030</v>
      </c>
      <c r="L37" s="53">
        <v>1425841</v>
      </c>
      <c r="M37" s="53">
        <v>1274220</v>
      </c>
      <c r="N37" s="7">
        <f>SUM(B37:M37)</f>
        <v>17204602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-922713</v>
      </c>
      <c r="J38" s="7">
        <f t="shared" si="9"/>
        <v>-905399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-10246853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-75679</v>
      </c>
      <c r="K39" s="72">
        <v>-88563</v>
      </c>
      <c r="L39" s="72">
        <v>-97279</v>
      </c>
      <c r="M39" s="72">
        <v>-97277</v>
      </c>
      <c r="N39" s="7">
        <f>SUM(B39:M39)</f>
        <v>-970444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476672</v>
      </c>
      <c r="J42" s="12">
        <f t="shared" si="10"/>
        <v>579107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5865255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354437</v>
      </c>
      <c r="K44" s="53">
        <v>378879</v>
      </c>
      <c r="L44" s="53">
        <v>307614</v>
      </c>
      <c r="M44" s="53">
        <v>705082</v>
      </c>
      <c r="N44" s="12">
        <f>SUM(B44:M44)</f>
        <v>4132333</v>
      </c>
      <c r="O44" s="29"/>
    </row>
    <row r="45" spans="1:44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>
        <v>1160600</v>
      </c>
      <c r="K45" s="22"/>
      <c r="L45" s="22"/>
      <c r="M45" s="22"/>
      <c r="N45" s="22">
        <f>SUM(B45:M45)</f>
        <v>1160600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267034</v>
      </c>
      <c r="J46" s="12">
        <f t="shared" si="11"/>
        <v>1515037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5292933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3166788</v>
      </c>
      <c r="J48" s="19">
        <f t="shared" si="12"/>
        <v>4164188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37452237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508740</v>
      </c>
      <c r="J50" s="12">
        <f t="shared" si="13"/>
        <v>-548761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45182.580000000075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68817</v>
      </c>
      <c r="J53" s="10">
        <v>7700</v>
      </c>
      <c r="K53" s="10">
        <v>192250</v>
      </c>
      <c r="L53" s="10">
        <v>243000</v>
      </c>
      <c r="M53" s="10">
        <v>275000</v>
      </c>
      <c r="N53" s="10">
        <f>SUM(B53:M53)</f>
        <v>1265909.6499999999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41">
        <v>-1160600</v>
      </c>
      <c r="K55" s="10"/>
      <c r="L55" s="10">
        <v>0</v>
      </c>
      <c r="M55" s="10">
        <v>0</v>
      </c>
      <c r="N55" s="10">
        <f>SUM(B55:M55)</f>
        <v>-884188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-12297</v>
      </c>
      <c r="K56" s="7">
        <v>-12500</v>
      </c>
      <c r="L56" s="7">
        <v>-12500</v>
      </c>
      <c r="M56" s="7">
        <v>-12500</v>
      </c>
      <c r="N56" s="7">
        <f>SUM(B56:M56)</f>
        <v>-217785.41999999998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114169</v>
      </c>
      <c r="K57" s="22">
        <v>-25000</v>
      </c>
      <c r="L57" s="22">
        <v>-25000</v>
      </c>
      <c r="M57" s="22">
        <v>-25000</v>
      </c>
      <c r="N57" s="22">
        <f>SUM(B57:M57)</f>
        <v>-743801.16000000015</v>
      </c>
      <c r="P57" s="56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373680</v>
      </c>
      <c r="J58" s="19">
        <f t="shared" si="14"/>
        <v>-1051028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-484864.93000000023</v>
      </c>
      <c r="O58" s="29"/>
      <c r="P58" s="40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3540468</v>
      </c>
      <c r="J61" s="19">
        <f t="shared" si="15"/>
        <v>3113160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36967372.07</v>
      </c>
      <c r="O61" s="29"/>
      <c r="P61" s="25"/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30">
        <f t="shared" si="16"/>
        <v>135060</v>
      </c>
      <c r="J62" s="30">
        <f t="shared" si="16"/>
        <v>502267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530047.50999999791</v>
      </c>
      <c r="O62" s="29"/>
      <c r="P62" s="25"/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32">
        <f t="shared" si="17"/>
        <v>1219638.5100000002</v>
      </c>
      <c r="J63" s="32">
        <f t="shared" si="17"/>
        <v>1721905.5100000002</v>
      </c>
      <c r="K63" s="12">
        <f t="shared" si="17"/>
        <v>1701016.5100000002</v>
      </c>
      <c r="L63" s="12">
        <f t="shared" si="17"/>
        <v>1889883.5100000002</v>
      </c>
      <c r="M63" s="12">
        <f t="shared" si="17"/>
        <v>530047.51000000024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14592661.51</v>
      </c>
      <c r="J64" s="12">
        <f t="shared" si="18"/>
        <v>15094928.51</v>
      </c>
      <c r="K64" s="12">
        <f t="shared" si="18"/>
        <v>15074039.51</v>
      </c>
      <c r="L64" s="12">
        <f t="shared" si="18"/>
        <v>15262906.51</v>
      </c>
      <c r="M64" s="12">
        <f t="shared" si="18"/>
        <v>13903070.51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31">
        <f t="shared" si="20"/>
        <v>-181230</v>
      </c>
      <c r="J72" s="31">
        <f t="shared" si="20"/>
        <v>-127202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530047.50999999791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31">
        <f t="shared" si="20"/>
        <v>351330.51000000024</v>
      </c>
      <c r="J73" s="31">
        <f t="shared" si="20"/>
        <v>224128.51000000024</v>
      </c>
      <c r="K73" s="16">
        <f t="shared" si="20"/>
        <v>224128.51000000024</v>
      </c>
      <c r="L73" s="16">
        <f t="shared" si="20"/>
        <v>224128.51000000024</v>
      </c>
      <c r="M73" s="16">
        <f t="shared" si="20"/>
        <v>224128.51000000024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3065872.1168953236</v>
      </c>
      <c r="J74" s="16">
        <f t="shared" si="20"/>
        <v>3257222.841524316</v>
      </c>
      <c r="K74" s="16">
        <f t="shared" si="20"/>
        <v>3052774.7313346211</v>
      </c>
      <c r="L74" s="16">
        <f t="shared" si="20"/>
        <v>2787293.9416332059</v>
      </c>
      <c r="M74" s="16">
        <f t="shared" si="20"/>
        <v>2705122.2752352394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547959.65</v>
      </c>
      <c r="J84" s="7">
        <f>SUM(B53:J53)</f>
        <v>555659.65</v>
      </c>
      <c r="K84" s="7">
        <f>SUM(B53:K53)</f>
        <v>747909.65</v>
      </c>
      <c r="L84" s="7">
        <f>SUM(B53:L53)</f>
        <v>990909.65</v>
      </c>
      <c r="M84" s="7">
        <f>SUM(B53:M53)</f>
        <v>1265909.6499999999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306235.34999999998</v>
      </c>
      <c r="J85" s="7">
        <f t="shared" si="23"/>
        <v>417535.35</v>
      </c>
      <c r="K85" s="7">
        <f t="shared" si="23"/>
        <v>225285.34999999998</v>
      </c>
      <c r="L85" s="7">
        <f t="shared" si="23"/>
        <v>-17714.650000000023</v>
      </c>
      <c r="M85" s="7">
        <f t="shared" si="23"/>
        <v>162285.35000000009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-304863</v>
      </c>
      <c r="J87" s="35">
        <f t="shared" si="24"/>
        <v>-101872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961586.58000000007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1255821.58</v>
      </c>
      <c r="I88" s="40">
        <f t="shared" si="25"/>
        <v>950958.58000000007</v>
      </c>
      <c r="J88" s="40">
        <f t="shared" si="25"/>
        <v>849086.58000000007</v>
      </c>
      <c r="K88" s="40">
        <f t="shared" si="25"/>
        <v>886586.58000000007</v>
      </c>
      <c r="L88" s="35">
        <f t="shared" si="25"/>
        <v>924086.58000000007</v>
      </c>
      <c r="M88" s="35">
        <f t="shared" si="25"/>
        <v>961586.58000000007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March 2018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  <pageSetUpPr fitToPage="1"/>
  </sheetPr>
  <dimension ref="A1:AR97"/>
  <sheetViews>
    <sheetView showGridLines="0" zoomScale="60" zoomScaleNormal="60" workbookViewId="0">
      <selection activeCell="K62" sqref="K62:K63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0" width="13.85546875" customWidth="1"/>
    <col min="11" max="11" width="14.425781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108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3275212</v>
      </c>
      <c r="K5" s="53">
        <v>3101717</v>
      </c>
      <c r="L5" s="53">
        <v>2831511</v>
      </c>
      <c r="M5" s="53">
        <v>1460406</v>
      </c>
      <c r="N5" s="12">
        <f>SUM(B5:M5)</f>
        <v>35711668</v>
      </c>
      <c r="O5" s="29"/>
    </row>
    <row r="6" spans="1:15" s="6" customFormat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330162</v>
      </c>
      <c r="K6" s="53">
        <v>75265</v>
      </c>
      <c r="L6" s="53">
        <v>316808</v>
      </c>
      <c r="M6" s="53">
        <v>118439</v>
      </c>
      <c r="N6" s="7">
        <f>SUM(B6:M6)</f>
        <v>1735958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3605374</v>
      </c>
      <c r="K9" s="12">
        <f t="shared" si="0"/>
        <v>3176982</v>
      </c>
      <c r="L9" s="12">
        <f t="shared" si="0"/>
        <v>3148319</v>
      </c>
      <c r="M9" s="12">
        <f t="shared" si="0"/>
        <v>1578845</v>
      </c>
      <c r="N9" s="12">
        <f t="shared" si="0"/>
        <v>37447626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f>22350+J56</f>
        <v>10053</v>
      </c>
      <c r="K11" s="7">
        <v>0</v>
      </c>
      <c r="L11" s="7">
        <v>0</v>
      </c>
      <c r="M11" s="7">
        <v>0</v>
      </c>
      <c r="N11" s="7">
        <f>SUM(B11:M11)</f>
        <v>138449.58000000002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3615427</v>
      </c>
      <c r="K13" s="14">
        <f t="shared" si="1"/>
        <v>3176982</v>
      </c>
      <c r="L13" s="14">
        <f t="shared" si="1"/>
        <v>3148319</v>
      </c>
      <c r="M13" s="14">
        <f t="shared" si="1"/>
        <v>1578845</v>
      </c>
      <c r="N13" s="14">
        <f t="shared" si="1"/>
        <v>37586075.579999998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1164645</v>
      </c>
      <c r="K16" s="53">
        <v>1029016</v>
      </c>
      <c r="L16" s="53">
        <v>1126126</v>
      </c>
      <c r="M16" s="53">
        <v>849456</v>
      </c>
      <c r="N16" s="7">
        <f>SUM(B16:M16)</f>
        <v>15985743</v>
      </c>
      <c r="O16" s="29"/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1164645</v>
      </c>
      <c r="K20" s="12">
        <f t="shared" si="2"/>
        <v>1029016</v>
      </c>
      <c r="L20" s="12">
        <f t="shared" si="2"/>
        <v>1126126</v>
      </c>
      <c r="M20" s="12">
        <f t="shared" si="2"/>
        <v>849456</v>
      </c>
      <c r="N20" s="12">
        <f t="shared" si="2"/>
        <v>15985743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2110567</v>
      </c>
      <c r="K23" s="7">
        <f t="shared" si="3"/>
        <v>2072701</v>
      </c>
      <c r="L23" s="7">
        <f t="shared" si="3"/>
        <v>1705385</v>
      </c>
      <c r="M23" s="7">
        <f t="shared" si="3"/>
        <v>610950</v>
      </c>
      <c r="N23" s="7">
        <f>SUM(B23:M23)</f>
        <v>19725925</v>
      </c>
      <c r="O23" s="29"/>
    </row>
    <row r="24" spans="1:44" s="6" customFormat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330162</v>
      </c>
      <c r="K24" s="7">
        <f t="shared" si="3"/>
        <v>75265</v>
      </c>
      <c r="L24" s="7">
        <f t="shared" si="3"/>
        <v>316808</v>
      </c>
      <c r="M24" s="7">
        <f t="shared" si="3"/>
        <v>118439</v>
      </c>
      <c r="N24" s="7">
        <f>SUM(B24:M24)</f>
        <v>1735958</v>
      </c>
      <c r="O24" s="29"/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2440729</v>
      </c>
      <c r="K27" s="12">
        <f t="shared" si="4"/>
        <v>2147966</v>
      </c>
      <c r="L27" s="12">
        <f t="shared" si="4"/>
        <v>2022193</v>
      </c>
      <c r="M27" s="12">
        <f>SUM(M23:M26)</f>
        <v>729389</v>
      </c>
      <c r="N27" s="12">
        <f t="shared" si="4"/>
        <v>21461883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0.67696971243482651</v>
      </c>
      <c r="K28" s="73">
        <f t="shared" si="5"/>
        <v>0.67610266598929425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0.57311731857181014</v>
      </c>
    </row>
    <row r="29" spans="1:4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687238</v>
      </c>
      <c r="K30" s="53">
        <v>765469</v>
      </c>
      <c r="L30" s="53">
        <v>642868</v>
      </c>
      <c r="M30" s="53">
        <v>459430</v>
      </c>
      <c r="N30" s="7">
        <f>SUM(B30:M30)</f>
        <v>7672246</v>
      </c>
      <c r="O30" s="29"/>
    </row>
    <row r="31" spans="1:44" s="6" customFormat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218161</v>
      </c>
      <c r="K31" s="53">
        <v>210395</v>
      </c>
      <c r="L31" s="53">
        <v>194439</v>
      </c>
      <c r="M31" s="53">
        <v>198004</v>
      </c>
      <c r="N31" s="7">
        <f>SUM(B31:M31)</f>
        <v>2568079</v>
      </c>
      <c r="O31" s="29"/>
    </row>
    <row r="32" spans="1:44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922713</v>
      </c>
      <c r="J34" s="12">
        <f t="shared" si="8"/>
        <v>905399</v>
      </c>
      <c r="K34" s="12">
        <f t="shared" si="8"/>
        <v>975864</v>
      </c>
      <c r="L34" s="12">
        <f t="shared" si="8"/>
        <v>837307</v>
      </c>
      <c r="M34" s="12">
        <f t="shared" si="8"/>
        <v>657434</v>
      </c>
      <c r="N34" s="12">
        <f t="shared" si="8"/>
        <v>10240325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1568535</v>
      </c>
      <c r="K37" s="53">
        <v>1616062</v>
      </c>
      <c r="L37" s="53">
        <v>1425841</v>
      </c>
      <c r="M37" s="53">
        <v>1274220</v>
      </c>
      <c r="N37" s="7">
        <f>SUM(B37:M37)</f>
        <v>17238634</v>
      </c>
      <c r="O37" s="29"/>
      <c r="P37" s="69"/>
    </row>
    <row r="38" spans="1:44" s="6" customFormat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-922713</v>
      </c>
      <c r="J38" s="7">
        <f t="shared" si="9"/>
        <v>-905399</v>
      </c>
      <c r="K38" s="7">
        <f t="shared" si="9"/>
        <v>-975864</v>
      </c>
      <c r="L38" s="7">
        <f t="shared" si="9"/>
        <v>-837307</v>
      </c>
      <c r="M38" s="7">
        <f t="shared" si="9"/>
        <v>-657434</v>
      </c>
      <c r="N38" s="7">
        <f>SUM(B38:M38)</f>
        <v>-10240325</v>
      </c>
      <c r="O38" s="29"/>
    </row>
    <row r="39" spans="1:44" s="6" customFormat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-75679</v>
      </c>
      <c r="K39" s="72">
        <v>-78971</v>
      </c>
      <c r="L39" s="72">
        <v>-97279</v>
      </c>
      <c r="M39" s="72">
        <v>-97277</v>
      </c>
      <c r="N39" s="7">
        <f>SUM(B39:M39)</f>
        <v>-960852</v>
      </c>
      <c r="O39" s="29"/>
    </row>
    <row r="40" spans="1:44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476672</v>
      </c>
      <c r="J42" s="12">
        <f t="shared" si="10"/>
        <v>579107</v>
      </c>
      <c r="K42" s="12">
        <f t="shared" si="10"/>
        <v>552877</v>
      </c>
      <c r="L42" s="12">
        <f t="shared" si="10"/>
        <v>482905</v>
      </c>
      <c r="M42" s="12">
        <f t="shared" si="10"/>
        <v>489209</v>
      </c>
      <c r="N42" s="12">
        <f t="shared" si="10"/>
        <v>5915407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354437</v>
      </c>
      <c r="K44" s="53">
        <v>342373</v>
      </c>
      <c r="L44" s="53">
        <v>307614</v>
      </c>
      <c r="M44" s="53">
        <v>705082</v>
      </c>
      <c r="N44" s="12">
        <f>SUM(B44:M44)</f>
        <v>4095827</v>
      </c>
      <c r="O44" s="29"/>
    </row>
    <row r="45" spans="1:44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>
        <v>1160600</v>
      </c>
      <c r="K45" s="22"/>
      <c r="L45" s="22"/>
      <c r="M45" s="22"/>
      <c r="N45" s="22">
        <f>SUM(B45:M45)</f>
        <v>1160600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267034</v>
      </c>
      <c r="J46" s="12">
        <f t="shared" si="11"/>
        <v>1515037</v>
      </c>
      <c r="K46" s="12">
        <f t="shared" si="11"/>
        <v>342373</v>
      </c>
      <c r="L46" s="12">
        <f t="shared" si="11"/>
        <v>307614</v>
      </c>
      <c r="M46" s="12">
        <f t="shared" si="11"/>
        <v>705082</v>
      </c>
      <c r="N46" s="12">
        <f t="shared" si="11"/>
        <v>5256427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3166788</v>
      </c>
      <c r="J48" s="19">
        <f t="shared" si="12"/>
        <v>4164188</v>
      </c>
      <c r="K48" s="19">
        <f t="shared" si="12"/>
        <v>2900130</v>
      </c>
      <c r="L48" s="19">
        <f t="shared" si="12"/>
        <v>2753952</v>
      </c>
      <c r="M48" s="19">
        <f t="shared" si="12"/>
        <v>2701181</v>
      </c>
      <c r="N48" s="19">
        <f t="shared" si="12"/>
        <v>37397902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508740</v>
      </c>
      <c r="J50" s="12">
        <f t="shared" si="13"/>
        <v>-548761</v>
      </c>
      <c r="K50" s="12">
        <f t="shared" si="13"/>
        <v>276852</v>
      </c>
      <c r="L50" s="12">
        <f t="shared" si="13"/>
        <v>394367</v>
      </c>
      <c r="M50" s="12">
        <f t="shared" si="13"/>
        <v>-1122336</v>
      </c>
      <c r="N50" s="12">
        <f>SUM(B50:M50)</f>
        <v>188173.58000000007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68817</v>
      </c>
      <c r="J53" s="10">
        <v>7700</v>
      </c>
      <c r="K53" s="10">
        <v>8338</v>
      </c>
      <c r="L53" s="10">
        <v>243000</v>
      </c>
      <c r="M53" s="10">
        <v>275000</v>
      </c>
      <c r="N53" s="10">
        <f>SUM(B53:M53)</f>
        <v>1081997.6499999999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41">
        <v>-1160600</v>
      </c>
      <c r="K55" s="10"/>
      <c r="L55" s="10">
        <v>0</v>
      </c>
      <c r="M55" s="10">
        <v>0</v>
      </c>
      <c r="N55" s="10">
        <f>SUM(B55:M55)</f>
        <v>-884188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-12297</v>
      </c>
      <c r="K56" s="7">
        <v>-18474</v>
      </c>
      <c r="L56" s="7">
        <v>-12500</v>
      </c>
      <c r="M56" s="7">
        <v>-12500</v>
      </c>
      <c r="N56" s="7">
        <f>SUM(B56:M56)</f>
        <v>-223759.41999999998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114169</v>
      </c>
      <c r="K57" s="22">
        <v>33076</v>
      </c>
      <c r="L57" s="22">
        <v>-25000</v>
      </c>
      <c r="M57" s="22">
        <v>-25000</v>
      </c>
      <c r="N57" s="22">
        <f>SUM(B57:M57)</f>
        <v>-685725.16000000015</v>
      </c>
      <c r="P57" s="56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373680</v>
      </c>
      <c r="J58" s="19">
        <f t="shared" si="14"/>
        <v>-1051028</v>
      </c>
      <c r="K58" s="19">
        <f t="shared" si="14"/>
        <v>22940</v>
      </c>
      <c r="L58" s="19">
        <f t="shared" si="14"/>
        <v>205500</v>
      </c>
      <c r="M58" s="19">
        <f t="shared" si="14"/>
        <v>237500</v>
      </c>
      <c r="N58" s="19">
        <f t="shared" si="14"/>
        <v>-616674.93000000017</v>
      </c>
      <c r="O58" s="29"/>
      <c r="P58" s="40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3540468</v>
      </c>
      <c r="J61" s="19">
        <f t="shared" si="15"/>
        <v>3113160</v>
      </c>
      <c r="K61" s="19">
        <f t="shared" si="15"/>
        <v>2923070</v>
      </c>
      <c r="L61" s="19">
        <f t="shared" si="15"/>
        <v>2959452</v>
      </c>
      <c r="M61" s="19">
        <f t="shared" si="15"/>
        <v>2938681</v>
      </c>
      <c r="N61" s="19">
        <f t="shared" si="15"/>
        <v>36781227.07</v>
      </c>
      <c r="O61" s="29"/>
      <c r="P61" s="25"/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30">
        <f t="shared" si="16"/>
        <v>135060</v>
      </c>
      <c r="J62" s="30">
        <f t="shared" si="16"/>
        <v>502267</v>
      </c>
      <c r="K62" s="30">
        <f t="shared" si="16"/>
        <v>253912</v>
      </c>
      <c r="L62" s="14">
        <f t="shared" si="16"/>
        <v>188867</v>
      </c>
      <c r="M62" s="14">
        <f t="shared" si="16"/>
        <v>-1359836</v>
      </c>
      <c r="N62" s="14">
        <f t="shared" si="16"/>
        <v>804848.50999999791</v>
      </c>
      <c r="O62" s="29"/>
      <c r="P62" s="25"/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32">
        <f t="shared" si="17"/>
        <v>1219638.5100000002</v>
      </c>
      <c r="J63" s="32">
        <f t="shared" si="17"/>
        <v>1721905.5100000002</v>
      </c>
      <c r="K63" s="32">
        <f t="shared" si="17"/>
        <v>1975817.5100000002</v>
      </c>
      <c r="L63" s="12">
        <f t="shared" si="17"/>
        <v>2164684.5100000002</v>
      </c>
      <c r="M63" s="12">
        <f t="shared" si="17"/>
        <v>804848.51000000024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14592661.51</v>
      </c>
      <c r="J64" s="12">
        <f t="shared" si="18"/>
        <v>15094928.51</v>
      </c>
      <c r="K64" s="12">
        <f t="shared" si="18"/>
        <v>15348840.51</v>
      </c>
      <c r="L64" s="12">
        <f t="shared" si="18"/>
        <v>15537707.51</v>
      </c>
      <c r="M64" s="12">
        <f t="shared" si="18"/>
        <v>14177871.51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31">
        <f t="shared" si="20"/>
        <v>-181230</v>
      </c>
      <c r="J72" s="31">
        <f t="shared" si="20"/>
        <v>-127202</v>
      </c>
      <c r="K72" s="16">
        <f t="shared" si="20"/>
        <v>274801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804848.50999999791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31">
        <f t="shared" si="20"/>
        <v>351330.51000000024</v>
      </c>
      <c r="J73" s="31">
        <f t="shared" si="20"/>
        <v>224128.51000000024</v>
      </c>
      <c r="K73" s="16">
        <f t="shared" si="20"/>
        <v>498929.51000000024</v>
      </c>
      <c r="L73" s="16">
        <f t="shared" si="20"/>
        <v>498929.51000000024</v>
      </c>
      <c r="M73" s="16">
        <f t="shared" si="20"/>
        <v>498929.51000000024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3065872.1168953236</v>
      </c>
      <c r="J74" s="16">
        <f t="shared" si="20"/>
        <v>3257222.841524316</v>
      </c>
      <c r="K74" s="16">
        <f t="shared" si="20"/>
        <v>3327575.7313346211</v>
      </c>
      <c r="L74" s="16">
        <f t="shared" si="20"/>
        <v>3062094.9416332059</v>
      </c>
      <c r="M74" s="16">
        <f t="shared" si="20"/>
        <v>2979923.2752352394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547959.65</v>
      </c>
      <c r="J84" s="7">
        <f>SUM(B53:J53)</f>
        <v>555659.65</v>
      </c>
      <c r="K84" s="7">
        <f>SUM(B53:K53)</f>
        <v>563997.65</v>
      </c>
      <c r="L84" s="7">
        <f>SUM(B53:L53)</f>
        <v>806997.65</v>
      </c>
      <c r="M84" s="7">
        <f>SUM(B53:M53)</f>
        <v>1081997.6499999999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306235.34999999998</v>
      </c>
      <c r="J85" s="7">
        <f t="shared" si="23"/>
        <v>417535.35</v>
      </c>
      <c r="K85" s="7">
        <f t="shared" si="23"/>
        <v>409197.35</v>
      </c>
      <c r="L85" s="7">
        <f t="shared" si="23"/>
        <v>166197.34999999998</v>
      </c>
      <c r="M85" s="7">
        <f t="shared" si="23"/>
        <v>346197.35000000009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-304863</v>
      </c>
      <c r="J87" s="35">
        <f t="shared" si="24"/>
        <v>-101872</v>
      </c>
      <c r="K87" s="40">
        <f t="shared" si="24"/>
        <v>-14602</v>
      </c>
      <c r="L87" s="35">
        <f t="shared" si="24"/>
        <v>37500</v>
      </c>
      <c r="M87" s="35">
        <f t="shared" si="24"/>
        <v>37500</v>
      </c>
      <c r="N87" s="35">
        <f t="shared" si="24"/>
        <v>909484.58000000007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1255821.58</v>
      </c>
      <c r="I88" s="40">
        <f t="shared" si="25"/>
        <v>950958.58000000007</v>
      </c>
      <c r="J88" s="40">
        <f t="shared" si="25"/>
        <v>849086.58000000007</v>
      </c>
      <c r="K88" s="40">
        <f t="shared" si="25"/>
        <v>834484.58000000007</v>
      </c>
      <c r="L88" s="35">
        <f t="shared" si="25"/>
        <v>871984.58000000007</v>
      </c>
      <c r="M88" s="35">
        <f t="shared" si="25"/>
        <v>909484.58000000007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1" orientation="landscape" r:id="rId1"/>
  <headerFooter alignWithMargins="0">
    <oddHeader xml:space="preserve">&amp;C&amp;"Arial,Bold"&amp;11 49ER SHOPS, INC.
&amp;UFY2017/2018 OPERATIONAL CASH FLOW </oddHeader>
    <oddFooter>&amp;CCash Flow - FY2017/2018
April 2018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AR97"/>
  <sheetViews>
    <sheetView showGridLines="0" topLeftCell="A45" zoomScale="60" zoomScaleNormal="60" workbookViewId="0">
      <selection activeCell="D77" sqref="D77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4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0" width="13.85546875" customWidth="1"/>
    <col min="11" max="11" width="14.425781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109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3275212</v>
      </c>
      <c r="K5" s="53">
        <v>3101717</v>
      </c>
      <c r="L5" s="53">
        <v>2775087</v>
      </c>
      <c r="M5" s="53">
        <v>1460406</v>
      </c>
      <c r="N5" s="12">
        <f>SUM(B5:M5)</f>
        <v>35655244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330162</v>
      </c>
      <c r="K6" s="53">
        <v>75265</v>
      </c>
      <c r="L6" s="53">
        <v>232832</v>
      </c>
      <c r="M6" s="53">
        <v>118439</v>
      </c>
      <c r="N6" s="7">
        <f>SUM(B6:M6)</f>
        <v>1651982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3605374</v>
      </c>
      <c r="K9" s="12">
        <f t="shared" si="0"/>
        <v>3176982</v>
      </c>
      <c r="L9" s="12">
        <f t="shared" si="0"/>
        <v>3007919</v>
      </c>
      <c r="M9" s="12">
        <f t="shared" si="0"/>
        <v>1578845</v>
      </c>
      <c r="N9" s="12">
        <f t="shared" si="0"/>
        <v>37307226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f>22350+J56</f>
        <v>10053</v>
      </c>
      <c r="K11" s="7">
        <v>0</v>
      </c>
      <c r="L11" s="7">
        <v>67</v>
      </c>
      <c r="M11" s="7">
        <v>0</v>
      </c>
      <c r="N11" s="7">
        <f>SUM(B11:M11)</f>
        <v>138516.58000000002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3615427</v>
      </c>
      <c r="K13" s="14">
        <f t="shared" si="1"/>
        <v>3176982</v>
      </c>
      <c r="L13" s="14">
        <f t="shared" si="1"/>
        <v>3007986</v>
      </c>
      <c r="M13" s="14">
        <f t="shared" si="1"/>
        <v>1578845</v>
      </c>
      <c r="N13" s="14">
        <f t="shared" si="1"/>
        <v>37445742.579999998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1164645</v>
      </c>
      <c r="K16" s="53">
        <v>1029016</v>
      </c>
      <c r="L16" s="53">
        <v>986497</v>
      </c>
      <c r="M16" s="53">
        <v>849456</v>
      </c>
      <c r="N16" s="7">
        <f>SUM(B16:M16)</f>
        <v>15846114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1164645</v>
      </c>
      <c r="K20" s="12">
        <f t="shared" si="2"/>
        <v>1029016</v>
      </c>
      <c r="L20" s="12">
        <f t="shared" si="2"/>
        <v>986497</v>
      </c>
      <c r="M20" s="12">
        <f t="shared" si="2"/>
        <v>849456</v>
      </c>
      <c r="N20" s="12">
        <f t="shared" si="2"/>
        <v>15846114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2110567</v>
      </c>
      <c r="K23" s="7">
        <f t="shared" si="3"/>
        <v>2072701</v>
      </c>
      <c r="L23" s="7">
        <f t="shared" si="3"/>
        <v>1788590</v>
      </c>
      <c r="M23" s="7">
        <f t="shared" si="3"/>
        <v>610950</v>
      </c>
      <c r="N23" s="7">
        <f>SUM(B23:M23)</f>
        <v>19809130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330162</v>
      </c>
      <c r="K24" s="7">
        <f t="shared" si="3"/>
        <v>75265</v>
      </c>
      <c r="L24" s="7">
        <f t="shared" si="3"/>
        <v>232832</v>
      </c>
      <c r="M24" s="7">
        <f t="shared" si="3"/>
        <v>118439</v>
      </c>
      <c r="N24" s="7">
        <f>SUM(B24:M24)</f>
        <v>1651982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2440729</v>
      </c>
      <c r="K27" s="12">
        <f t="shared" si="4"/>
        <v>2147966</v>
      </c>
      <c r="L27" s="12">
        <f t="shared" si="4"/>
        <v>2021422</v>
      </c>
      <c r="M27" s="12">
        <f>SUM(M23:M26)</f>
        <v>729389</v>
      </c>
      <c r="N27" s="12">
        <f t="shared" si="4"/>
        <v>21461112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0.67696971243482651</v>
      </c>
      <c r="K28" s="73">
        <f t="shared" si="5"/>
        <v>0.67610266598929425</v>
      </c>
      <c r="L28" s="73">
        <f t="shared" si="5"/>
        <v>0.67203338919698308</v>
      </c>
      <c r="M28" s="73">
        <f t="shared" si="5"/>
        <v>0.4619763181312922</v>
      </c>
      <c r="N28" s="73">
        <f t="shared" si="5"/>
        <v>0.5752534911065218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687238</v>
      </c>
      <c r="K30" s="53">
        <v>765469</v>
      </c>
      <c r="L30" s="53">
        <v>649845</v>
      </c>
      <c r="M30" s="53">
        <v>459430</v>
      </c>
      <c r="N30" s="7">
        <f>SUM(B30:M30)</f>
        <v>7679223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218161</v>
      </c>
      <c r="K31" s="53">
        <v>210395</v>
      </c>
      <c r="L31" s="53">
        <v>209978</v>
      </c>
      <c r="M31" s="53">
        <v>198004</v>
      </c>
      <c r="N31" s="7">
        <f>SUM(B31:M31)</f>
        <v>2583618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922713</v>
      </c>
      <c r="J34" s="12">
        <f t="shared" si="8"/>
        <v>905399</v>
      </c>
      <c r="K34" s="12">
        <f t="shared" si="8"/>
        <v>975864</v>
      </c>
      <c r="L34" s="12">
        <f t="shared" si="8"/>
        <v>859823</v>
      </c>
      <c r="M34" s="12">
        <f t="shared" si="8"/>
        <v>657434</v>
      </c>
      <c r="N34" s="12">
        <f t="shared" si="8"/>
        <v>10262841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1568535</v>
      </c>
      <c r="K37" s="53">
        <v>1616062</v>
      </c>
      <c r="L37" s="53">
        <v>1393585</v>
      </c>
      <c r="M37" s="53">
        <v>1274220</v>
      </c>
      <c r="N37" s="7">
        <f>SUM(B37:M37)</f>
        <v>17206378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-922713</v>
      </c>
      <c r="J38" s="7">
        <f t="shared" si="9"/>
        <v>-905399</v>
      </c>
      <c r="K38" s="7">
        <f t="shared" si="9"/>
        <v>-975864</v>
      </c>
      <c r="L38" s="7">
        <f t="shared" si="9"/>
        <v>-859823</v>
      </c>
      <c r="M38" s="7">
        <f t="shared" si="9"/>
        <v>-657434</v>
      </c>
      <c r="N38" s="7">
        <f>SUM(B38:M38)</f>
        <v>-10262841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-75679</v>
      </c>
      <c r="K39" s="72">
        <v>-78971</v>
      </c>
      <c r="L39" s="72">
        <v>-79895</v>
      </c>
      <c r="M39" s="72">
        <v>-97277</v>
      </c>
      <c r="N39" s="7">
        <f>SUM(B39:M39)</f>
        <v>-943468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476672</v>
      </c>
      <c r="J42" s="12">
        <f t="shared" si="10"/>
        <v>579107</v>
      </c>
      <c r="K42" s="12">
        <f t="shared" si="10"/>
        <v>552877</v>
      </c>
      <c r="L42" s="12">
        <f t="shared" si="10"/>
        <v>445517</v>
      </c>
      <c r="M42" s="12">
        <f t="shared" si="10"/>
        <v>489209</v>
      </c>
      <c r="N42" s="12">
        <f t="shared" si="10"/>
        <v>5878019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354437</v>
      </c>
      <c r="K44" s="53">
        <v>342373</v>
      </c>
      <c r="L44" s="53">
        <v>283726</v>
      </c>
      <c r="M44" s="53">
        <v>705082</v>
      </c>
      <c r="N44" s="12">
        <f>SUM(B44:M44)</f>
        <v>4071939</v>
      </c>
      <c r="O44" s="29"/>
    </row>
    <row r="45" spans="1:44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77">
        <v>1160600</v>
      </c>
      <c r="K45" s="22"/>
      <c r="L45" s="22"/>
      <c r="M45" s="22"/>
      <c r="N45" s="22">
        <f>SUM(B45:M45)</f>
        <v>1160600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267034</v>
      </c>
      <c r="J46" s="12">
        <f t="shared" si="11"/>
        <v>1515037</v>
      </c>
      <c r="K46" s="12">
        <f t="shared" si="11"/>
        <v>342373</v>
      </c>
      <c r="L46" s="12">
        <f t="shared" si="11"/>
        <v>283726</v>
      </c>
      <c r="M46" s="12">
        <f t="shared" si="11"/>
        <v>705082</v>
      </c>
      <c r="N46" s="12">
        <f t="shared" si="11"/>
        <v>5232539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3166788</v>
      </c>
      <c r="J48" s="19">
        <f t="shared" si="12"/>
        <v>4164188</v>
      </c>
      <c r="K48" s="19">
        <f t="shared" si="12"/>
        <v>2900130</v>
      </c>
      <c r="L48" s="19">
        <f t="shared" si="12"/>
        <v>2575563</v>
      </c>
      <c r="M48" s="19">
        <f t="shared" si="12"/>
        <v>2701181</v>
      </c>
      <c r="N48" s="19">
        <f t="shared" si="12"/>
        <v>37219513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508740</v>
      </c>
      <c r="J50" s="12">
        <f t="shared" si="13"/>
        <v>-548761</v>
      </c>
      <c r="K50" s="12">
        <f t="shared" si="13"/>
        <v>276852</v>
      </c>
      <c r="L50" s="12">
        <f t="shared" si="13"/>
        <v>432423</v>
      </c>
      <c r="M50" s="12">
        <f t="shared" si="13"/>
        <v>-1122336</v>
      </c>
      <c r="N50" s="12">
        <f>SUM(B50:M50)</f>
        <v>226229.58000000007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68817</v>
      </c>
      <c r="J53" s="10">
        <v>7700</v>
      </c>
      <c r="K53" s="10">
        <v>8338</v>
      </c>
      <c r="L53" s="10">
        <v>328190</v>
      </c>
      <c r="M53" s="10">
        <v>275000</v>
      </c>
      <c r="N53" s="10">
        <f>SUM(B53:M53)</f>
        <v>1167187.6499999999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47">
        <v>-1160600</v>
      </c>
      <c r="K55" s="10"/>
      <c r="L55" s="10">
        <v>0</v>
      </c>
      <c r="M55" s="10">
        <v>0</v>
      </c>
      <c r="N55" s="10">
        <f>SUM(B55:M55)</f>
        <v>-884188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-12297</v>
      </c>
      <c r="K56" s="7">
        <v>-18474</v>
      </c>
      <c r="L56" s="7">
        <v>-10419</v>
      </c>
      <c r="M56" s="7">
        <v>-12500</v>
      </c>
      <c r="N56" s="7">
        <f>SUM(B56:M56)</f>
        <v>-221678.41999999998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114169</v>
      </c>
      <c r="K57" s="22">
        <v>33076</v>
      </c>
      <c r="L57" s="22">
        <v>26234.6</v>
      </c>
      <c r="M57" s="22">
        <v>-25000</v>
      </c>
      <c r="N57" s="22">
        <f>SUM(B57:M57)</f>
        <v>-634490.56000000017</v>
      </c>
      <c r="P57" s="56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373680</v>
      </c>
      <c r="J58" s="19">
        <f t="shared" si="14"/>
        <v>-1051028</v>
      </c>
      <c r="K58" s="19">
        <f t="shared" si="14"/>
        <v>22940</v>
      </c>
      <c r="L58" s="19">
        <f t="shared" si="14"/>
        <v>344005.6</v>
      </c>
      <c r="M58" s="19">
        <f t="shared" si="14"/>
        <v>237500</v>
      </c>
      <c r="N58" s="19">
        <f t="shared" si="14"/>
        <v>-478169.33000000025</v>
      </c>
      <c r="O58" s="29"/>
      <c r="P58" s="40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3540468</v>
      </c>
      <c r="J61" s="19">
        <f t="shared" si="15"/>
        <v>3113160</v>
      </c>
      <c r="K61" s="19">
        <f t="shared" si="15"/>
        <v>2923070</v>
      </c>
      <c r="L61" s="19">
        <f t="shared" si="15"/>
        <v>2919568.6</v>
      </c>
      <c r="M61" s="19">
        <f t="shared" si="15"/>
        <v>2938681</v>
      </c>
      <c r="N61" s="19">
        <f t="shared" si="15"/>
        <v>36741343.670000002</v>
      </c>
      <c r="O61" s="29"/>
      <c r="P61" s="25"/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30">
        <f t="shared" si="16"/>
        <v>135060</v>
      </c>
      <c r="J62" s="30">
        <f t="shared" si="16"/>
        <v>502267</v>
      </c>
      <c r="K62" s="30">
        <f t="shared" si="16"/>
        <v>253912</v>
      </c>
      <c r="L62" s="30">
        <f t="shared" si="16"/>
        <v>88417.399999999907</v>
      </c>
      <c r="M62" s="14">
        <f t="shared" si="16"/>
        <v>-1359836</v>
      </c>
      <c r="N62" s="14">
        <f t="shared" si="16"/>
        <v>704398.90999999642</v>
      </c>
      <c r="O62" s="29"/>
      <c r="P62" s="25"/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32">
        <f t="shared" si="17"/>
        <v>1219638.5100000002</v>
      </c>
      <c r="J63" s="32">
        <f t="shared" si="17"/>
        <v>1721905.5100000002</v>
      </c>
      <c r="K63" s="32">
        <f t="shared" si="17"/>
        <v>1975817.5100000002</v>
      </c>
      <c r="L63" s="32">
        <f t="shared" si="17"/>
        <v>2064234.9100000001</v>
      </c>
      <c r="M63" s="12">
        <f t="shared" si="17"/>
        <v>704398.91000000015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14592661.51</v>
      </c>
      <c r="J64" s="12">
        <f t="shared" si="18"/>
        <v>15094928.51</v>
      </c>
      <c r="K64" s="12">
        <f t="shared" si="18"/>
        <v>15348840.51</v>
      </c>
      <c r="L64" s="12">
        <f t="shared" si="18"/>
        <v>15437257.91</v>
      </c>
      <c r="M64" s="12">
        <f t="shared" si="18"/>
        <v>14077421.91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31">
        <f t="shared" si="20"/>
        <v>-181230</v>
      </c>
      <c r="J72" s="31">
        <f t="shared" si="20"/>
        <v>-127202</v>
      </c>
      <c r="K72" s="31">
        <f t="shared" si="20"/>
        <v>274801</v>
      </c>
      <c r="L72" s="31">
        <f t="shared" si="20"/>
        <v>-100449.60000000009</v>
      </c>
      <c r="M72" s="16">
        <f t="shared" si="20"/>
        <v>0</v>
      </c>
      <c r="N72" s="6"/>
      <c r="O72" s="6"/>
      <c r="P72" s="16">
        <f>+N62-N67</f>
        <v>704398.90999999642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31">
        <f t="shared" si="20"/>
        <v>351330.51000000024</v>
      </c>
      <c r="J73" s="31">
        <f t="shared" si="20"/>
        <v>224128.51000000024</v>
      </c>
      <c r="K73" s="31">
        <f t="shared" si="20"/>
        <v>498929.51000000024</v>
      </c>
      <c r="L73" s="31">
        <f t="shared" si="20"/>
        <v>398479.91000000015</v>
      </c>
      <c r="M73" s="16">
        <f t="shared" si="20"/>
        <v>398479.91000000015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3065872.1168953236</v>
      </c>
      <c r="J74" s="16">
        <f t="shared" si="20"/>
        <v>3257222.841524316</v>
      </c>
      <c r="K74" s="16">
        <f t="shared" si="20"/>
        <v>3327575.7313346211</v>
      </c>
      <c r="L74" s="16">
        <f t="shared" si="20"/>
        <v>2961645.3416332062</v>
      </c>
      <c r="M74" s="16">
        <f t="shared" si="20"/>
        <v>2879473.6752352398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  <c r="L77">
        <v>10419.15</v>
      </c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547959.65</v>
      </c>
      <c r="J84" s="7">
        <f>SUM(B53:J53)</f>
        <v>555659.65</v>
      </c>
      <c r="K84" s="7">
        <f>SUM(B53:K53)</f>
        <v>563997.65</v>
      </c>
      <c r="L84" s="7">
        <f>SUM(B53:L53)</f>
        <v>892187.65</v>
      </c>
      <c r="M84" s="7">
        <f>SUM(B53:M53)</f>
        <v>1167187.6499999999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306235.34999999998</v>
      </c>
      <c r="J85" s="7">
        <f t="shared" si="23"/>
        <v>417535.35</v>
      </c>
      <c r="K85" s="7">
        <f t="shared" si="23"/>
        <v>409197.35</v>
      </c>
      <c r="L85" s="7">
        <f t="shared" si="23"/>
        <v>81007.349999999977</v>
      </c>
      <c r="M85" s="7">
        <f t="shared" si="23"/>
        <v>261007.35000000009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-304863</v>
      </c>
      <c r="J87" s="35">
        <f t="shared" si="24"/>
        <v>-101872</v>
      </c>
      <c r="K87" s="40">
        <f t="shared" si="24"/>
        <v>-14602</v>
      </c>
      <c r="L87" s="35">
        <f t="shared" si="24"/>
        <v>-15815.599999999999</v>
      </c>
      <c r="M87" s="35">
        <f t="shared" si="24"/>
        <v>37500</v>
      </c>
      <c r="N87" s="35">
        <f t="shared" si="24"/>
        <v>856168.98000000021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1255821.58</v>
      </c>
      <c r="I88" s="40">
        <f t="shared" si="25"/>
        <v>950958.58000000007</v>
      </c>
      <c r="J88" s="40">
        <f t="shared" si="25"/>
        <v>849086.58000000007</v>
      </c>
      <c r="K88" s="40">
        <f t="shared" si="25"/>
        <v>834484.58000000007</v>
      </c>
      <c r="L88" s="35">
        <f t="shared" si="25"/>
        <v>818668.9800000001</v>
      </c>
      <c r="M88" s="35">
        <f t="shared" si="25"/>
        <v>856168.9800000001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5" orientation="landscape" r:id="rId1"/>
  <headerFooter alignWithMargins="0">
    <oddHeader xml:space="preserve">&amp;C&amp;"Arial,Bold"&amp;11 49ER SHOPS, INC.
&amp;UFY2017/2018 OPERATIONAL CASH FLOW </oddHeader>
    <oddFooter>&amp;CCash Flow - FY2017/2018
May 2018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AR97"/>
  <sheetViews>
    <sheetView showGridLines="0" zoomScale="60" zoomScaleNormal="60" workbookViewId="0">
      <selection activeCell="M11" sqref="M11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4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0" width="13.85546875" customWidth="1"/>
    <col min="11" max="11" width="14.425781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6" ht="13.5" thickBot="1">
      <c r="A1" s="46" t="s">
        <v>110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5" t="s">
        <v>24</v>
      </c>
      <c r="N2" s="28" t="s">
        <v>25</v>
      </c>
    </row>
    <row r="3" spans="1:16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6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3275212</v>
      </c>
      <c r="K5" s="53">
        <v>3101717</v>
      </c>
      <c r="L5" s="53">
        <v>2775087</v>
      </c>
      <c r="M5" s="53">
        <v>1019199</v>
      </c>
      <c r="N5" s="12">
        <f>SUM(B5:M5)</f>
        <v>35214037</v>
      </c>
      <c r="O5" s="29"/>
    </row>
    <row r="6" spans="1:16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330162</v>
      </c>
      <c r="K6" s="53">
        <v>75265</v>
      </c>
      <c r="L6" s="53">
        <v>232832</v>
      </c>
      <c r="M6" s="53">
        <v>85443</v>
      </c>
      <c r="N6" s="7">
        <f>SUM(B6:M6)</f>
        <v>1618986</v>
      </c>
      <c r="O6" s="29"/>
    </row>
    <row r="7" spans="1:16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3605374</v>
      </c>
      <c r="K9" s="12">
        <f t="shared" si="0"/>
        <v>3176982</v>
      </c>
      <c r="L9" s="12">
        <f t="shared" si="0"/>
        <v>3007919</v>
      </c>
      <c r="M9" s="12">
        <f t="shared" si="0"/>
        <v>1104642</v>
      </c>
      <c r="N9" s="12">
        <f t="shared" si="0"/>
        <v>36833023</v>
      </c>
      <c r="O9" s="29"/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851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f>22350+J56</f>
        <v>10053</v>
      </c>
      <c r="K11" s="7">
        <v>6827.89</v>
      </c>
      <c r="L11" s="7">
        <v>-473</v>
      </c>
      <c r="M11" s="7">
        <v>90910</v>
      </c>
      <c r="N11" s="7">
        <f>SUM(B11:M11)</f>
        <v>235639.47000000003</v>
      </c>
      <c r="O11" s="29">
        <v>-232025</v>
      </c>
      <c r="P11" s="7">
        <f>SUM(N11:O11)</f>
        <v>3614.4700000000303</v>
      </c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5870690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3615427</v>
      </c>
      <c r="K13" s="14">
        <f t="shared" si="1"/>
        <v>3183809.89</v>
      </c>
      <c r="L13" s="14">
        <f t="shared" si="1"/>
        <v>3007446</v>
      </c>
      <c r="M13" s="14">
        <f t="shared" si="1"/>
        <v>1195552</v>
      </c>
      <c r="N13" s="14">
        <f t="shared" si="1"/>
        <v>37068662.469999999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1164645</v>
      </c>
      <c r="K16" s="53">
        <v>1029016</v>
      </c>
      <c r="L16" s="53">
        <v>986497</v>
      </c>
      <c r="M16" s="53">
        <v>437810</v>
      </c>
      <c r="N16" s="7">
        <f>SUM(B16:M16)</f>
        <v>15434468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1164645</v>
      </c>
      <c r="K20" s="12">
        <f t="shared" si="2"/>
        <v>1029016</v>
      </c>
      <c r="L20" s="12">
        <f t="shared" si="2"/>
        <v>986497</v>
      </c>
      <c r="M20" s="12">
        <f t="shared" si="2"/>
        <v>437810</v>
      </c>
      <c r="N20" s="12">
        <f t="shared" si="2"/>
        <v>15434468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2110567</v>
      </c>
      <c r="K23" s="7">
        <f t="shared" si="3"/>
        <v>2072701</v>
      </c>
      <c r="L23" s="7">
        <f t="shared" si="3"/>
        <v>1788590</v>
      </c>
      <c r="M23" s="7">
        <f t="shared" si="3"/>
        <v>581389</v>
      </c>
      <c r="N23" s="7">
        <f>SUM(B23:M23)</f>
        <v>19779569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330162</v>
      </c>
      <c r="K24" s="7">
        <f t="shared" si="3"/>
        <v>75265</v>
      </c>
      <c r="L24" s="7">
        <f t="shared" si="3"/>
        <v>232832</v>
      </c>
      <c r="M24" s="7">
        <f t="shared" si="3"/>
        <v>85443</v>
      </c>
      <c r="N24" s="7">
        <f>SUM(B24:M24)</f>
        <v>1618986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2440729</v>
      </c>
      <c r="K27" s="12">
        <f t="shared" si="4"/>
        <v>2147966</v>
      </c>
      <c r="L27" s="12">
        <f t="shared" si="4"/>
        <v>2021422</v>
      </c>
      <c r="M27" s="12">
        <f>SUM(M23:M26)</f>
        <v>666832</v>
      </c>
      <c r="N27" s="12">
        <f t="shared" si="4"/>
        <v>21398555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0.67696971243482651</v>
      </c>
      <c r="K28" s="73">
        <f t="shared" si="5"/>
        <v>0.67610266598929425</v>
      </c>
      <c r="L28" s="73">
        <f t="shared" si="5"/>
        <v>0.67203338919698308</v>
      </c>
      <c r="M28" s="73">
        <f t="shared" si="5"/>
        <v>0.60366344933471661</v>
      </c>
      <c r="N28" s="73">
        <f t="shared" si="5"/>
        <v>0.58096113913864744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687238</v>
      </c>
      <c r="K30" s="53">
        <v>765469</v>
      </c>
      <c r="L30" s="53">
        <v>649845</v>
      </c>
      <c r="M30" s="53">
        <v>494384</v>
      </c>
      <c r="N30" s="7">
        <f>SUM(B30:M30)</f>
        <v>7714177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218161</v>
      </c>
      <c r="K31" s="53">
        <v>210395</v>
      </c>
      <c r="L31" s="53">
        <v>209978</v>
      </c>
      <c r="M31" s="53">
        <v>196661</v>
      </c>
      <c r="N31" s="7">
        <f>SUM(B31:M31)</f>
        <v>2582275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922713</v>
      </c>
      <c r="J34" s="12">
        <f t="shared" si="8"/>
        <v>905399</v>
      </c>
      <c r="K34" s="12">
        <f t="shared" si="8"/>
        <v>975864</v>
      </c>
      <c r="L34" s="12">
        <f t="shared" si="8"/>
        <v>859823</v>
      </c>
      <c r="M34" s="12">
        <f t="shared" si="8"/>
        <v>691045</v>
      </c>
      <c r="N34" s="12">
        <f t="shared" si="8"/>
        <v>10296452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1568535</v>
      </c>
      <c r="K37" s="53">
        <v>1616062</v>
      </c>
      <c r="L37" s="53">
        <v>1393585</v>
      </c>
      <c r="M37" s="53">
        <v>1140509</v>
      </c>
      <c r="N37" s="7">
        <f>SUM(B37:M37)</f>
        <v>17072667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-922713</v>
      </c>
      <c r="J38" s="7">
        <f t="shared" si="9"/>
        <v>-905399</v>
      </c>
      <c r="K38" s="7">
        <f t="shared" si="9"/>
        <v>-975864</v>
      </c>
      <c r="L38" s="7">
        <f t="shared" si="9"/>
        <v>-859823</v>
      </c>
      <c r="M38" s="7">
        <f t="shared" si="9"/>
        <v>-691045</v>
      </c>
      <c r="N38" s="7">
        <f>SUM(B38:M38)</f>
        <v>-10296452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-75679</v>
      </c>
      <c r="K39" s="72">
        <v>-78971</v>
      </c>
      <c r="L39" s="72">
        <v>-79895</v>
      </c>
      <c r="M39" s="72">
        <v>-80832</v>
      </c>
      <c r="N39" s="7">
        <f>SUM(B39:M39)</f>
        <v>-927023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-91750</v>
      </c>
      <c r="N41" s="15">
        <f>SUM(B41:M41)</f>
        <v>-183500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476672</v>
      </c>
      <c r="J42" s="12">
        <f t="shared" si="10"/>
        <v>579107</v>
      </c>
      <c r="K42" s="12">
        <f t="shared" si="10"/>
        <v>552877</v>
      </c>
      <c r="L42" s="12">
        <f t="shared" si="10"/>
        <v>445517</v>
      </c>
      <c r="M42" s="12">
        <f t="shared" si="10"/>
        <v>276882</v>
      </c>
      <c r="N42" s="12">
        <f t="shared" si="10"/>
        <v>5665692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354437</v>
      </c>
      <c r="K44" s="53">
        <v>342373</v>
      </c>
      <c r="L44" s="53">
        <v>283726</v>
      </c>
      <c r="M44" s="53">
        <v>285354</v>
      </c>
      <c r="N44" s="12">
        <f>SUM(B44:M44)</f>
        <v>3652211</v>
      </c>
      <c r="O44" s="29"/>
      <c r="P44" s="53"/>
    </row>
    <row r="45" spans="1:44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77">
        <v>1160600</v>
      </c>
      <c r="K45" s="22"/>
      <c r="L45" s="22"/>
      <c r="M45" s="77">
        <f>-467483+380000</f>
        <v>-87483</v>
      </c>
      <c r="N45" s="22">
        <f>SUM(B45:M45)</f>
        <v>1073117</v>
      </c>
      <c r="O45" s="29"/>
      <c r="P45" s="22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267034</v>
      </c>
      <c r="J46" s="12">
        <f t="shared" si="11"/>
        <v>1515037</v>
      </c>
      <c r="K46" s="12">
        <f t="shared" si="11"/>
        <v>342373</v>
      </c>
      <c r="L46" s="12">
        <f t="shared" si="11"/>
        <v>283726</v>
      </c>
      <c r="M46" s="12">
        <f t="shared" si="11"/>
        <v>197871</v>
      </c>
      <c r="N46" s="12">
        <f t="shared" si="11"/>
        <v>4725328</v>
      </c>
      <c r="O46" s="29"/>
      <c r="P46" s="12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  <c r="P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3166788</v>
      </c>
      <c r="J48" s="19">
        <f t="shared" si="12"/>
        <v>4164188</v>
      </c>
      <c r="K48" s="19">
        <f t="shared" si="12"/>
        <v>2900130</v>
      </c>
      <c r="L48" s="19">
        <f t="shared" si="12"/>
        <v>2575563</v>
      </c>
      <c r="M48" s="19">
        <f t="shared" si="12"/>
        <v>1603608</v>
      </c>
      <c r="N48" s="19">
        <f t="shared" si="12"/>
        <v>36121940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1199273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508740</v>
      </c>
      <c r="J50" s="12">
        <f t="shared" si="13"/>
        <v>-548761</v>
      </c>
      <c r="K50" s="12">
        <f t="shared" si="13"/>
        <v>283679.89000000013</v>
      </c>
      <c r="L50" s="12">
        <f t="shared" si="13"/>
        <v>431883</v>
      </c>
      <c r="M50" s="12">
        <f t="shared" si="13"/>
        <v>-408056</v>
      </c>
      <c r="N50" s="12">
        <f>SUM(B50:M50)</f>
        <v>946722.4700000002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68817</v>
      </c>
      <c r="J53" s="10">
        <v>7700</v>
      </c>
      <c r="K53" s="10">
        <v>8338</v>
      </c>
      <c r="L53" s="10">
        <v>328190</v>
      </c>
      <c r="M53" s="10">
        <f>5671-64849</f>
        <v>-59178</v>
      </c>
      <c r="N53" s="10">
        <f>SUM(B53:M53)</f>
        <v>833009.65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111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47">
        <v>-1160600</v>
      </c>
      <c r="K55" s="10"/>
      <c r="L55" s="10">
        <v>0</v>
      </c>
      <c r="M55" s="77">
        <f>467483-380000</f>
        <v>87483</v>
      </c>
      <c r="N55" s="10">
        <f>SUM(B55:M55)</f>
        <v>-796705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-12266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-12297</v>
      </c>
      <c r="K56" s="7">
        <v>-18474</v>
      </c>
      <c r="L56" s="7">
        <f>-10419-407</f>
        <v>-10826</v>
      </c>
      <c r="M56" s="7">
        <f>-10916-476</f>
        <v>-11392</v>
      </c>
      <c r="N56" s="7">
        <f>SUM(B56:M56)</f>
        <v>-221052.41999999998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120187</v>
      </c>
      <c r="K57" s="22">
        <v>33076</v>
      </c>
      <c r="L57" s="22">
        <v>26234.6</v>
      </c>
      <c r="M57" s="22">
        <v>108907</v>
      </c>
      <c r="N57" s="22">
        <f>SUM(B57:M57)</f>
        <v>-494565.56000000017</v>
      </c>
      <c r="P57" s="56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-165770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373680</v>
      </c>
      <c r="J58" s="19">
        <f t="shared" si="14"/>
        <v>-1045010</v>
      </c>
      <c r="K58" s="19">
        <f t="shared" si="14"/>
        <v>22940</v>
      </c>
      <c r="L58" s="19">
        <f t="shared" si="14"/>
        <v>343598.6</v>
      </c>
      <c r="M58" s="19">
        <f t="shared" si="14"/>
        <v>125820</v>
      </c>
      <c r="N58" s="19">
        <f t="shared" si="14"/>
        <v>-584313.33000000007</v>
      </c>
      <c r="O58" s="29"/>
      <c r="P58" s="40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4505647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3540468</v>
      </c>
      <c r="J61" s="19">
        <f t="shared" si="15"/>
        <v>3119178</v>
      </c>
      <c r="K61" s="19">
        <f t="shared" si="15"/>
        <v>2923070</v>
      </c>
      <c r="L61" s="19">
        <f t="shared" si="15"/>
        <v>2919161.6</v>
      </c>
      <c r="M61" s="19">
        <f t="shared" si="15"/>
        <v>1729428</v>
      </c>
      <c r="N61" s="19">
        <f t="shared" si="15"/>
        <v>35537626.670000002</v>
      </c>
      <c r="O61" s="29"/>
      <c r="P61" s="25"/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30">
        <f t="shared" si="16"/>
        <v>135060</v>
      </c>
      <c r="J62" s="30">
        <f t="shared" si="16"/>
        <v>496249</v>
      </c>
      <c r="K62" s="30">
        <f t="shared" si="16"/>
        <v>260739.89000000013</v>
      </c>
      <c r="L62" s="30">
        <f t="shared" si="16"/>
        <v>88284.399999999907</v>
      </c>
      <c r="M62" s="30">
        <f t="shared" si="16"/>
        <v>-533876</v>
      </c>
      <c r="N62" s="14">
        <f t="shared" si="16"/>
        <v>1531035.799999997</v>
      </c>
      <c r="O62" s="29"/>
      <c r="P62" s="25"/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32">
        <f t="shared" si="17"/>
        <v>1219638.5100000002</v>
      </c>
      <c r="J63" s="32">
        <f t="shared" si="17"/>
        <v>1715887.5100000002</v>
      </c>
      <c r="K63" s="32">
        <f t="shared" si="17"/>
        <v>1976627.4000000004</v>
      </c>
      <c r="L63" s="32">
        <f t="shared" si="17"/>
        <v>2064911.8000000003</v>
      </c>
      <c r="M63" s="32">
        <f t="shared" si="17"/>
        <v>1531035.8000000003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14592661.51</v>
      </c>
      <c r="J64" s="12">
        <f t="shared" si="18"/>
        <v>15088910.51</v>
      </c>
      <c r="K64" s="12">
        <f t="shared" si="18"/>
        <v>15349650.4</v>
      </c>
      <c r="L64" s="12">
        <f t="shared" si="18"/>
        <v>15437934.800000001</v>
      </c>
      <c r="M64" s="12">
        <f t="shared" si="18"/>
        <v>14904058.800000001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31">
        <f t="shared" si="20"/>
        <v>-181230</v>
      </c>
      <c r="J72" s="31">
        <f t="shared" si="20"/>
        <v>-133220</v>
      </c>
      <c r="K72" s="31">
        <f t="shared" si="20"/>
        <v>281628.89000000013</v>
      </c>
      <c r="L72" s="31">
        <f t="shared" si="20"/>
        <v>-100582.60000000009</v>
      </c>
      <c r="M72" s="16">
        <f t="shared" si="20"/>
        <v>825960</v>
      </c>
      <c r="N72" s="6"/>
      <c r="O72" s="6"/>
      <c r="P72" s="16">
        <f>+N62-N67</f>
        <v>1531035.799999997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31">
        <f t="shared" si="20"/>
        <v>351330.51000000024</v>
      </c>
      <c r="J73" s="31">
        <f t="shared" si="20"/>
        <v>218110.51000000024</v>
      </c>
      <c r="K73" s="31">
        <f t="shared" si="20"/>
        <v>499739.40000000037</v>
      </c>
      <c r="L73" s="31">
        <f t="shared" si="20"/>
        <v>399156.80000000028</v>
      </c>
      <c r="M73" s="16">
        <f t="shared" si="20"/>
        <v>1225116.8000000003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3065872.1168953236</v>
      </c>
      <c r="J74" s="16">
        <f t="shared" si="20"/>
        <v>3251204.841524316</v>
      </c>
      <c r="K74" s="16">
        <f t="shared" si="20"/>
        <v>3328385.6213346217</v>
      </c>
      <c r="L74" s="16">
        <f t="shared" si="20"/>
        <v>2962322.2316332068</v>
      </c>
      <c r="M74" s="16">
        <f t="shared" si="20"/>
        <v>3706110.5652352404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  <c r="L77">
        <v>10419.15</v>
      </c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547959.65</v>
      </c>
      <c r="J84" s="7">
        <f>SUM(B53:J53)</f>
        <v>555659.65</v>
      </c>
      <c r="K84" s="7">
        <f>SUM(B53:K53)</f>
        <v>563997.65</v>
      </c>
      <c r="L84" s="7">
        <f>SUM(B53:L53)</f>
        <v>892187.65</v>
      </c>
      <c r="M84" s="7">
        <f>SUM(B53:M53)</f>
        <v>833009.65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306235.34999999998</v>
      </c>
      <c r="J85" s="7">
        <f t="shared" si="23"/>
        <v>417535.35</v>
      </c>
      <c r="K85" s="7">
        <f t="shared" si="23"/>
        <v>409197.35</v>
      </c>
      <c r="L85" s="7">
        <f t="shared" si="23"/>
        <v>81007.349999999977</v>
      </c>
      <c r="M85" s="7">
        <f t="shared" si="23"/>
        <v>595185.35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171117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-304863</v>
      </c>
      <c r="J87" s="35">
        <f t="shared" si="24"/>
        <v>-107890</v>
      </c>
      <c r="K87" s="40">
        <f t="shared" si="24"/>
        <v>-14602</v>
      </c>
      <c r="L87" s="35">
        <f t="shared" si="24"/>
        <v>-15408.599999999999</v>
      </c>
      <c r="M87" s="35">
        <f t="shared" si="24"/>
        <v>-97515</v>
      </c>
      <c r="N87" s="35">
        <f t="shared" si="24"/>
        <v>715617.98000000021</v>
      </c>
    </row>
    <row r="88" spans="1:14">
      <c r="C88" s="35">
        <f>+B87+C87</f>
        <v>252465</v>
      </c>
      <c r="D88" s="35">
        <f>+C88+D87</f>
        <v>423582</v>
      </c>
      <c r="E88" s="35">
        <f t="shared" ref="E88:M88" si="25">+D88+E87</f>
        <v>588608</v>
      </c>
      <c r="F88" s="35">
        <f t="shared" si="25"/>
        <v>693723</v>
      </c>
      <c r="G88" s="40">
        <f t="shared" si="25"/>
        <v>808299.58</v>
      </c>
      <c r="H88" s="35">
        <f t="shared" si="25"/>
        <v>1255896.58</v>
      </c>
      <c r="I88" s="40">
        <f t="shared" si="25"/>
        <v>951033.58000000007</v>
      </c>
      <c r="J88" s="40">
        <f t="shared" si="25"/>
        <v>843143.58000000007</v>
      </c>
      <c r="K88" s="40">
        <f t="shared" si="25"/>
        <v>828541.58000000007</v>
      </c>
      <c r="L88" s="35">
        <f t="shared" si="25"/>
        <v>813132.9800000001</v>
      </c>
      <c r="M88" s="35">
        <f t="shared" si="25"/>
        <v>715617.9800000001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5" orientation="landscape" r:id="rId1"/>
  <headerFooter alignWithMargins="0">
    <oddHeader xml:space="preserve">&amp;C&amp;"Arial,Bold"&amp;11 49ER SHOPS, INC.
&amp;UFY2017/2018 OPERATIONAL CASH FLOW </oddHeader>
    <oddFooter>&amp;CCash Flow - FY2017/2018
June 2018 Pre-audit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R101"/>
  <sheetViews>
    <sheetView showGridLines="0" workbookViewId="0">
      <pane xSplit="1" ySplit="3" topLeftCell="B40" activePane="bottomRight" state="frozen"/>
      <selection pane="topRight" activeCell="B2" sqref="B2:N2"/>
      <selection pane="bottomLeft" activeCell="B2" sqref="B2:N2"/>
      <selection pane="bottomRight" activeCell="B2" sqref="B2:N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75</v>
      </c>
      <c r="E1" s="6"/>
      <c r="F1" s="6"/>
      <c r="J1" s="6"/>
      <c r="K1" s="6"/>
      <c r="N1" s="3"/>
    </row>
    <row r="2" spans="1:15">
      <c r="B2" s="45" t="s">
        <v>76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>
      <c r="A5" s="6" t="s">
        <v>28</v>
      </c>
      <c r="B5" s="49">
        <v>1380571.2415095801</v>
      </c>
      <c r="C5" s="49">
        <v>5060173.2426346</v>
      </c>
      <c r="D5" s="49">
        <v>3867423.1893872898</v>
      </c>
      <c r="E5" s="49">
        <v>3550580.4606545898</v>
      </c>
      <c r="F5" s="49">
        <v>2491408.6501843799</v>
      </c>
      <c r="G5" s="49">
        <v>2443225.8391503901</v>
      </c>
      <c r="H5" s="49">
        <v>4392028.1440046299</v>
      </c>
      <c r="I5" s="49">
        <v>3229385.12840016</v>
      </c>
      <c r="J5" s="49">
        <v>3101264.61223314</v>
      </c>
      <c r="K5" s="49">
        <v>2861289.1218165602</v>
      </c>
      <c r="L5" s="49">
        <v>2884558.9345671199</v>
      </c>
      <c r="M5" s="49">
        <v>1536863.9470107399</v>
      </c>
      <c r="N5" s="12">
        <f>SUM(B5:M5)</f>
        <v>36798772.511553183</v>
      </c>
    </row>
    <row r="6" spans="1:15" s="6" customFormat="1">
      <c r="A6" s="6" t="s">
        <v>29</v>
      </c>
      <c r="B6" s="53">
        <v>69785.051600000006</v>
      </c>
      <c r="C6" s="53">
        <v>52425.4469151991</v>
      </c>
      <c r="D6" s="53">
        <v>271703.80474306311</v>
      </c>
      <c r="E6" s="53">
        <v>142644.5744343327</v>
      </c>
      <c r="F6" s="53">
        <v>68608.629526434102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1508095.8773351472</v>
      </c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1450356.2931095799</v>
      </c>
      <c r="C9" s="12">
        <f t="shared" si="0"/>
        <v>5112598.6895497991</v>
      </c>
      <c r="D9" s="12">
        <f t="shared" si="0"/>
        <v>4139126.994130353</v>
      </c>
      <c r="E9" s="12">
        <f t="shared" si="0"/>
        <v>3693225.0350889224</v>
      </c>
      <c r="F9" s="12">
        <f t="shared" si="0"/>
        <v>2560017.2797108139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38306868.388888329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39"/>
      <c r="N11" s="7">
        <f>SUM(B11:M11)</f>
        <v>0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1450356.2931095799</v>
      </c>
      <c r="C13" s="14">
        <f>C9+C11</f>
        <v>5112598.6895497991</v>
      </c>
      <c r="D13" s="14">
        <f t="shared" si="1"/>
        <v>4139126.994130353</v>
      </c>
      <c r="E13" s="14">
        <f t="shared" si="1"/>
        <v>3693225.0350889224</v>
      </c>
      <c r="F13" s="14">
        <f t="shared" si="1"/>
        <v>2560017.2797108139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38306868.388888329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597054.26846696204</v>
      </c>
      <c r="C16" s="53">
        <v>3202896.3367236801</v>
      </c>
      <c r="D16" s="53">
        <v>1740899.3395841799</v>
      </c>
      <c r="E16" s="53">
        <v>1339199.27059646</v>
      </c>
      <c r="F16" s="53">
        <v>920442.29592504795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17001021.252095405</v>
      </c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597054.26846696204</v>
      </c>
      <c r="C20" s="12">
        <f t="shared" si="2"/>
        <v>3202896.3367236801</v>
      </c>
      <c r="D20" s="12">
        <f t="shared" si="2"/>
        <v>1740899.3395841799</v>
      </c>
      <c r="E20" s="12">
        <f t="shared" si="2"/>
        <v>1339199.27059646</v>
      </c>
      <c r="F20" s="12">
        <f t="shared" si="2"/>
        <v>920442.29592504795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17001021.252095405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783516.97304261802</v>
      </c>
      <c r="C23" s="7">
        <f t="shared" si="3"/>
        <v>1857276.9059109199</v>
      </c>
      <c r="D23" s="7">
        <f t="shared" si="3"/>
        <v>2126523.8498031097</v>
      </c>
      <c r="E23" s="7">
        <f t="shared" si="3"/>
        <v>2211381.1900581298</v>
      </c>
      <c r="F23" s="7">
        <f t="shared" si="3"/>
        <v>1570966.3542593319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19797751.259457774</v>
      </c>
    </row>
    <row r="24" spans="1:44" s="6" customFormat="1">
      <c r="A24" s="6" t="s">
        <v>37</v>
      </c>
      <c r="B24" s="7">
        <f t="shared" si="3"/>
        <v>69785.051600000006</v>
      </c>
      <c r="C24" s="7">
        <f t="shared" si="3"/>
        <v>52425.4469151991</v>
      </c>
      <c r="D24" s="7">
        <f t="shared" si="3"/>
        <v>271703.80474306311</v>
      </c>
      <c r="E24" s="7">
        <f t="shared" si="3"/>
        <v>142644.5744343327</v>
      </c>
      <c r="F24" s="7">
        <f t="shared" si="3"/>
        <v>68608.629526434102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1508095.8773351472</v>
      </c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853302.02464261802</v>
      </c>
      <c r="C27" s="12">
        <f t="shared" si="4"/>
        <v>1909702.3528261189</v>
      </c>
      <c r="D27" s="12">
        <f t="shared" si="4"/>
        <v>2398227.6545461728</v>
      </c>
      <c r="E27" s="12">
        <f t="shared" si="4"/>
        <v>2354025.7644924624</v>
      </c>
      <c r="F27" s="12">
        <f t="shared" si="4"/>
        <v>1639574.9837857659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21305847.136792921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>
      <c r="A30" s="6" t="s">
        <v>41</v>
      </c>
      <c r="B30" s="53">
        <v>537116.44342461496</v>
      </c>
      <c r="C30" s="53">
        <v>558175.27599569201</v>
      </c>
      <c r="D30" s="53">
        <v>653262.22071265604</v>
      </c>
      <c r="E30" s="53">
        <v>759539.17956081894</v>
      </c>
      <c r="F30" s="53">
        <v>592548.56023265596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7401045.9025913533</v>
      </c>
    </row>
    <row r="31" spans="1:44" s="6" customFormat="1">
      <c r="A31" s="6" t="s">
        <v>42</v>
      </c>
      <c r="B31" s="53">
        <v>209095.000062276</v>
      </c>
      <c r="C31" s="53">
        <v>195291.749597088</v>
      </c>
      <c r="D31" s="53">
        <v>199695.750264748</v>
      </c>
      <c r="E31" s="53">
        <v>226217.130576158</v>
      </c>
      <c r="F31" s="53">
        <v>194628.20504591099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2440566.0330521991</v>
      </c>
    </row>
    <row r="32" spans="1:44" s="6" customFormat="1" ht="15">
      <c r="A32" s="6" t="s">
        <v>38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 t="shared" ref="P32:AR32" si="5">+B32*-1</f>
        <v>0</v>
      </c>
      <c r="Q32" s="6">
        <f t="shared" si="5"/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si="5"/>
        <v>0</v>
      </c>
      <c r="AH32" s="6">
        <f t="shared" si="5"/>
        <v>0</v>
      </c>
      <c r="AI32" s="6">
        <f t="shared" si="5"/>
        <v>0</v>
      </c>
      <c r="AJ32" s="6">
        <f t="shared" si="5"/>
        <v>0</v>
      </c>
      <c r="AK32" s="6">
        <f t="shared" si="5"/>
        <v>0</v>
      </c>
      <c r="AL32" s="6">
        <f t="shared" si="5"/>
        <v>0</v>
      </c>
      <c r="AM32" s="6">
        <f t="shared" si="5"/>
        <v>0</v>
      </c>
      <c r="AN32" s="6">
        <f t="shared" si="5"/>
        <v>0</v>
      </c>
      <c r="AO32" s="6">
        <f t="shared" si="5"/>
        <v>0</v>
      </c>
      <c r="AP32" s="6">
        <f t="shared" si="5"/>
        <v>0</v>
      </c>
      <c r="AQ32" s="6">
        <f t="shared" si="5"/>
        <v>0</v>
      </c>
      <c r="AR32" s="6">
        <f t="shared" si="5"/>
        <v>0</v>
      </c>
    </row>
    <row r="33" spans="1:44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ref="Q33:AR33" si="6">+C33*-1</f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746211.44348689099</v>
      </c>
      <c r="C34" s="12">
        <f t="shared" si="7"/>
        <v>753467.02559277997</v>
      </c>
      <c r="D34" s="12">
        <f t="shared" si="7"/>
        <v>852957.97097740404</v>
      </c>
      <c r="E34" s="12">
        <f t="shared" si="7"/>
        <v>985756.31013697688</v>
      </c>
      <c r="F34" s="12">
        <f t="shared" si="7"/>
        <v>787176.76527856698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9841611.9356435519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1203383.850014203</v>
      </c>
      <c r="C37" s="53">
        <v>1280895.4690940941</v>
      </c>
      <c r="D37" s="53">
        <v>1577505.2299712123</v>
      </c>
      <c r="E37" s="53">
        <v>1621576.5698087905</v>
      </c>
      <c r="F37" s="53">
        <v>1397109.5265258201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16709519.000647396</v>
      </c>
      <c r="O37" s="53"/>
      <c r="P37" s="62"/>
    </row>
    <row r="38" spans="1:44" s="6" customFormat="1">
      <c r="A38" s="6" t="s">
        <v>46</v>
      </c>
      <c r="B38" s="7">
        <f>-B34</f>
        <v>-746211.44348689099</v>
      </c>
      <c r="C38" s="7">
        <f t="shared" ref="C38:M38" si="8">-C34</f>
        <v>-753467.02559277997</v>
      </c>
      <c r="D38" s="7">
        <f t="shared" si="8"/>
        <v>-852957.97097740404</v>
      </c>
      <c r="E38" s="7">
        <f t="shared" si="8"/>
        <v>-985756.31013697688</v>
      </c>
      <c r="F38" s="7">
        <f t="shared" si="8"/>
        <v>-787176.76527856698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-9841611.9356435519</v>
      </c>
    </row>
    <row r="39" spans="1:44" s="6" customFormat="1">
      <c r="A39" s="6" t="s">
        <v>47</v>
      </c>
      <c r="B39" s="53">
        <v>-76364.461666666597</v>
      </c>
      <c r="C39" s="53">
        <v>-75707.591666666602</v>
      </c>
      <c r="D39" s="53">
        <v>-75677.401666666599</v>
      </c>
      <c r="E39" s="53">
        <v>-84889.941666666593</v>
      </c>
      <c r="F39" s="53">
        <v>-84889.941666666593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>
      <c r="A40" s="67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370144.27819397871</v>
      </c>
      <c r="C42" s="12">
        <f t="shared" si="9"/>
        <v>441057.18516798085</v>
      </c>
      <c r="D42" s="12">
        <f t="shared" si="9"/>
        <v>638206.19066047494</v>
      </c>
      <c r="E42" s="12">
        <f t="shared" si="9"/>
        <v>540266.65133848018</v>
      </c>
      <c r="F42" s="12">
        <f t="shared" si="9"/>
        <v>514379.15291391994</v>
      </c>
      <c r="G42" s="12">
        <f t="shared" si="9"/>
        <v>522503.14439086901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5767336.6116705108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368341.5022621688</v>
      </c>
      <c r="C44" s="53">
        <v>275080.11564446817</v>
      </c>
      <c r="D44" s="53">
        <v>333220.85264446813</v>
      </c>
      <c r="E44" s="53">
        <v>325654.34176216874</v>
      </c>
      <c r="F44" s="53">
        <v>309928.67264446814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4217938.3547140993</v>
      </c>
      <c r="O44" s="6"/>
    </row>
    <row r="45" spans="1:44">
      <c r="A45" s="6" t="s">
        <v>51</v>
      </c>
      <c r="B45" s="22">
        <v>-5000</v>
      </c>
      <c r="C45" s="22">
        <v>-5000</v>
      </c>
      <c r="D45" s="22">
        <v>-5000</v>
      </c>
      <c r="E45" s="22">
        <v>-5000</v>
      </c>
      <c r="F45" s="22">
        <v>-5000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-60000</v>
      </c>
      <c r="O45" s="6"/>
    </row>
    <row r="46" spans="1:44">
      <c r="A46" s="1" t="s">
        <v>50</v>
      </c>
      <c r="B46" s="12">
        <f>SUM(B44:B45)</f>
        <v>363341.5022621688</v>
      </c>
      <c r="C46" s="12">
        <f>SUM(C44:C45)</f>
        <v>270080.11564446817</v>
      </c>
      <c r="D46" s="12">
        <f t="shared" ref="D46:N46" si="10">SUM(D44:D45)</f>
        <v>328220.85264446813</v>
      </c>
      <c r="E46" s="12">
        <f t="shared" si="10"/>
        <v>320654.34176216874</v>
      </c>
      <c r="F46" s="12">
        <f t="shared" si="10"/>
        <v>304928.67264446814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32">
        <f t="shared" si="10"/>
        <v>632691.65717914759</v>
      </c>
      <c r="N46" s="12">
        <f t="shared" si="10"/>
        <v>4157938.3547140993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2076751.4924100006</v>
      </c>
      <c r="C48" s="19">
        <f t="shared" si="11"/>
        <v>4667500.6631289087</v>
      </c>
      <c r="D48" s="19">
        <f t="shared" si="11"/>
        <v>3560284.3538665269</v>
      </c>
      <c r="E48" s="19">
        <f t="shared" si="11"/>
        <v>3185876.5738340863</v>
      </c>
      <c r="F48" s="19">
        <f t="shared" si="11"/>
        <v>2526926.8867620029</v>
      </c>
      <c r="G48" s="19">
        <f t="shared" si="11"/>
        <v>2694465.9449283639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36767908.15412356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-626395.1993004207</v>
      </c>
      <c r="C50" s="12">
        <f t="shared" si="12"/>
        <v>445098.02642089035</v>
      </c>
      <c r="D50" s="12">
        <f t="shared" si="12"/>
        <v>578842.64026382612</v>
      </c>
      <c r="E50" s="12">
        <f t="shared" si="12"/>
        <v>507348.46125483606</v>
      </c>
      <c r="F50" s="12">
        <f t="shared" si="12"/>
        <v>33090.392948810942</v>
      </c>
      <c r="G50" s="12">
        <f t="shared" si="12"/>
        <v>-170702.61557580205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1538960.2347647599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52000</v>
      </c>
      <c r="C53" s="10">
        <v>20000</v>
      </c>
      <c r="D53" s="10">
        <v>10000</v>
      </c>
      <c r="E53" s="10">
        <v>44355</v>
      </c>
      <c r="F53" s="10">
        <v>186840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1428195</v>
      </c>
      <c r="P53" s="40"/>
    </row>
    <row r="54" spans="1:17" s="6" customFormat="1">
      <c r="A54" s="6" t="s">
        <v>56</v>
      </c>
      <c r="B54" s="10"/>
      <c r="C54" s="10"/>
      <c r="D54" s="51">
        <v>-520000</v>
      </c>
      <c r="E54" s="10"/>
      <c r="F54" s="51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-425000</v>
      </c>
      <c r="P54" s="7"/>
      <c r="Q54" s="6">
        <v>0</v>
      </c>
    </row>
    <row r="55" spans="1:17" s="6" customFormat="1">
      <c r="A55" s="6" t="s">
        <v>57</v>
      </c>
      <c r="B55" s="51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-8000</v>
      </c>
      <c r="C56" s="7">
        <v>-8000</v>
      </c>
      <c r="D56" s="7">
        <v>-8000</v>
      </c>
      <c r="E56" s="7">
        <v>-8000</v>
      </c>
      <c r="F56" s="7">
        <v>-8000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-100000</v>
      </c>
      <c r="P56" s="56"/>
    </row>
    <row r="57" spans="1:17" s="6" customFormat="1">
      <c r="A57" s="6" t="s">
        <v>59</v>
      </c>
      <c r="B57" s="22">
        <v>-25000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-300000</v>
      </c>
      <c r="P57" s="7"/>
    </row>
    <row r="58" spans="1:17" s="6" customFormat="1">
      <c r="A58" s="13" t="s">
        <v>60</v>
      </c>
      <c r="B58" s="19">
        <f t="shared" ref="B58:N58" si="13">SUM(B53:B57)</f>
        <v>297312</v>
      </c>
      <c r="C58" s="19">
        <f t="shared" si="13"/>
        <v>37000</v>
      </c>
      <c r="D58" s="19">
        <f t="shared" si="13"/>
        <v>-493000</v>
      </c>
      <c r="E58" s="19">
        <f t="shared" si="13"/>
        <v>61355</v>
      </c>
      <c r="F58" s="19">
        <f t="shared" si="13"/>
        <v>298840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1331507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2374063.4924100004</v>
      </c>
      <c r="C61" s="19">
        <f t="shared" si="14"/>
        <v>4704500.6631289087</v>
      </c>
      <c r="D61" s="19">
        <f t="shared" si="14"/>
        <v>3067284.3538665269</v>
      </c>
      <c r="E61" s="19">
        <f t="shared" si="14"/>
        <v>3247231.5738340863</v>
      </c>
      <c r="F61" s="19">
        <f t="shared" si="14"/>
        <v>2825766.8867620029</v>
      </c>
      <c r="G61" s="19">
        <f t="shared" si="14"/>
        <v>2913465.9449283639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38099415.15412356</v>
      </c>
      <c r="O61" s="6"/>
    </row>
    <row r="62" spans="1:17" ht="13.5" thickBot="1">
      <c r="A62" s="13" t="s">
        <v>63</v>
      </c>
      <c r="B62" s="30">
        <f t="shared" ref="B62:N62" si="15">+B13-B61</f>
        <v>-923707.19930042047</v>
      </c>
      <c r="C62" s="30">
        <f t="shared" si="15"/>
        <v>408098.02642089035</v>
      </c>
      <c r="D62" s="30">
        <f t="shared" si="15"/>
        <v>1071842.6402638261</v>
      </c>
      <c r="E62" s="30">
        <f t="shared" si="15"/>
        <v>445993.46125483606</v>
      </c>
      <c r="F62" s="30">
        <f t="shared" si="15"/>
        <v>-265749.60705118906</v>
      </c>
      <c r="G62" s="30">
        <f t="shared" si="15"/>
        <v>-389702.61557580205</v>
      </c>
      <c r="H62" s="30">
        <f t="shared" si="15"/>
        <v>-14360.90837025363</v>
      </c>
      <c r="I62" s="30">
        <f t="shared" si="15"/>
        <v>203880.59546278836</v>
      </c>
      <c r="J62" s="30">
        <f t="shared" si="15"/>
        <v>310916.27537100855</v>
      </c>
      <c r="K62" s="30">
        <f t="shared" si="15"/>
        <v>183559.11018969351</v>
      </c>
      <c r="L62" s="30">
        <f t="shared" si="15"/>
        <v>454347.78970141569</v>
      </c>
      <c r="M62" s="30">
        <f t="shared" si="15"/>
        <v>-1277664.3336020331</v>
      </c>
      <c r="N62" s="14">
        <f t="shared" si="15"/>
        <v>207453.23476476967</v>
      </c>
      <c r="O62" s="6"/>
      <c r="P62" s="25"/>
    </row>
    <row r="63" spans="1:17" s="6" customFormat="1" ht="13.5" thickTop="1">
      <c r="A63" s="13" t="s">
        <v>64</v>
      </c>
      <c r="B63" s="32">
        <f>+B62</f>
        <v>-923707.19930042047</v>
      </c>
      <c r="C63" s="32">
        <f t="shared" ref="C63:M63" si="16">B63+C62</f>
        <v>-515609.17287953012</v>
      </c>
      <c r="D63" s="32">
        <f t="shared" si="16"/>
        <v>556233.467384296</v>
      </c>
      <c r="E63" s="32">
        <f t="shared" si="16"/>
        <v>1002226.9286391321</v>
      </c>
      <c r="F63" s="32">
        <f t="shared" si="16"/>
        <v>736477.32158794301</v>
      </c>
      <c r="G63" s="32">
        <f t="shared" si="16"/>
        <v>346774.70601214096</v>
      </c>
      <c r="H63" s="32">
        <f t="shared" si="16"/>
        <v>332413.79764188733</v>
      </c>
      <c r="I63" s="32">
        <f t="shared" si="16"/>
        <v>536294.39310467569</v>
      </c>
      <c r="J63" s="32">
        <f t="shared" si="16"/>
        <v>847210.66847568424</v>
      </c>
      <c r="K63" s="32">
        <f t="shared" si="16"/>
        <v>1030769.7786653778</v>
      </c>
      <c r="L63" s="32">
        <f t="shared" si="16"/>
        <v>1485117.5683667934</v>
      </c>
      <c r="M63" s="32">
        <f t="shared" si="16"/>
        <v>207453.23476476036</v>
      </c>
      <c r="N63" s="12"/>
    </row>
    <row r="64" spans="1:17">
      <c r="A64" s="13" t="s">
        <v>65</v>
      </c>
      <c r="B64" s="12">
        <f t="shared" ref="B64:M64" si="17">+$B$60+B63</f>
        <v>10066787.80069958</v>
      </c>
      <c r="C64" s="12">
        <f t="shared" si="17"/>
        <v>10474885.82712047</v>
      </c>
      <c r="D64" s="12">
        <f t="shared" si="17"/>
        <v>11546728.467384296</v>
      </c>
      <c r="E64" s="12">
        <f t="shared" si="17"/>
        <v>11992721.928639133</v>
      </c>
      <c r="F64" s="12">
        <f t="shared" si="17"/>
        <v>11726972.321587943</v>
      </c>
      <c r="G64" s="12">
        <f t="shared" si="17"/>
        <v>11337269.706012141</v>
      </c>
      <c r="H64" s="12">
        <f t="shared" si="17"/>
        <v>11322908.797641888</v>
      </c>
      <c r="I64" s="12">
        <f t="shared" si="17"/>
        <v>11526789.393104676</v>
      </c>
      <c r="J64" s="12">
        <f t="shared" si="17"/>
        <v>11837705.668475684</v>
      </c>
      <c r="K64" s="12">
        <f t="shared" si="17"/>
        <v>12021264.778665379</v>
      </c>
      <c r="L64" s="12">
        <f t="shared" si="17"/>
        <v>12475612.568366794</v>
      </c>
      <c r="M64" s="12">
        <f t="shared" si="17"/>
        <v>11197948.23476476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0</v>
      </c>
      <c r="C72" s="16">
        <f t="shared" si="18"/>
        <v>0</v>
      </c>
      <c r="D72" s="16">
        <f t="shared" si="18"/>
        <v>0</v>
      </c>
      <c r="E72" s="16">
        <f t="shared" si="18"/>
        <v>0</v>
      </c>
      <c r="F72" s="16">
        <f t="shared" si="18"/>
        <v>0</v>
      </c>
      <c r="G72" s="16">
        <f t="shared" si="18"/>
        <v>0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207453.23476476967</v>
      </c>
    </row>
    <row r="73" spans="1:16" s="6" customFormat="1">
      <c r="A73" s="13" t="s">
        <v>64</v>
      </c>
      <c r="B73" s="16">
        <f t="shared" si="18"/>
        <v>0</v>
      </c>
      <c r="C73" s="16">
        <f t="shared" si="18"/>
        <v>0</v>
      </c>
      <c r="D73" s="16">
        <f t="shared" si="18"/>
        <v>0</v>
      </c>
      <c r="E73" s="16">
        <f t="shared" si="18"/>
        <v>0</v>
      </c>
      <c r="F73" s="16">
        <f t="shared" si="18"/>
        <v>0</v>
      </c>
      <c r="G73" s="16">
        <f t="shared" si="18"/>
        <v>0</v>
      </c>
      <c r="H73" s="16">
        <f t="shared" si="18"/>
        <v>0</v>
      </c>
      <c r="I73" s="16">
        <f t="shared" si="18"/>
        <v>0</v>
      </c>
      <c r="J73" s="16">
        <f t="shared" si="18"/>
        <v>0</v>
      </c>
      <c r="K73" s="16">
        <f t="shared" si="18"/>
        <v>0</v>
      </c>
      <c r="L73" s="16">
        <f t="shared" si="18"/>
        <v>0</v>
      </c>
      <c r="M73" s="16">
        <f t="shared" si="18"/>
        <v>0</v>
      </c>
      <c r="N73" s="16">
        <f t="shared" si="18"/>
        <v>0</v>
      </c>
    </row>
    <row r="74" spans="1:16">
      <c r="A74" s="1" t="s">
        <v>65</v>
      </c>
      <c r="B74" s="16">
        <f t="shared" si="18"/>
        <v>0</v>
      </c>
      <c r="C74" s="16">
        <f t="shared" si="18"/>
        <v>0</v>
      </c>
      <c r="D74" s="16">
        <f t="shared" si="18"/>
        <v>0</v>
      </c>
      <c r="E74" s="16">
        <f t="shared" si="18"/>
        <v>0</v>
      </c>
      <c r="F74" s="16">
        <f t="shared" si="18"/>
        <v>0</v>
      </c>
      <c r="G74" s="16">
        <f t="shared" si="18"/>
        <v>0</v>
      </c>
      <c r="H74" s="16">
        <f t="shared" si="18"/>
        <v>0</v>
      </c>
      <c r="I74" s="16">
        <f t="shared" si="18"/>
        <v>0</v>
      </c>
      <c r="J74" s="16">
        <f t="shared" si="18"/>
        <v>0</v>
      </c>
      <c r="K74" s="16">
        <f t="shared" si="18"/>
        <v>0</v>
      </c>
      <c r="L74" s="16">
        <f t="shared" si="18"/>
        <v>0</v>
      </c>
      <c r="M74" s="16">
        <f t="shared" si="18"/>
        <v>0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0</v>
      </c>
      <c r="C82" s="47">
        <v>101000</v>
      </c>
      <c r="D82" s="47">
        <v>23668</v>
      </c>
      <c r="E82" s="47">
        <v>80000</v>
      </c>
      <c r="F82" s="47">
        <v>184679</v>
      </c>
      <c r="G82" s="10">
        <v>42500</v>
      </c>
      <c r="H82" s="54">
        <v>97000</v>
      </c>
      <c r="I82" s="47">
        <v>5000</v>
      </c>
      <c r="J82" s="47">
        <v>0</v>
      </c>
      <c r="K82" s="47">
        <v>185000</v>
      </c>
      <c r="L82" s="47">
        <v>0</v>
      </c>
      <c r="M82" s="47">
        <v>175000</v>
      </c>
      <c r="N82" s="7">
        <f>SUM(B82:M82)</f>
        <v>893847</v>
      </c>
    </row>
    <row r="83" spans="1:14">
      <c r="A83" s="33" t="s">
        <v>71</v>
      </c>
      <c r="B83" s="2">
        <f>+B82</f>
        <v>0</v>
      </c>
      <c r="C83" s="2">
        <f>+B83+C82</f>
        <v>101000</v>
      </c>
      <c r="D83" s="2">
        <f t="shared" ref="D83:M83" si="19">+C83+D82</f>
        <v>124668</v>
      </c>
      <c r="E83" s="7">
        <f t="shared" si="19"/>
        <v>204668</v>
      </c>
      <c r="F83" s="2">
        <f t="shared" si="19"/>
        <v>389347</v>
      </c>
      <c r="G83" s="7">
        <f t="shared" si="19"/>
        <v>431847</v>
      </c>
      <c r="H83" s="2">
        <f t="shared" si="19"/>
        <v>528847</v>
      </c>
      <c r="I83" s="2">
        <f t="shared" si="19"/>
        <v>533847</v>
      </c>
      <c r="J83" s="7">
        <f t="shared" si="19"/>
        <v>533847</v>
      </c>
      <c r="K83" s="2">
        <f t="shared" si="19"/>
        <v>718847</v>
      </c>
      <c r="L83" s="2">
        <f t="shared" si="19"/>
        <v>718847</v>
      </c>
      <c r="M83" s="2">
        <f t="shared" si="19"/>
        <v>893847</v>
      </c>
    </row>
    <row r="84" spans="1:14">
      <c r="A84" s="33" t="s">
        <v>72</v>
      </c>
      <c r="B84" s="7">
        <f>+B53</f>
        <v>52000</v>
      </c>
      <c r="C84" s="7">
        <f>SUM($B53:C53)</f>
        <v>72000</v>
      </c>
      <c r="D84" s="7">
        <f>SUM($B53:D53)</f>
        <v>82000</v>
      </c>
      <c r="E84" s="7">
        <f>SUM($B53:E53)</f>
        <v>126355</v>
      </c>
      <c r="F84" s="7">
        <f>SUM($B53:F53)</f>
        <v>313195</v>
      </c>
      <c r="G84" s="7">
        <f>SUM($B53:G53)</f>
        <v>515195</v>
      </c>
      <c r="H84" s="7">
        <f>SUM(B53:H53)</f>
        <v>712195</v>
      </c>
      <c r="I84" s="7">
        <f>SUM(B53:I53)</f>
        <v>854195</v>
      </c>
      <c r="J84" s="7">
        <f>SUM(B53:J53)</f>
        <v>973195</v>
      </c>
      <c r="K84" s="7">
        <f>SUM(B53:K53)</f>
        <v>973195</v>
      </c>
      <c r="L84" s="7">
        <f>SUM(B53:L53)</f>
        <v>973195</v>
      </c>
      <c r="M84" s="7">
        <f>SUM(B53:M53)</f>
        <v>1428195</v>
      </c>
    </row>
    <row r="85" spans="1:14">
      <c r="A85" s="33" t="s">
        <v>73</v>
      </c>
      <c r="B85" s="7">
        <f t="shared" ref="B85:G85" si="20">+B83-B84</f>
        <v>-52000</v>
      </c>
      <c r="C85" s="7">
        <f t="shared" si="20"/>
        <v>29000</v>
      </c>
      <c r="D85" s="7">
        <f t="shared" si="20"/>
        <v>42668</v>
      </c>
      <c r="E85" s="7">
        <f t="shared" si="20"/>
        <v>78313</v>
      </c>
      <c r="F85" s="7">
        <f t="shared" si="20"/>
        <v>76152</v>
      </c>
      <c r="G85" s="7">
        <f t="shared" si="20"/>
        <v>-83348</v>
      </c>
      <c r="H85" s="7">
        <f t="shared" ref="H85:M85" si="21">+H83-H84</f>
        <v>-183348</v>
      </c>
      <c r="I85" s="7">
        <f t="shared" si="21"/>
        <v>-320348</v>
      </c>
      <c r="J85" s="7">
        <f t="shared" si="21"/>
        <v>-439348</v>
      </c>
      <c r="K85" s="7">
        <f t="shared" si="21"/>
        <v>-254348</v>
      </c>
      <c r="L85" s="7">
        <f t="shared" si="21"/>
        <v>-254348</v>
      </c>
      <c r="M85" s="7">
        <f t="shared" si="21"/>
        <v>-534348</v>
      </c>
    </row>
    <row r="86" spans="1:14">
      <c r="J86" s="6"/>
      <c r="K86" s="6"/>
    </row>
    <row r="87" spans="1:14">
      <c r="A87" t="s">
        <v>74</v>
      </c>
      <c r="B87" s="35">
        <f>-B56-B57</f>
        <v>33000</v>
      </c>
      <c r="C87" s="35">
        <f t="shared" ref="C87:N87" si="22">-C56-C57</f>
        <v>33000</v>
      </c>
      <c r="D87" s="35">
        <f t="shared" si="22"/>
        <v>33000</v>
      </c>
      <c r="E87" s="35">
        <f t="shared" si="22"/>
        <v>33000</v>
      </c>
      <c r="F87" s="35">
        <f t="shared" si="22"/>
        <v>33000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400000</v>
      </c>
    </row>
    <row r="88" spans="1:14">
      <c r="C88" s="35">
        <f>+B87+C87</f>
        <v>66000</v>
      </c>
      <c r="D88" s="35">
        <f>+C88+D87</f>
        <v>99000</v>
      </c>
      <c r="E88" s="35">
        <f t="shared" ref="E88:M88" si="23">+D88+E87</f>
        <v>132000</v>
      </c>
      <c r="F88" s="35">
        <f t="shared" si="23"/>
        <v>165000</v>
      </c>
      <c r="G88" s="40">
        <f t="shared" si="23"/>
        <v>198000</v>
      </c>
      <c r="H88" s="35">
        <f t="shared" si="23"/>
        <v>231000</v>
      </c>
      <c r="I88" s="40">
        <f t="shared" si="23"/>
        <v>264000</v>
      </c>
      <c r="J88" s="40">
        <f t="shared" si="23"/>
        <v>298000</v>
      </c>
      <c r="K88" s="40">
        <f t="shared" si="23"/>
        <v>332000</v>
      </c>
      <c r="L88" s="35">
        <f t="shared" si="23"/>
        <v>366000</v>
      </c>
      <c r="M88" s="35">
        <f t="shared" si="23"/>
        <v>400000</v>
      </c>
    </row>
    <row r="89" spans="1:14">
      <c r="K89" s="6"/>
    </row>
    <row r="91" spans="1:14">
      <c r="B91" s="6"/>
      <c r="C91" s="6"/>
      <c r="D91" s="6"/>
      <c r="E91" s="6"/>
    </row>
    <row r="92" spans="1:14">
      <c r="B92" s="21">
        <v>48198</v>
      </c>
      <c r="C92" s="21">
        <v>109945</v>
      </c>
      <c r="D92" s="36">
        <v>126000</v>
      </c>
      <c r="E92" s="6">
        <v>7681</v>
      </c>
      <c r="F92">
        <v>52000</v>
      </c>
      <c r="G92" s="6">
        <v>207419</v>
      </c>
      <c r="H92">
        <v>18000</v>
      </c>
      <c r="I92">
        <v>25000</v>
      </c>
      <c r="J92">
        <v>42000</v>
      </c>
      <c r="K92">
        <v>0</v>
      </c>
      <c r="L92">
        <v>0</v>
      </c>
      <c r="M92">
        <v>150000</v>
      </c>
      <c r="N92">
        <v>786243</v>
      </c>
    </row>
    <row r="93" spans="1:14">
      <c r="B93" s="37"/>
      <c r="C93" s="38"/>
      <c r="D93" s="6"/>
      <c r="E93" s="6"/>
    </row>
    <row r="94" spans="1:14">
      <c r="B94" s="6"/>
      <c r="C94" s="6"/>
      <c r="D94" s="6"/>
      <c r="E94" s="6"/>
    </row>
    <row r="95" spans="1:14">
      <c r="B95" s="6"/>
      <c r="C95" s="6"/>
      <c r="D95" s="21"/>
      <c r="E95" s="6"/>
    </row>
    <row r="96" spans="1:14">
      <c r="B96" s="6"/>
      <c r="C96" s="6"/>
      <c r="D96" s="6"/>
      <c r="E96" s="6"/>
    </row>
    <row r="97" spans="2:5">
      <c r="B97" s="6"/>
      <c r="C97" s="6"/>
      <c r="D97" s="6"/>
      <c r="E97" s="6"/>
    </row>
    <row r="98" spans="2:5">
      <c r="B98" s="6"/>
      <c r="C98" s="6"/>
      <c r="D98" s="6"/>
      <c r="E98" s="6"/>
    </row>
    <row r="99" spans="2:5">
      <c r="B99" s="6"/>
      <c r="C99" s="6"/>
      <c r="D99" s="34"/>
      <c r="E99" s="6"/>
    </row>
    <row r="100" spans="2:5">
      <c r="B100" s="6"/>
      <c r="C100" s="6"/>
      <c r="D100" s="6"/>
      <c r="E100" s="6"/>
    </row>
    <row r="101" spans="2:5">
      <c r="B101" s="6"/>
      <c r="C101" s="6"/>
      <c r="D101" s="6"/>
      <c r="E101" s="6"/>
    </row>
  </sheetData>
  <pageMargins left="0.28000000000000003" right="0.25" top="0.99" bottom="0.75" header="0.63" footer="0.23"/>
  <pageSetup scale="61" orientation="landscape" r:id="rId1"/>
  <headerFooter alignWithMargins="0">
    <oddHeader xml:space="preserve">&amp;C&amp;"Arial,Bold"&amp;11 49ER SHOPS, INC.
&amp;UFY2016/2017 OPERATIONAL CASH FLOW </oddHeader>
    <oddFooter xml:space="preserve">&amp;CCash Flow - FY2016/2017
Budget Profile
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1:O97"/>
  <sheetViews>
    <sheetView showGridLines="0" zoomScale="85" zoomScaleNormal="85" workbookViewId="0">
      <selection activeCell="P45" sqref="P45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4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0" width="13.85546875" customWidth="1"/>
    <col min="11" max="11" width="14.42578125" customWidth="1"/>
    <col min="12" max="13" width="12.85546875" customWidth="1"/>
    <col min="14" max="14" width="12.85546875" bestFit="1" customWidth="1"/>
    <col min="15" max="15" width="12.42578125" bestFit="1" customWidth="1"/>
  </cols>
  <sheetData>
    <row r="1" spans="1:15" ht="13.5" thickBot="1">
      <c r="A1" s="46" t="s">
        <v>110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5" t="s">
        <v>24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3275212</v>
      </c>
      <c r="K5" s="53">
        <v>3101717</v>
      </c>
      <c r="L5" s="53">
        <v>2775087</v>
      </c>
      <c r="M5" s="53">
        <v>1008592</v>
      </c>
      <c r="N5" s="12">
        <f>SUM(B5:M5)</f>
        <v>35203430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330162</v>
      </c>
      <c r="K6" s="53">
        <v>75265</v>
      </c>
      <c r="L6" s="53">
        <v>232832</v>
      </c>
      <c r="M6" s="53">
        <v>262464</v>
      </c>
      <c r="N6" s="7">
        <f>SUM(B6:M6)</f>
        <v>1796007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3605374</v>
      </c>
      <c r="K9" s="12">
        <f t="shared" si="0"/>
        <v>3176982</v>
      </c>
      <c r="L9" s="12">
        <f t="shared" si="0"/>
        <v>3007919</v>
      </c>
      <c r="M9" s="12">
        <f t="shared" si="0"/>
        <v>1271056</v>
      </c>
      <c r="N9" s="12">
        <f t="shared" si="0"/>
        <v>36999437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851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f>22350+J56</f>
        <v>10053</v>
      </c>
      <c r="K11" s="7">
        <v>6827.89</v>
      </c>
      <c r="L11" s="7">
        <v>-473</v>
      </c>
      <c r="M11" s="7">
        <v>87294</v>
      </c>
      <c r="N11" s="7">
        <f>SUM(B11:M11)</f>
        <v>232023.47000000003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5870690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3615427</v>
      </c>
      <c r="K13" s="14">
        <f t="shared" si="1"/>
        <v>3183809.89</v>
      </c>
      <c r="L13" s="14">
        <f t="shared" si="1"/>
        <v>3007446</v>
      </c>
      <c r="M13" s="14">
        <f t="shared" si="1"/>
        <v>1358350</v>
      </c>
      <c r="N13" s="14">
        <f t="shared" si="1"/>
        <v>37231460.469999999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1164645</v>
      </c>
      <c r="K16" s="53">
        <v>1029016</v>
      </c>
      <c r="L16" s="53">
        <v>986497</v>
      </c>
      <c r="M16" s="53">
        <v>437810</v>
      </c>
      <c r="N16" s="7">
        <f>SUM(B16:M16)</f>
        <v>15434468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1164645</v>
      </c>
      <c r="K20" s="12">
        <f t="shared" si="2"/>
        <v>1029016</v>
      </c>
      <c r="L20" s="12">
        <f t="shared" si="2"/>
        <v>986497</v>
      </c>
      <c r="M20" s="12">
        <f t="shared" si="2"/>
        <v>437810</v>
      </c>
      <c r="N20" s="12">
        <f t="shared" si="2"/>
        <v>15434468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2110567</v>
      </c>
      <c r="K23" s="7">
        <f t="shared" si="3"/>
        <v>2072701</v>
      </c>
      <c r="L23" s="7">
        <f t="shared" si="3"/>
        <v>1788590</v>
      </c>
      <c r="M23" s="7">
        <f t="shared" si="3"/>
        <v>570782</v>
      </c>
      <c r="N23" s="7">
        <f>SUM(B23:M23)</f>
        <v>19768962</v>
      </c>
      <c r="O23" s="29"/>
    </row>
    <row r="24" spans="1:15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330162</v>
      </c>
      <c r="K24" s="7">
        <f t="shared" si="3"/>
        <v>75265</v>
      </c>
      <c r="L24" s="7">
        <f t="shared" si="3"/>
        <v>232832</v>
      </c>
      <c r="M24" s="7">
        <f t="shared" si="3"/>
        <v>262464</v>
      </c>
      <c r="N24" s="7">
        <f>SUM(B24:M24)</f>
        <v>1796007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2440729</v>
      </c>
      <c r="K27" s="12">
        <f t="shared" si="4"/>
        <v>2147966</v>
      </c>
      <c r="L27" s="12">
        <f t="shared" si="4"/>
        <v>2021422</v>
      </c>
      <c r="M27" s="12">
        <f>SUM(M23:M26)</f>
        <v>833246</v>
      </c>
      <c r="N27" s="12">
        <f t="shared" si="4"/>
        <v>21564969</v>
      </c>
      <c r="O27" s="29"/>
    </row>
    <row r="28" spans="1:15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0.67696971243482651</v>
      </c>
      <c r="K28" s="73">
        <f t="shared" si="5"/>
        <v>0.67610266598929425</v>
      </c>
      <c r="L28" s="73">
        <f t="shared" si="5"/>
        <v>0.67203338919698308</v>
      </c>
      <c r="M28" s="73">
        <f t="shared" si="5"/>
        <v>0.65555412192696472</v>
      </c>
      <c r="N28" s="73">
        <f t="shared" si="5"/>
        <v>0.58284586870875899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687238</v>
      </c>
      <c r="K30" s="53">
        <v>765469</v>
      </c>
      <c r="L30" s="53">
        <v>649845</v>
      </c>
      <c r="M30" s="53">
        <v>494384</v>
      </c>
      <c r="N30" s="7">
        <f>SUM(B30:M30)</f>
        <v>7714177</v>
      </c>
      <c r="O30" s="29"/>
    </row>
    <row r="31" spans="1:15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218161</v>
      </c>
      <c r="K31" s="53">
        <v>210395</v>
      </c>
      <c r="L31" s="53">
        <v>209978</v>
      </c>
      <c r="M31" s="53">
        <v>197583</v>
      </c>
      <c r="N31" s="7">
        <f>SUM(B31:M31)</f>
        <v>2583197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5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5" s="6" customFormat="1">
      <c r="A34" s="13" t="s">
        <v>43</v>
      </c>
      <c r="B34" s="12">
        <f t="shared" ref="B34:N34" si="6">SUM(B30:B33)</f>
        <v>661162</v>
      </c>
      <c r="C34" s="12">
        <f t="shared" si="6"/>
        <v>773537</v>
      </c>
      <c r="D34" s="12">
        <f t="shared" si="6"/>
        <v>945467</v>
      </c>
      <c r="E34" s="12">
        <f t="shared" si="6"/>
        <v>1065117</v>
      </c>
      <c r="F34" s="12">
        <f t="shared" si="6"/>
        <v>810564</v>
      </c>
      <c r="G34" s="12">
        <f t="shared" si="6"/>
        <v>840579</v>
      </c>
      <c r="H34" s="12">
        <f t="shared" si="6"/>
        <v>845182</v>
      </c>
      <c r="I34" s="12">
        <f t="shared" si="6"/>
        <v>922713</v>
      </c>
      <c r="J34" s="12">
        <f t="shared" si="6"/>
        <v>905399</v>
      </c>
      <c r="K34" s="12">
        <f t="shared" si="6"/>
        <v>975864</v>
      </c>
      <c r="L34" s="12">
        <f t="shared" si="6"/>
        <v>859823</v>
      </c>
      <c r="M34" s="12">
        <f t="shared" si="6"/>
        <v>691967</v>
      </c>
      <c r="N34" s="12">
        <f t="shared" si="6"/>
        <v>10297374</v>
      </c>
      <c r="O34" s="29"/>
    </row>
    <row r="35" spans="1:15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5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5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1568535</v>
      </c>
      <c r="K37" s="53">
        <v>1616062</v>
      </c>
      <c r="L37" s="53">
        <v>1393585</v>
      </c>
      <c r="M37" s="53">
        <v>1127635</v>
      </c>
      <c r="N37" s="7">
        <f>SUM(B37:M37)</f>
        <v>17059793</v>
      </c>
      <c r="O37" s="29"/>
    </row>
    <row r="38" spans="1:15" s="6" customFormat="1" hidden="1">
      <c r="A38" s="6" t="s">
        <v>46</v>
      </c>
      <c r="B38" s="7">
        <f>-B34</f>
        <v>-661162</v>
      </c>
      <c r="C38" s="7">
        <f t="shared" ref="C38:M38" si="7">-C34</f>
        <v>-773537</v>
      </c>
      <c r="D38" s="7">
        <f t="shared" si="7"/>
        <v>-945467</v>
      </c>
      <c r="E38" s="7">
        <f t="shared" si="7"/>
        <v>-1065117</v>
      </c>
      <c r="F38" s="7">
        <f t="shared" si="7"/>
        <v>-810564</v>
      </c>
      <c r="G38" s="7">
        <f t="shared" si="7"/>
        <v>-840579</v>
      </c>
      <c r="H38" s="7">
        <f t="shared" si="7"/>
        <v>-845182</v>
      </c>
      <c r="I38" s="7">
        <f t="shared" si="7"/>
        <v>-922713</v>
      </c>
      <c r="J38" s="7">
        <f t="shared" si="7"/>
        <v>-905399</v>
      </c>
      <c r="K38" s="7">
        <f t="shared" si="7"/>
        <v>-975864</v>
      </c>
      <c r="L38" s="7">
        <f t="shared" si="7"/>
        <v>-859823</v>
      </c>
      <c r="M38" s="7">
        <f t="shared" si="7"/>
        <v>-691967</v>
      </c>
      <c r="N38" s="7">
        <f>SUM(B38:M38)</f>
        <v>-10297374</v>
      </c>
      <c r="O38" s="29"/>
    </row>
    <row r="39" spans="1:15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-75679</v>
      </c>
      <c r="K39" s="72">
        <v>-78971</v>
      </c>
      <c r="L39" s="72">
        <v>-79895</v>
      </c>
      <c r="M39" s="72">
        <v>-80832</v>
      </c>
      <c r="N39" s="7">
        <f>SUM(B39:M39)</f>
        <v>-927023</v>
      </c>
      <c r="O39" s="29"/>
    </row>
    <row r="40" spans="1:15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5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-91750</v>
      </c>
      <c r="N41" s="15">
        <f>SUM(B41:M41)</f>
        <v>-183500</v>
      </c>
      <c r="O41" s="29"/>
    </row>
    <row r="42" spans="1:15" s="6" customFormat="1">
      <c r="A42" s="13" t="s">
        <v>49</v>
      </c>
      <c r="B42" s="12">
        <f t="shared" ref="B42:N42" si="8">SUM(B37:B41)</f>
        <v>421303</v>
      </c>
      <c r="C42" s="12">
        <f t="shared" si="8"/>
        <v>385318</v>
      </c>
      <c r="D42" s="12">
        <f t="shared" si="8"/>
        <v>430715</v>
      </c>
      <c r="E42" s="12">
        <f t="shared" si="8"/>
        <v>641487</v>
      </c>
      <c r="F42" s="12">
        <f t="shared" si="8"/>
        <v>476027</v>
      </c>
      <c r="G42" s="12">
        <f t="shared" si="8"/>
        <v>639334</v>
      </c>
      <c r="H42" s="12">
        <f t="shared" si="8"/>
        <v>340453</v>
      </c>
      <c r="I42" s="12">
        <f t="shared" si="8"/>
        <v>476672</v>
      </c>
      <c r="J42" s="12">
        <f t="shared" si="8"/>
        <v>579107</v>
      </c>
      <c r="K42" s="12">
        <f t="shared" si="8"/>
        <v>552877</v>
      </c>
      <c r="L42" s="12">
        <f t="shared" si="8"/>
        <v>445517</v>
      </c>
      <c r="M42" s="12">
        <f t="shared" si="8"/>
        <v>263086</v>
      </c>
      <c r="N42" s="12">
        <f t="shared" si="8"/>
        <v>5651896</v>
      </c>
      <c r="O42" s="29"/>
    </row>
    <row r="43" spans="1:15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5" hidden="1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354437</v>
      </c>
      <c r="K44" s="53">
        <v>342373</v>
      </c>
      <c r="L44" s="53">
        <v>283726</v>
      </c>
      <c r="M44" s="53">
        <v>284799</v>
      </c>
      <c r="N44" s="12">
        <f>SUM(B44:M44)</f>
        <v>3651656</v>
      </c>
      <c r="O44" s="29"/>
    </row>
    <row r="45" spans="1:15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77">
        <v>1160600</v>
      </c>
      <c r="K45" s="22"/>
      <c r="L45" s="22"/>
      <c r="M45" s="77">
        <f>-467483+380000</f>
        <v>-87483</v>
      </c>
      <c r="N45" s="22">
        <f>SUM(B45:M45)</f>
        <v>1073117</v>
      </c>
      <c r="O45" s="29"/>
    </row>
    <row r="46" spans="1:15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9">SUM(D44:D45)</f>
        <v>272075</v>
      </c>
      <c r="E46" s="12">
        <f t="shared" si="9"/>
        <v>331396</v>
      </c>
      <c r="F46" s="12">
        <f t="shared" si="9"/>
        <v>346084</v>
      </c>
      <c r="G46" s="12">
        <f t="shared" si="9"/>
        <v>278977</v>
      </c>
      <c r="H46" s="12">
        <f t="shared" si="9"/>
        <v>350131</v>
      </c>
      <c r="I46" s="12">
        <f t="shared" si="9"/>
        <v>267034</v>
      </c>
      <c r="J46" s="12">
        <f t="shared" si="9"/>
        <v>1515037</v>
      </c>
      <c r="K46" s="12">
        <f t="shared" si="9"/>
        <v>342373</v>
      </c>
      <c r="L46" s="12">
        <f t="shared" si="9"/>
        <v>283726</v>
      </c>
      <c r="M46" s="12">
        <f t="shared" si="9"/>
        <v>197316</v>
      </c>
      <c r="N46" s="12">
        <f t="shared" si="9"/>
        <v>4724773</v>
      </c>
      <c r="O46" s="29"/>
    </row>
    <row r="47" spans="1:15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5">
      <c r="A48" s="13" t="s">
        <v>52</v>
      </c>
      <c r="B48" s="19">
        <f t="shared" ref="B48:N48" si="10">+B20+B34+B42+B46</f>
        <v>1823521</v>
      </c>
      <c r="C48" s="19">
        <f t="shared" si="10"/>
        <v>2865946</v>
      </c>
      <c r="D48" s="19">
        <f t="shared" si="10"/>
        <v>4671417</v>
      </c>
      <c r="E48" s="19">
        <f t="shared" si="10"/>
        <v>3503276</v>
      </c>
      <c r="F48" s="19">
        <f t="shared" si="10"/>
        <v>2480171</v>
      </c>
      <c r="G48" s="19">
        <f t="shared" si="10"/>
        <v>2748937</v>
      </c>
      <c r="H48" s="19">
        <f t="shared" si="10"/>
        <v>3618395</v>
      </c>
      <c r="I48" s="19">
        <f t="shared" si="10"/>
        <v>3166788</v>
      </c>
      <c r="J48" s="19">
        <f t="shared" si="10"/>
        <v>4164188</v>
      </c>
      <c r="K48" s="19">
        <f t="shared" si="10"/>
        <v>2900130</v>
      </c>
      <c r="L48" s="19">
        <f t="shared" si="10"/>
        <v>2575563</v>
      </c>
      <c r="M48" s="19">
        <f t="shared" si="10"/>
        <v>1590179</v>
      </c>
      <c r="N48" s="19">
        <f t="shared" si="10"/>
        <v>36108511</v>
      </c>
      <c r="O48" s="29"/>
    </row>
    <row r="49" spans="1:15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5">
      <c r="A50" s="1" t="s">
        <v>53</v>
      </c>
      <c r="B50" s="12">
        <f t="shared" ref="B50:M50" si="11">+B13-B48</f>
        <v>-563897</v>
      </c>
      <c r="C50" s="12">
        <f t="shared" si="11"/>
        <v>-292069</v>
      </c>
      <c r="D50" s="12">
        <f t="shared" si="11"/>
        <v>1199273</v>
      </c>
      <c r="E50" s="12">
        <f t="shared" si="11"/>
        <v>583672</v>
      </c>
      <c r="F50" s="12">
        <f t="shared" si="11"/>
        <v>57590</v>
      </c>
      <c r="G50" s="12">
        <f t="shared" si="11"/>
        <v>-154854.41999999993</v>
      </c>
      <c r="H50" s="12">
        <f t="shared" si="11"/>
        <v>-150478</v>
      </c>
      <c r="I50" s="12">
        <f t="shared" si="11"/>
        <v>508740</v>
      </c>
      <c r="J50" s="12">
        <f t="shared" si="11"/>
        <v>-548761</v>
      </c>
      <c r="K50" s="12">
        <f t="shared" si="11"/>
        <v>283679.89000000013</v>
      </c>
      <c r="L50" s="12">
        <f t="shared" si="11"/>
        <v>431883</v>
      </c>
      <c r="M50" s="12">
        <f t="shared" si="11"/>
        <v>-231829</v>
      </c>
      <c r="N50" s="12">
        <f>SUM(B50:M50)</f>
        <v>1122949.4700000002</v>
      </c>
      <c r="O50" s="6"/>
    </row>
    <row r="51" spans="1:15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5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5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68817</v>
      </c>
      <c r="J53" s="10">
        <v>7700</v>
      </c>
      <c r="K53" s="10">
        <v>8338</v>
      </c>
      <c r="L53" s="10">
        <v>328190</v>
      </c>
      <c r="M53" s="10">
        <f>5671-64849</f>
        <v>-59178</v>
      </c>
      <c r="N53" s="10">
        <f>SUM(B53:M53)</f>
        <v>833009.65</v>
      </c>
    </row>
    <row r="54" spans="1:15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</row>
    <row r="55" spans="1:15" s="6" customFormat="1">
      <c r="A55" s="6" t="s">
        <v>111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47">
        <v>-1160600</v>
      </c>
      <c r="K55" s="10"/>
      <c r="L55" s="10">
        <v>0</v>
      </c>
      <c r="M55" s="77">
        <f>467483-380000</f>
        <v>87483</v>
      </c>
      <c r="N55" s="10">
        <f>SUM(B55:M55)</f>
        <v>-796705</v>
      </c>
    </row>
    <row r="56" spans="1:15" s="6" customFormat="1">
      <c r="A56" s="37" t="s">
        <v>58</v>
      </c>
      <c r="B56" s="7">
        <v>-12589</v>
      </c>
      <c r="C56" s="7">
        <v>-11612</v>
      </c>
      <c r="D56" s="7">
        <v>-12266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-12297</v>
      </c>
      <c r="K56" s="7">
        <v>-18474</v>
      </c>
      <c r="L56" s="7">
        <f>-10419-407-19580</f>
        <v>-30406</v>
      </c>
      <c r="M56" s="7">
        <v>-183380</v>
      </c>
      <c r="N56" s="7">
        <f>SUM(B56:M56)</f>
        <v>-412620.42</v>
      </c>
      <c r="O56" s="7">
        <v>412620</v>
      </c>
    </row>
    <row r="57" spans="1:15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120187</v>
      </c>
      <c r="K57" s="22">
        <v>33076</v>
      </c>
      <c r="L57" s="22">
        <f>26234.6-27784</f>
        <v>-1549.4000000000015</v>
      </c>
      <c r="M57" s="22">
        <v>324643</v>
      </c>
      <c r="N57" s="22">
        <f>SUM(B57:M57)</f>
        <v>-306613.56000000017</v>
      </c>
      <c r="O57" s="56">
        <v>306614</v>
      </c>
    </row>
    <row r="58" spans="1:15" s="6" customFormat="1">
      <c r="A58" s="13" t="s">
        <v>60</v>
      </c>
      <c r="B58" s="19">
        <f t="shared" ref="B58:N58" si="12">SUM(B53:B57)</f>
        <v>177724</v>
      </c>
      <c r="C58" s="19">
        <f t="shared" si="12"/>
        <v>177891</v>
      </c>
      <c r="D58" s="19">
        <f t="shared" si="12"/>
        <v>-165770</v>
      </c>
      <c r="E58" s="19">
        <f t="shared" si="12"/>
        <v>-147003.35</v>
      </c>
      <c r="F58" s="19">
        <f t="shared" si="12"/>
        <v>75324</v>
      </c>
      <c r="G58" s="19">
        <f t="shared" si="12"/>
        <v>-91512.58</v>
      </c>
      <c r="H58" s="19">
        <f>SUM(H53:H57)</f>
        <v>-431995</v>
      </c>
      <c r="I58" s="19">
        <f t="shared" si="12"/>
        <v>373680</v>
      </c>
      <c r="J58" s="19">
        <f t="shared" si="12"/>
        <v>-1045010</v>
      </c>
      <c r="K58" s="19">
        <f t="shared" si="12"/>
        <v>22940</v>
      </c>
      <c r="L58" s="19">
        <f t="shared" si="12"/>
        <v>296234.59999999998</v>
      </c>
      <c r="M58" s="19">
        <f t="shared" si="12"/>
        <v>169568</v>
      </c>
      <c r="N58" s="19">
        <f t="shared" si="12"/>
        <v>-587929.33000000007</v>
      </c>
      <c r="O58" s="29"/>
    </row>
    <row r="59" spans="1: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5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5">
      <c r="A61" s="13" t="s">
        <v>62</v>
      </c>
      <c r="B61" s="19">
        <f t="shared" ref="B61:N61" si="13">+B58+B48</f>
        <v>2001245</v>
      </c>
      <c r="C61" s="19">
        <f t="shared" si="13"/>
        <v>3043837</v>
      </c>
      <c r="D61" s="19">
        <f t="shared" si="13"/>
        <v>4505647</v>
      </c>
      <c r="E61" s="19">
        <f t="shared" si="13"/>
        <v>3356272.65</v>
      </c>
      <c r="F61" s="19">
        <f t="shared" si="13"/>
        <v>2555495</v>
      </c>
      <c r="G61" s="19">
        <f t="shared" si="13"/>
        <v>2657424.42</v>
      </c>
      <c r="H61" s="19">
        <f t="shared" si="13"/>
        <v>3186400</v>
      </c>
      <c r="I61" s="19">
        <f t="shared" si="13"/>
        <v>3540468</v>
      </c>
      <c r="J61" s="19">
        <f t="shared" si="13"/>
        <v>3119178</v>
      </c>
      <c r="K61" s="19">
        <f t="shared" si="13"/>
        <v>2923070</v>
      </c>
      <c r="L61" s="19">
        <f t="shared" si="13"/>
        <v>2871797.6</v>
      </c>
      <c r="M61" s="19">
        <f t="shared" si="13"/>
        <v>1759747</v>
      </c>
      <c r="N61" s="19">
        <f t="shared" si="13"/>
        <v>35520581.670000002</v>
      </c>
      <c r="O61" s="29"/>
    </row>
    <row r="62" spans="1:15" ht="13.5" thickBot="1">
      <c r="A62" s="13" t="s">
        <v>63</v>
      </c>
      <c r="B62" s="30">
        <f t="shared" ref="B62:N62" si="14">+B13-B61</f>
        <v>-741621</v>
      </c>
      <c r="C62" s="30">
        <f t="shared" si="14"/>
        <v>-469960</v>
      </c>
      <c r="D62" s="30">
        <f t="shared" si="14"/>
        <v>1365043</v>
      </c>
      <c r="E62" s="30">
        <f t="shared" si="14"/>
        <v>730675.35000000009</v>
      </c>
      <c r="F62" s="30">
        <f t="shared" si="14"/>
        <v>-17734</v>
      </c>
      <c r="G62" s="30">
        <f t="shared" si="14"/>
        <v>-63341.839999999851</v>
      </c>
      <c r="H62" s="30">
        <f t="shared" si="14"/>
        <v>281517</v>
      </c>
      <c r="I62" s="30">
        <f t="shared" si="14"/>
        <v>135060</v>
      </c>
      <c r="J62" s="30">
        <f t="shared" si="14"/>
        <v>496249</v>
      </c>
      <c r="K62" s="30">
        <f t="shared" si="14"/>
        <v>260739.89000000013</v>
      </c>
      <c r="L62" s="30">
        <f t="shared" si="14"/>
        <v>135648.39999999991</v>
      </c>
      <c r="M62" s="30">
        <f t="shared" si="14"/>
        <v>-401397</v>
      </c>
      <c r="N62" s="30">
        <f t="shared" si="14"/>
        <v>1710878.799999997</v>
      </c>
      <c r="O62" s="29"/>
    </row>
    <row r="63" spans="1:15" s="6" customFormat="1" ht="13.5" thickTop="1">
      <c r="A63" s="13" t="s">
        <v>64</v>
      </c>
      <c r="B63" s="32">
        <f>+B62</f>
        <v>-741621</v>
      </c>
      <c r="C63" s="32">
        <f t="shared" ref="C63:M63" si="15">B63+C62</f>
        <v>-1211581</v>
      </c>
      <c r="D63" s="32">
        <f t="shared" si="15"/>
        <v>153462</v>
      </c>
      <c r="E63" s="32">
        <f t="shared" si="15"/>
        <v>884137.35000000009</v>
      </c>
      <c r="F63" s="32">
        <f t="shared" si="15"/>
        <v>866403.35000000009</v>
      </c>
      <c r="G63" s="32">
        <f t="shared" si="15"/>
        <v>803061.51000000024</v>
      </c>
      <c r="H63" s="32">
        <f t="shared" si="15"/>
        <v>1084578.5100000002</v>
      </c>
      <c r="I63" s="32">
        <f t="shared" si="15"/>
        <v>1219638.5100000002</v>
      </c>
      <c r="J63" s="32">
        <f t="shared" si="15"/>
        <v>1715887.5100000002</v>
      </c>
      <c r="K63" s="32">
        <f t="shared" si="15"/>
        <v>1976627.4000000004</v>
      </c>
      <c r="L63" s="32">
        <f t="shared" si="15"/>
        <v>2112275.8000000003</v>
      </c>
      <c r="M63" s="32">
        <f t="shared" si="15"/>
        <v>1710878.8000000003</v>
      </c>
      <c r="N63" s="12"/>
    </row>
    <row r="64" spans="1:15">
      <c r="A64" s="13" t="s">
        <v>65</v>
      </c>
      <c r="B64" s="12">
        <f t="shared" ref="B64:M64" si="16">+$B$60+B63</f>
        <v>12631402</v>
      </c>
      <c r="C64" s="12">
        <f t="shared" si="16"/>
        <v>12161442</v>
      </c>
      <c r="D64" s="12">
        <f t="shared" si="16"/>
        <v>13526485</v>
      </c>
      <c r="E64" s="12">
        <f t="shared" si="16"/>
        <v>14257160.35</v>
      </c>
      <c r="F64" s="12">
        <f t="shared" si="16"/>
        <v>14239426.35</v>
      </c>
      <c r="G64" s="12">
        <f t="shared" si="16"/>
        <v>14176084.51</v>
      </c>
      <c r="H64" s="12">
        <f t="shared" si="16"/>
        <v>14457601.51</v>
      </c>
      <c r="I64" s="12">
        <f t="shared" si="16"/>
        <v>14592661.51</v>
      </c>
      <c r="J64" s="12">
        <f t="shared" si="16"/>
        <v>15088910.51</v>
      </c>
      <c r="K64" s="12">
        <f t="shared" si="16"/>
        <v>15349650.4</v>
      </c>
      <c r="L64" s="12">
        <f t="shared" si="16"/>
        <v>15485298.800000001</v>
      </c>
      <c r="M64" s="12">
        <f t="shared" si="16"/>
        <v>15083901.800000001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5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7">+C68+D67</f>
        <v>372879</v>
      </c>
      <c r="E68" s="12">
        <f t="shared" si="17"/>
        <v>760901</v>
      </c>
      <c r="F68" s="12">
        <f t="shared" si="17"/>
        <v>569862</v>
      </c>
      <c r="G68" s="12">
        <f t="shared" si="17"/>
        <v>666298</v>
      </c>
      <c r="H68" s="12">
        <f t="shared" si="17"/>
        <v>552018</v>
      </c>
      <c r="I68" s="12">
        <f t="shared" si="17"/>
        <v>868308</v>
      </c>
      <c r="J68" s="12">
        <f t="shared" si="17"/>
        <v>1497777</v>
      </c>
      <c r="K68" s="12">
        <f t="shared" si="17"/>
        <v>1476888</v>
      </c>
      <c r="L68" s="12">
        <f t="shared" si="17"/>
        <v>1665755</v>
      </c>
      <c r="M68" s="12">
        <f t="shared" si="17"/>
        <v>305919</v>
      </c>
      <c r="N68" s="16"/>
      <c r="O68" s="6"/>
    </row>
    <row r="69" spans="1:15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226638</v>
      </c>
      <c r="C72" s="31">
        <f t="shared" si="18"/>
        <v>-635617</v>
      </c>
      <c r="D72" s="31">
        <f t="shared" si="18"/>
        <v>189562</v>
      </c>
      <c r="E72" s="31">
        <f t="shared" si="18"/>
        <v>342653.35000000009</v>
      </c>
      <c r="F72" s="31">
        <f t="shared" si="18"/>
        <v>173305</v>
      </c>
      <c r="G72" s="31">
        <f t="shared" si="18"/>
        <v>-159777.83999999985</v>
      </c>
      <c r="H72" s="31">
        <f t="shared" si="18"/>
        <v>395797</v>
      </c>
      <c r="I72" s="31">
        <f t="shared" si="18"/>
        <v>-181230</v>
      </c>
      <c r="J72" s="31">
        <f t="shared" si="18"/>
        <v>-133220</v>
      </c>
      <c r="K72" s="31">
        <f t="shared" si="18"/>
        <v>281628.89000000013</v>
      </c>
      <c r="L72" s="31">
        <f t="shared" si="18"/>
        <v>-53218.600000000093</v>
      </c>
      <c r="M72" s="31">
        <f t="shared" si="18"/>
        <v>958439</v>
      </c>
      <c r="N72" s="6"/>
      <c r="O72" s="6"/>
    </row>
    <row r="73" spans="1:15" s="6" customFormat="1">
      <c r="A73" s="13" t="s">
        <v>64</v>
      </c>
      <c r="B73" s="31">
        <f t="shared" si="18"/>
        <v>226638</v>
      </c>
      <c r="C73" s="31">
        <f t="shared" si="18"/>
        <v>-408979</v>
      </c>
      <c r="D73" s="31">
        <f t="shared" si="18"/>
        <v>-219417</v>
      </c>
      <c r="E73" s="31">
        <f t="shared" si="18"/>
        <v>123236.35000000009</v>
      </c>
      <c r="F73" s="31">
        <f t="shared" si="18"/>
        <v>296541.35000000009</v>
      </c>
      <c r="G73" s="31">
        <f t="shared" si="18"/>
        <v>136763.51000000024</v>
      </c>
      <c r="H73" s="31">
        <f t="shared" si="18"/>
        <v>532560.51000000024</v>
      </c>
      <c r="I73" s="31">
        <f t="shared" si="18"/>
        <v>351330.51000000024</v>
      </c>
      <c r="J73" s="31">
        <f t="shared" si="18"/>
        <v>218110.51000000024</v>
      </c>
      <c r="K73" s="31">
        <f t="shared" si="18"/>
        <v>499739.40000000037</v>
      </c>
      <c r="L73" s="31">
        <f t="shared" si="18"/>
        <v>446520.80000000028</v>
      </c>
      <c r="M73" s="31">
        <f t="shared" si="18"/>
        <v>1404959.8000000003</v>
      </c>
      <c r="N73" s="16">
        <f t="shared" si="18"/>
        <v>0</v>
      </c>
    </row>
    <row r="74" spans="1:15">
      <c r="A74" s="1" t="s">
        <v>65</v>
      </c>
      <c r="B74" s="16">
        <f t="shared" si="18"/>
        <v>2564614.1993004195</v>
      </c>
      <c r="C74" s="16">
        <f t="shared" si="18"/>
        <v>1686556.1728795301</v>
      </c>
      <c r="D74" s="16">
        <f t="shared" si="18"/>
        <v>1979756.5326157045</v>
      </c>
      <c r="E74" s="16">
        <f t="shared" si="18"/>
        <v>2264438.4213608671</v>
      </c>
      <c r="F74" s="16">
        <f t="shared" si="18"/>
        <v>2512454.0284120571</v>
      </c>
      <c r="G74" s="16">
        <f t="shared" si="18"/>
        <v>2838814.8039878588</v>
      </c>
      <c r="H74" s="16">
        <f t="shared" si="18"/>
        <v>3134692.7123581115</v>
      </c>
      <c r="I74" s="16">
        <f t="shared" si="18"/>
        <v>3065872.1168953236</v>
      </c>
      <c r="J74" s="16">
        <f t="shared" si="18"/>
        <v>3251204.841524316</v>
      </c>
      <c r="K74" s="16">
        <f t="shared" si="18"/>
        <v>3328385.6213346217</v>
      </c>
      <c r="L74" s="16">
        <f t="shared" si="18"/>
        <v>3009686.2316332068</v>
      </c>
      <c r="M74" s="16">
        <f t="shared" si="18"/>
        <v>3885953.5652352404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  <c r="L77">
        <v>10419.15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547959.65</v>
      </c>
      <c r="J84" s="7">
        <f>SUM(B53:J53)</f>
        <v>555659.65</v>
      </c>
      <c r="K84" s="7">
        <f>SUM(B53:K53)</f>
        <v>563997.65</v>
      </c>
      <c r="L84" s="7">
        <f>SUM(B53:L53)</f>
        <v>892187.65</v>
      </c>
      <c r="M84" s="7">
        <f>SUM(B53:M53)</f>
        <v>833009.65</v>
      </c>
    </row>
    <row r="85" spans="1:14">
      <c r="A85" s="33" t="s">
        <v>73</v>
      </c>
      <c r="B85" s="7">
        <f t="shared" ref="B85:G85" si="20">+B83-B84</f>
        <v>-49289</v>
      </c>
      <c r="C85" s="7">
        <f t="shared" si="20"/>
        <v>-259668</v>
      </c>
      <c r="D85" s="7">
        <f t="shared" si="20"/>
        <v>-255015</v>
      </c>
      <c r="E85" s="7">
        <f t="shared" si="20"/>
        <v>-228682.65000000002</v>
      </c>
      <c r="F85" s="7">
        <f t="shared" si="20"/>
        <v>-127281.65000000002</v>
      </c>
      <c r="G85" s="7">
        <f t="shared" si="20"/>
        <v>51654.349999999977</v>
      </c>
      <c r="H85" s="7">
        <f t="shared" ref="H85:M85" si="21">+H83-H84</f>
        <v>233052.34999999998</v>
      </c>
      <c r="I85" s="7">
        <f t="shared" si="21"/>
        <v>306235.34999999998</v>
      </c>
      <c r="J85" s="7">
        <f t="shared" si="21"/>
        <v>417535.35</v>
      </c>
      <c r="K85" s="7">
        <f t="shared" si="21"/>
        <v>409197.35</v>
      </c>
      <c r="L85" s="7">
        <f t="shared" si="21"/>
        <v>81007.349999999977</v>
      </c>
      <c r="M85" s="7">
        <f t="shared" si="21"/>
        <v>595185.35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2">-C56-C57</f>
        <v>52488</v>
      </c>
      <c r="D87" s="35">
        <f t="shared" si="22"/>
        <v>171117</v>
      </c>
      <c r="E87" s="35">
        <f t="shared" si="22"/>
        <v>165026</v>
      </c>
      <c r="F87" s="35">
        <f t="shared" si="22"/>
        <v>105115</v>
      </c>
      <c r="G87" s="40">
        <f t="shared" si="22"/>
        <v>114576.58</v>
      </c>
      <c r="H87" s="40">
        <f t="shared" si="22"/>
        <v>447597</v>
      </c>
      <c r="I87" s="35">
        <f t="shared" si="22"/>
        <v>-304863</v>
      </c>
      <c r="J87" s="35">
        <f t="shared" si="22"/>
        <v>-107890</v>
      </c>
      <c r="K87" s="40">
        <f t="shared" si="22"/>
        <v>-14602</v>
      </c>
      <c r="L87" s="35">
        <f t="shared" si="22"/>
        <v>31955.4</v>
      </c>
      <c r="M87" s="35">
        <f t="shared" si="22"/>
        <v>-141263</v>
      </c>
      <c r="N87" s="35">
        <f t="shared" si="22"/>
        <v>719233.98000000021</v>
      </c>
    </row>
    <row r="88" spans="1:14">
      <c r="C88" s="35">
        <f>+B87+C87</f>
        <v>252465</v>
      </c>
      <c r="D88" s="35">
        <f>+C88+D87</f>
        <v>423582</v>
      </c>
      <c r="E88" s="35">
        <f t="shared" ref="E88:M88" si="23">+D88+E87</f>
        <v>588608</v>
      </c>
      <c r="F88" s="35">
        <f t="shared" si="23"/>
        <v>693723</v>
      </c>
      <c r="G88" s="40">
        <f t="shared" si="23"/>
        <v>808299.58</v>
      </c>
      <c r="H88" s="35">
        <f t="shared" si="23"/>
        <v>1255896.58</v>
      </c>
      <c r="I88" s="40">
        <f t="shared" si="23"/>
        <v>951033.58000000007</v>
      </c>
      <c r="J88" s="40">
        <f t="shared" si="23"/>
        <v>843143.58000000007</v>
      </c>
      <c r="K88" s="40">
        <f t="shared" si="23"/>
        <v>828541.58000000007</v>
      </c>
      <c r="L88" s="35">
        <f t="shared" si="23"/>
        <v>860496.9800000001</v>
      </c>
      <c r="M88" s="35">
        <f t="shared" si="23"/>
        <v>719233.9800000001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4">+C92*-1</f>
        <v>-78293</v>
      </c>
      <c r="D93" s="6">
        <f t="shared" si="24"/>
        <v>-79025</v>
      </c>
      <c r="E93" s="6">
        <f t="shared" si="24"/>
        <v>-81090</v>
      </c>
      <c r="F93" s="6">
        <f t="shared" si="24"/>
        <v>-81090</v>
      </c>
      <c r="G93" s="6">
        <f t="shared" si="24"/>
        <v>-81079</v>
      </c>
      <c r="H93" s="6">
        <f t="shared" si="24"/>
        <v>-89229</v>
      </c>
      <c r="I93" s="6">
        <f t="shared" si="24"/>
        <v>-88964</v>
      </c>
      <c r="J93" s="6">
        <f t="shared" si="24"/>
        <v>-88964</v>
      </c>
      <c r="K93" s="6">
        <f t="shared" si="24"/>
        <v>-88563</v>
      </c>
      <c r="L93" s="6">
        <f t="shared" si="24"/>
        <v>-97279</v>
      </c>
      <c r="M93" s="6">
        <f t="shared" si="24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5" orientation="landscape" r:id="rId1"/>
  <headerFooter alignWithMargins="0">
    <oddHeader xml:space="preserve">&amp;C&amp;"Arial,Bold"&amp;11 49ER SHOPS, INC.
&amp;UFY2017/2018 OPERATIONAL CASH FLOW </oddHeader>
    <oddFooter>&amp;CCash Flow - FY2017/2018
June 2018 Pre-audit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1:Z97"/>
  <sheetViews>
    <sheetView showGridLines="0" zoomScale="50" zoomScaleNormal="50" workbookViewId="0">
      <selection activeCell="P45" sqref="P45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112</v>
      </c>
      <c r="E1" s="6"/>
      <c r="F1" s="6"/>
      <c r="J1" s="6"/>
      <c r="K1" s="6"/>
      <c r="N1" s="3"/>
    </row>
    <row r="2" spans="1:15">
      <c r="B2" s="45" t="s">
        <v>76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1161453</v>
      </c>
      <c r="C5" s="53">
        <v>3114197</v>
      </c>
      <c r="D5" s="53">
        <v>5770084</v>
      </c>
      <c r="E5" s="53">
        <v>4100133</v>
      </c>
      <c r="F5" s="53">
        <v>2497881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38493531</v>
      </c>
      <c r="O5" s="29"/>
    </row>
    <row r="6" spans="1:15" s="6" customFormat="1">
      <c r="A6" s="6" t="s">
        <v>29</v>
      </c>
      <c r="B6" s="53">
        <v>85092</v>
      </c>
      <c r="C6" s="53">
        <v>83059</v>
      </c>
      <c r="D6" s="53">
        <v>310912</v>
      </c>
      <c r="E6" s="53">
        <v>116106</v>
      </c>
      <c r="F6" s="53">
        <v>104991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1617321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1246545</v>
      </c>
      <c r="C9" s="12">
        <f t="shared" si="0"/>
        <v>3197256</v>
      </c>
      <c r="D9" s="12">
        <f t="shared" si="0"/>
        <v>6080996</v>
      </c>
      <c r="E9" s="12">
        <f t="shared" si="0"/>
        <v>4216239</v>
      </c>
      <c r="F9" s="12">
        <f t="shared" si="0"/>
        <v>2602872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40110852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0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1246545</v>
      </c>
      <c r="C13" s="14">
        <f>C9+C11</f>
        <v>3197256</v>
      </c>
      <c r="D13" s="14">
        <f t="shared" si="1"/>
        <v>6080996</v>
      </c>
      <c r="E13" s="14">
        <f t="shared" si="1"/>
        <v>4216239</v>
      </c>
      <c r="F13" s="14">
        <f t="shared" si="1"/>
        <v>2602872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40110852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507710</v>
      </c>
      <c r="C16" s="53">
        <v>1768998</v>
      </c>
      <c r="D16" s="53">
        <v>2969178</v>
      </c>
      <c r="E16" s="53">
        <v>1499349</v>
      </c>
      <c r="F16" s="53">
        <v>928598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16944097</v>
      </c>
      <c r="O16" s="29"/>
    </row>
    <row r="17" spans="1:15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507710</v>
      </c>
      <c r="C20" s="12">
        <f t="shared" si="2"/>
        <v>1768998</v>
      </c>
      <c r="D20" s="12">
        <f t="shared" si="2"/>
        <v>2969178</v>
      </c>
      <c r="E20" s="12">
        <f t="shared" si="2"/>
        <v>1499349</v>
      </c>
      <c r="F20" s="12">
        <f t="shared" si="2"/>
        <v>928598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16944097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>
      <c r="A23" s="6" t="s">
        <v>37</v>
      </c>
      <c r="B23" s="7">
        <f t="shared" ref="B23:M26" si="3">+B5-B16</f>
        <v>653743</v>
      </c>
      <c r="C23" s="7">
        <f t="shared" si="3"/>
        <v>1345199</v>
      </c>
      <c r="D23" s="7">
        <f t="shared" si="3"/>
        <v>2800906</v>
      </c>
      <c r="E23" s="7">
        <f t="shared" si="3"/>
        <v>2600784</v>
      </c>
      <c r="F23" s="7">
        <f t="shared" si="3"/>
        <v>1569283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21549434</v>
      </c>
      <c r="O23" s="29"/>
    </row>
    <row r="24" spans="1:15" s="6" customFormat="1">
      <c r="A24" s="6" t="s">
        <v>37</v>
      </c>
      <c r="B24" s="7">
        <f t="shared" si="3"/>
        <v>85092</v>
      </c>
      <c r="C24" s="7">
        <f t="shared" si="3"/>
        <v>83059</v>
      </c>
      <c r="D24" s="7">
        <f t="shared" si="3"/>
        <v>310912</v>
      </c>
      <c r="E24" s="7">
        <f t="shared" si="3"/>
        <v>116106</v>
      </c>
      <c r="F24" s="7">
        <f t="shared" si="3"/>
        <v>104991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1617321</v>
      </c>
      <c r="O24" s="29"/>
    </row>
    <row r="25" spans="1:15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738835</v>
      </c>
      <c r="C27" s="12">
        <f t="shared" si="4"/>
        <v>1428258</v>
      </c>
      <c r="D27" s="12">
        <f t="shared" si="4"/>
        <v>3111818</v>
      </c>
      <c r="E27" s="12">
        <f t="shared" si="4"/>
        <v>2716890</v>
      </c>
      <c r="F27" s="12">
        <f t="shared" si="4"/>
        <v>1674274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23166755</v>
      </c>
      <c r="O27" s="29"/>
    </row>
    <row r="28" spans="1:15" s="6" customFormat="1" ht="14.45" customHeight="1">
      <c r="B28" s="73">
        <f>+B27/B9</f>
        <v>0.59270624004749128</v>
      </c>
      <c r="C28" s="73">
        <f t="shared" ref="C28:N28" si="5">+C27/C9</f>
        <v>0.44671368198229983</v>
      </c>
      <c r="D28" s="73">
        <f t="shared" si="5"/>
        <v>0.51172834187031202</v>
      </c>
      <c r="E28" s="73">
        <f t="shared" si="5"/>
        <v>0.6443870947543533</v>
      </c>
      <c r="F28" s="73">
        <f t="shared" si="5"/>
        <v>0.64324100455189503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0.57756826008083795</v>
      </c>
    </row>
    <row r="29" spans="1:15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>
      <c r="A30" s="6" t="s">
        <v>93</v>
      </c>
      <c r="B30" s="53">
        <v>600233</v>
      </c>
      <c r="C30" s="53">
        <v>635109</v>
      </c>
      <c r="D30" s="53">
        <v>737654</v>
      </c>
      <c r="E30" s="53">
        <v>873804</v>
      </c>
      <c r="F30" s="53">
        <v>655473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8332125</v>
      </c>
      <c r="O30" s="29"/>
    </row>
    <row r="31" spans="1:15" s="6" customFormat="1">
      <c r="A31" s="6" t="s">
        <v>42</v>
      </c>
      <c r="B31" s="53">
        <v>238498</v>
      </c>
      <c r="C31" s="53">
        <v>218636</v>
      </c>
      <c r="D31" s="53">
        <v>222552</v>
      </c>
      <c r="E31" s="53">
        <v>253635</v>
      </c>
      <c r="F31" s="53">
        <v>213768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2711346</v>
      </c>
      <c r="O31" s="29"/>
    </row>
    <row r="32" spans="1:15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838731</v>
      </c>
      <c r="C34" s="12">
        <f t="shared" si="6"/>
        <v>853745</v>
      </c>
      <c r="D34" s="12">
        <f t="shared" si="6"/>
        <v>960206</v>
      </c>
      <c r="E34" s="12">
        <f t="shared" si="6"/>
        <v>1127439</v>
      </c>
      <c r="F34" s="12">
        <f t="shared" si="6"/>
        <v>869241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11043471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1373408</v>
      </c>
      <c r="C37" s="53">
        <v>1340215</v>
      </c>
      <c r="D37" s="53">
        <v>1567865</v>
      </c>
      <c r="E37" s="53">
        <v>1759651</v>
      </c>
      <c r="F37" s="53">
        <v>1435895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42">
        <f>SUM(B37:M37)</f>
        <v>18003171</v>
      </c>
      <c r="O37" s="29"/>
    </row>
    <row r="38" spans="1:16" s="6" customFormat="1">
      <c r="A38" s="6" t="s">
        <v>46</v>
      </c>
      <c r="B38" s="7">
        <f>-B34</f>
        <v>-838731</v>
      </c>
      <c r="C38" s="7">
        <f t="shared" ref="C38:M38" si="7">-C34</f>
        <v>-853745</v>
      </c>
      <c r="D38" s="7">
        <f t="shared" si="7"/>
        <v>-960206</v>
      </c>
      <c r="E38" s="7">
        <f t="shared" si="7"/>
        <v>-1127439</v>
      </c>
      <c r="F38" s="7">
        <f t="shared" si="7"/>
        <v>-869241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42">
        <f>SUM(B38:M38)</f>
        <v>-11043471</v>
      </c>
      <c r="O38" s="29"/>
    </row>
    <row r="39" spans="1:16" s="6" customFormat="1">
      <c r="A39" s="6" t="s">
        <v>47</v>
      </c>
      <c r="B39" s="72">
        <v>-89837</v>
      </c>
      <c r="C39" s="72">
        <v>-85837</v>
      </c>
      <c r="D39" s="72">
        <v>-86637</v>
      </c>
      <c r="E39" s="72">
        <v>-80973</v>
      </c>
      <c r="F39" s="72">
        <v>-81098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42">
        <f>SUM(B39:M39)</f>
        <v>-998481</v>
      </c>
      <c r="O39" s="29"/>
    </row>
    <row r="40" spans="1:16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434840</v>
      </c>
      <c r="C42" s="12">
        <f t="shared" si="8"/>
        <v>390633</v>
      </c>
      <c r="D42" s="12">
        <f t="shared" si="8"/>
        <v>511022</v>
      </c>
      <c r="E42" s="12">
        <f t="shared" si="8"/>
        <v>541239</v>
      </c>
      <c r="F42" s="12">
        <f t="shared" si="8"/>
        <v>475556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5840319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53">
        <v>552053</v>
      </c>
      <c r="C44" s="53">
        <v>302692</v>
      </c>
      <c r="D44" s="53">
        <v>342435</v>
      </c>
      <c r="E44" s="53">
        <v>410056</v>
      </c>
      <c r="F44" s="53">
        <v>400329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4832559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77"/>
      <c r="K45" s="22"/>
      <c r="L45" s="22"/>
      <c r="M45" s="77"/>
      <c r="N45" s="22">
        <f>SUM(B45:M45)</f>
        <v>0</v>
      </c>
      <c r="O45" s="29"/>
    </row>
    <row r="46" spans="1:16">
      <c r="A46" s="1" t="s">
        <v>50</v>
      </c>
      <c r="B46" s="12">
        <f>SUM(B44:B45)</f>
        <v>552053</v>
      </c>
      <c r="C46" s="12">
        <f>SUM(C44:C45)</f>
        <v>302692</v>
      </c>
      <c r="D46" s="12">
        <f t="shared" ref="D46:N46" si="9">SUM(D44:D45)</f>
        <v>342435</v>
      </c>
      <c r="E46" s="12">
        <f t="shared" si="9"/>
        <v>410056</v>
      </c>
      <c r="F46" s="12">
        <f t="shared" si="9"/>
        <v>400329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4832559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2333334</v>
      </c>
      <c r="C48" s="19">
        <f t="shared" si="10"/>
        <v>3316068</v>
      </c>
      <c r="D48" s="19">
        <f t="shared" si="10"/>
        <v>4782841</v>
      </c>
      <c r="E48" s="19">
        <f t="shared" si="10"/>
        <v>3578083</v>
      </c>
      <c r="F48" s="19">
        <f t="shared" si="10"/>
        <v>2673724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38660446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-1086789</v>
      </c>
      <c r="C50" s="12">
        <f t="shared" si="11"/>
        <v>-118812</v>
      </c>
      <c r="D50" s="12">
        <f t="shared" si="11"/>
        <v>1298155</v>
      </c>
      <c r="E50" s="12">
        <f t="shared" si="11"/>
        <v>638156</v>
      </c>
      <c r="F50" s="12">
        <f t="shared" si="11"/>
        <v>-70852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1450406</v>
      </c>
      <c r="O50" s="7">
        <f>+N50+N39+N41</f>
        <v>331025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50000</v>
      </c>
      <c r="C53" s="10">
        <v>50000</v>
      </c>
      <c r="D53" s="10">
        <v>200000</v>
      </c>
      <c r="E53" s="10">
        <v>100000</v>
      </c>
      <c r="F53" s="10">
        <v>10000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51">
        <f>SUM(B53:M53)</f>
        <v>930725</v>
      </c>
      <c r="O53" s="10">
        <v>930725</v>
      </c>
      <c r="P53" s="40">
        <f>+O53-N53</f>
        <v>0</v>
      </c>
      <c r="Z53" s="40">
        <f>N53-P53+O53-N53</f>
        <v>930725</v>
      </c>
    </row>
    <row r="54" spans="1:26" s="6" customFormat="1">
      <c r="A54" s="6" t="s">
        <v>96</v>
      </c>
      <c r="B54" s="10"/>
      <c r="C54" s="10"/>
      <c r="D54" s="10"/>
      <c r="E54" s="10"/>
      <c r="F54" s="51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51">
        <v>348240</v>
      </c>
      <c r="C55" s="10"/>
      <c r="D55" s="10"/>
      <c r="E55" s="10"/>
      <c r="F55" s="10"/>
      <c r="G55" s="10"/>
      <c r="H55" s="10"/>
      <c r="I55" s="10"/>
      <c r="J55" s="47"/>
      <c r="K55" s="10"/>
      <c r="L55" s="10">
        <v>0</v>
      </c>
      <c r="M55" s="77"/>
      <c r="N55" s="10">
        <f>SUM(B55:M55)</f>
        <v>348240</v>
      </c>
    </row>
    <row r="56" spans="1:26" s="6" customFormat="1">
      <c r="A56" s="37" t="s">
        <v>58</v>
      </c>
      <c r="B56" s="7">
        <v>-20000</v>
      </c>
      <c r="C56" s="7">
        <v>-20000</v>
      </c>
      <c r="D56" s="7">
        <v>-25000</v>
      </c>
      <c r="E56" s="7">
        <v>-20000</v>
      </c>
      <c r="F56" s="7">
        <v>-20000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42">
        <f>SUM(B56:M56)</f>
        <v>-260000</v>
      </c>
      <c r="O56" s="7">
        <v>412620</v>
      </c>
    </row>
    <row r="57" spans="1:26" s="6" customFormat="1">
      <c r="A57" s="6" t="s">
        <v>59</v>
      </c>
      <c r="B57" s="22">
        <v>-25000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50">
        <f>SUM(B57:M57)</f>
        <v>-300000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353240</v>
      </c>
      <c r="C58" s="19">
        <f t="shared" si="12"/>
        <v>5000</v>
      </c>
      <c r="D58" s="19">
        <f t="shared" si="12"/>
        <v>150000</v>
      </c>
      <c r="E58" s="19">
        <f t="shared" si="12"/>
        <v>55000</v>
      </c>
      <c r="F58" s="19">
        <f t="shared" si="12"/>
        <v>55000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808965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44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2686574</v>
      </c>
      <c r="C61" s="19">
        <f t="shared" si="13"/>
        <v>3321068</v>
      </c>
      <c r="D61" s="19">
        <f t="shared" si="13"/>
        <v>4932841</v>
      </c>
      <c r="E61" s="19">
        <f t="shared" si="13"/>
        <v>3633083</v>
      </c>
      <c r="F61" s="19">
        <f t="shared" si="13"/>
        <v>2728724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39469411</v>
      </c>
      <c r="O61" s="29"/>
    </row>
    <row r="62" spans="1:26" ht="13.5" thickBot="1">
      <c r="A62" s="13" t="s">
        <v>63</v>
      </c>
      <c r="B62" s="30">
        <f t="shared" ref="B62:N62" si="14">+B13-B61</f>
        <v>-1440029</v>
      </c>
      <c r="C62" s="30">
        <f t="shared" si="14"/>
        <v>-123812</v>
      </c>
      <c r="D62" s="30">
        <f t="shared" si="14"/>
        <v>1148155</v>
      </c>
      <c r="E62" s="30">
        <f t="shared" si="14"/>
        <v>583156</v>
      </c>
      <c r="F62" s="30">
        <f t="shared" si="14"/>
        <v>-125852</v>
      </c>
      <c r="G62" s="30">
        <f t="shared" si="14"/>
        <v>-37690</v>
      </c>
      <c r="H62" s="30">
        <f t="shared" si="14"/>
        <v>100669</v>
      </c>
      <c r="I62" s="30">
        <f t="shared" si="14"/>
        <v>782418</v>
      </c>
      <c r="J62" s="30">
        <f t="shared" si="14"/>
        <v>335342</v>
      </c>
      <c r="K62" s="30">
        <f t="shared" si="14"/>
        <v>368443</v>
      </c>
      <c r="L62" s="30">
        <f t="shared" si="14"/>
        <v>110221</v>
      </c>
      <c r="M62" s="30">
        <f t="shared" si="14"/>
        <v>-1059580</v>
      </c>
      <c r="N62" s="30">
        <f t="shared" si="14"/>
        <v>641441</v>
      </c>
      <c r="O62" s="29"/>
    </row>
    <row r="63" spans="1:26" s="6" customFormat="1" ht="13.5" thickTop="1">
      <c r="A63" s="13" t="s">
        <v>64</v>
      </c>
      <c r="B63" s="32">
        <f>+B62</f>
        <v>-1440029</v>
      </c>
      <c r="C63" s="32">
        <f t="shared" ref="C63:M63" si="15">B63+C62</f>
        <v>-1563841</v>
      </c>
      <c r="D63" s="32">
        <f t="shared" si="15"/>
        <v>-415686</v>
      </c>
      <c r="E63" s="32">
        <f t="shared" si="15"/>
        <v>167470</v>
      </c>
      <c r="F63" s="32">
        <f t="shared" si="15"/>
        <v>41618</v>
      </c>
      <c r="G63" s="32">
        <f t="shared" si="15"/>
        <v>3928</v>
      </c>
      <c r="H63" s="32">
        <f t="shared" si="15"/>
        <v>104597</v>
      </c>
      <c r="I63" s="32">
        <f t="shared" si="15"/>
        <v>887015</v>
      </c>
      <c r="J63" s="32">
        <f t="shared" si="15"/>
        <v>1222357</v>
      </c>
      <c r="K63" s="32">
        <f t="shared" si="15"/>
        <v>1590800</v>
      </c>
      <c r="L63" s="32">
        <f t="shared" si="15"/>
        <v>1701021</v>
      </c>
      <c r="M63" s="32">
        <f t="shared" si="15"/>
        <v>641441</v>
      </c>
      <c r="N63" s="12"/>
    </row>
    <row r="64" spans="1:26">
      <c r="A64" s="13" t="s">
        <v>65</v>
      </c>
      <c r="B64" s="12">
        <f t="shared" ref="B64:M64" si="16">+$B$60+B63</f>
        <v>12917512</v>
      </c>
      <c r="C64" s="12">
        <f t="shared" si="16"/>
        <v>12793700</v>
      </c>
      <c r="D64" s="12">
        <f t="shared" si="16"/>
        <v>13941855</v>
      </c>
      <c r="E64" s="12">
        <f t="shared" si="16"/>
        <v>14525011</v>
      </c>
      <c r="F64" s="12">
        <f t="shared" si="16"/>
        <v>14399159</v>
      </c>
      <c r="G64" s="12">
        <f t="shared" si="16"/>
        <v>14361469</v>
      </c>
      <c r="H64" s="12">
        <f t="shared" si="16"/>
        <v>14462138</v>
      </c>
      <c r="I64" s="12">
        <f t="shared" si="16"/>
        <v>15244556</v>
      </c>
      <c r="J64" s="12">
        <f t="shared" si="16"/>
        <v>15579898</v>
      </c>
      <c r="K64" s="12">
        <f t="shared" si="16"/>
        <v>15948341</v>
      </c>
      <c r="L64" s="12">
        <f t="shared" si="16"/>
        <v>16058562</v>
      </c>
      <c r="M64" s="12">
        <f t="shared" si="16"/>
        <v>14998982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0</v>
      </c>
      <c r="C72" s="31">
        <f t="shared" si="18"/>
        <v>0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0</v>
      </c>
      <c r="C73" s="31">
        <f t="shared" si="18"/>
        <v>0</v>
      </c>
      <c r="D73" s="31">
        <f t="shared" si="18"/>
        <v>0</v>
      </c>
      <c r="E73" s="31">
        <f t="shared" si="18"/>
        <v>0</v>
      </c>
      <c r="F73" s="31">
        <f t="shared" si="18"/>
        <v>0</v>
      </c>
      <c r="G73" s="31">
        <f t="shared" si="18"/>
        <v>0</v>
      </c>
      <c r="H73" s="31">
        <f t="shared" si="18"/>
        <v>0</v>
      </c>
      <c r="I73" s="31">
        <f t="shared" si="18"/>
        <v>0</v>
      </c>
      <c r="J73" s="31">
        <f t="shared" si="18"/>
        <v>0</v>
      </c>
      <c r="K73" s="31">
        <f t="shared" si="18"/>
        <v>0</v>
      </c>
      <c r="L73" s="31">
        <f t="shared" si="18"/>
        <v>0</v>
      </c>
      <c r="M73" s="31">
        <f t="shared" si="18"/>
        <v>0</v>
      </c>
      <c r="N73" s="16">
        <f t="shared" si="18"/>
        <v>0</v>
      </c>
    </row>
    <row r="74" spans="1:15">
      <c r="A74" s="1" t="s">
        <v>65</v>
      </c>
      <c r="B74" s="16">
        <f t="shared" si="18"/>
        <v>0</v>
      </c>
      <c r="C74" s="16">
        <f t="shared" si="18"/>
        <v>0</v>
      </c>
      <c r="D74" s="16">
        <f t="shared" si="18"/>
        <v>0</v>
      </c>
      <c r="E74" s="16">
        <f t="shared" si="18"/>
        <v>0</v>
      </c>
      <c r="F74" s="16">
        <f t="shared" si="18"/>
        <v>0</v>
      </c>
      <c r="G74" s="16">
        <f t="shared" si="18"/>
        <v>0</v>
      </c>
      <c r="H74" s="16">
        <f t="shared" si="18"/>
        <v>0</v>
      </c>
      <c r="I74" s="16">
        <f t="shared" si="18"/>
        <v>0</v>
      </c>
      <c r="J74" s="16">
        <f t="shared" si="18"/>
        <v>0</v>
      </c>
      <c r="K74" s="16">
        <f t="shared" si="18"/>
        <v>0</v>
      </c>
      <c r="L74" s="16">
        <f t="shared" si="18"/>
        <v>0</v>
      </c>
      <c r="M74" s="16">
        <f t="shared" si="18"/>
        <v>0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50000</v>
      </c>
      <c r="C84" s="7">
        <f>SUM($B53:C53)</f>
        <v>100000</v>
      </c>
      <c r="D84" s="7">
        <f>SUM($B53:D53)</f>
        <v>300000</v>
      </c>
      <c r="E84" s="7">
        <f>SUM($B53:E53)</f>
        <v>400000</v>
      </c>
      <c r="F84" s="7">
        <f>SUM($B53:F53)</f>
        <v>410000</v>
      </c>
      <c r="G84" s="7">
        <f>SUM($B53:G53)</f>
        <v>510000</v>
      </c>
      <c r="H84" s="7">
        <f>SUM(B53:H53)</f>
        <v>520000</v>
      </c>
      <c r="I84" s="7">
        <f>SUM(B53:I53)</f>
        <v>595000</v>
      </c>
      <c r="J84" s="7">
        <f>SUM(B53:J53)</f>
        <v>645000</v>
      </c>
      <c r="K84" s="7">
        <f>SUM(B53:K53)</f>
        <v>655000</v>
      </c>
      <c r="L84" s="7">
        <f>SUM(B53:L53)</f>
        <v>665000</v>
      </c>
      <c r="M84" s="7">
        <f>SUM(B53:M53)</f>
        <v>930725</v>
      </c>
    </row>
    <row r="85" spans="1:14">
      <c r="A85" s="33" t="s">
        <v>73</v>
      </c>
      <c r="B85" s="7">
        <f t="shared" ref="B85:G85" si="20">+B83-B84</f>
        <v>2000</v>
      </c>
      <c r="C85" s="7">
        <f t="shared" si="20"/>
        <v>-28000</v>
      </c>
      <c r="D85" s="7">
        <f t="shared" si="20"/>
        <v>-218000</v>
      </c>
      <c r="E85" s="7">
        <f t="shared" si="20"/>
        <v>-273645</v>
      </c>
      <c r="F85" s="7">
        <f t="shared" si="20"/>
        <v>-96805</v>
      </c>
      <c r="G85" s="7">
        <f t="shared" si="20"/>
        <v>5195</v>
      </c>
      <c r="H85" s="7">
        <f t="shared" ref="H85:M85" si="21">+H83-H84</f>
        <v>192195</v>
      </c>
      <c r="I85" s="7">
        <f t="shared" si="21"/>
        <v>259195</v>
      </c>
      <c r="J85" s="7">
        <f t="shared" si="21"/>
        <v>328195</v>
      </c>
      <c r="K85" s="7">
        <f t="shared" si="21"/>
        <v>318195</v>
      </c>
      <c r="L85" s="7">
        <f t="shared" si="21"/>
        <v>308195</v>
      </c>
      <c r="M85" s="7">
        <f t="shared" si="21"/>
        <v>497470</v>
      </c>
    </row>
    <row r="86" spans="1:14">
      <c r="J86" s="6"/>
      <c r="K86" s="6"/>
    </row>
    <row r="87" spans="1:14">
      <c r="A87" t="s">
        <v>74</v>
      </c>
      <c r="B87" s="35">
        <f>-B56-B57</f>
        <v>45000</v>
      </c>
      <c r="C87" s="35">
        <f t="shared" ref="C87:N87" si="22">-C56-C57</f>
        <v>45000</v>
      </c>
      <c r="D87" s="35">
        <f t="shared" si="22"/>
        <v>50000</v>
      </c>
      <c r="E87" s="35">
        <f t="shared" si="22"/>
        <v>45000</v>
      </c>
      <c r="F87" s="35">
        <f t="shared" si="22"/>
        <v>45000</v>
      </c>
      <c r="G87" s="40">
        <f t="shared" si="22"/>
        <v>50000</v>
      </c>
      <c r="H87" s="40">
        <f t="shared" si="22"/>
        <v>45000</v>
      </c>
      <c r="I87" s="35">
        <f t="shared" si="22"/>
        <v>45000</v>
      </c>
      <c r="J87" s="35">
        <f t="shared" si="22"/>
        <v>50000</v>
      </c>
      <c r="K87" s="40">
        <f t="shared" si="22"/>
        <v>45000</v>
      </c>
      <c r="L87" s="35">
        <f t="shared" si="22"/>
        <v>45000</v>
      </c>
      <c r="M87" s="35">
        <f t="shared" si="22"/>
        <v>50000</v>
      </c>
      <c r="N87" s="35">
        <f t="shared" si="22"/>
        <v>560000</v>
      </c>
    </row>
    <row r="88" spans="1:14">
      <c r="C88" s="35">
        <f>+B87+C87</f>
        <v>90000</v>
      </c>
      <c r="D88" s="35">
        <f>+C88+D87</f>
        <v>140000</v>
      </c>
      <c r="E88" s="35">
        <f t="shared" ref="E88:M88" si="23">+D88+E87</f>
        <v>185000</v>
      </c>
      <c r="F88" s="35">
        <f t="shared" si="23"/>
        <v>230000</v>
      </c>
      <c r="G88" s="40">
        <f t="shared" si="23"/>
        <v>280000</v>
      </c>
      <c r="H88" s="35">
        <f t="shared" si="23"/>
        <v>325000</v>
      </c>
      <c r="I88" s="40">
        <f t="shared" si="23"/>
        <v>370000</v>
      </c>
      <c r="J88" s="40">
        <f t="shared" si="23"/>
        <v>420000</v>
      </c>
      <c r="K88" s="40">
        <f t="shared" si="23"/>
        <v>465000</v>
      </c>
      <c r="L88" s="35">
        <f t="shared" si="23"/>
        <v>510000</v>
      </c>
      <c r="M88" s="35">
        <f t="shared" si="23"/>
        <v>560000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4">+C92*-1</f>
        <v>-78293</v>
      </c>
      <c r="D93" s="6">
        <f t="shared" si="24"/>
        <v>-79025</v>
      </c>
      <c r="E93" s="6">
        <f t="shared" si="24"/>
        <v>-81090</v>
      </c>
      <c r="F93" s="6">
        <f t="shared" si="24"/>
        <v>-81090</v>
      </c>
      <c r="G93" s="6">
        <f t="shared" si="24"/>
        <v>-81079</v>
      </c>
      <c r="H93" s="6">
        <f t="shared" si="24"/>
        <v>-89229</v>
      </c>
      <c r="I93" s="6">
        <f t="shared" si="24"/>
        <v>-88964</v>
      </c>
      <c r="J93" s="6">
        <f t="shared" si="24"/>
        <v>-88964</v>
      </c>
      <c r="K93" s="6">
        <f t="shared" si="24"/>
        <v>-88563</v>
      </c>
      <c r="L93" s="6">
        <f t="shared" si="24"/>
        <v>-97279</v>
      </c>
      <c r="M93" s="6">
        <f t="shared" si="24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>&amp;CCash Flow - FY2017/2018
June 2018 Pre-audit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1:Z80"/>
  <sheetViews>
    <sheetView showGridLines="0" zoomScale="60" zoomScaleNormal="60" workbookViewId="0">
      <selection activeCell="M69" sqref="M69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112</v>
      </c>
      <c r="E1" s="6"/>
      <c r="F1" s="6"/>
      <c r="J1" s="6"/>
      <c r="K1" s="6"/>
      <c r="N1" s="3"/>
    </row>
    <row r="2" spans="1:15">
      <c r="B2" s="45" t="s">
        <v>24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1664716</v>
      </c>
      <c r="C5" s="53">
        <v>3114197</v>
      </c>
      <c r="D5" s="53">
        <v>5770084</v>
      </c>
      <c r="E5" s="53">
        <v>4100133</v>
      </c>
      <c r="F5" s="53">
        <v>2497881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38996794</v>
      </c>
      <c r="O5" s="29"/>
    </row>
    <row r="6" spans="1:15" s="6" customFormat="1">
      <c r="A6" s="6" t="s">
        <v>29</v>
      </c>
      <c r="B6" s="53">
        <v>98799</v>
      </c>
      <c r="C6" s="53">
        <v>83059</v>
      </c>
      <c r="D6" s="53">
        <v>310912</v>
      </c>
      <c r="E6" s="53">
        <v>116106</v>
      </c>
      <c r="F6" s="53">
        <v>104991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1631028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32">
        <f t="shared" ref="B9:N9" si="0">SUM(B5:B8)</f>
        <v>1763515</v>
      </c>
      <c r="C9" s="12">
        <f t="shared" si="0"/>
        <v>3197256</v>
      </c>
      <c r="D9" s="12">
        <f t="shared" si="0"/>
        <v>6080996</v>
      </c>
      <c r="E9" s="12">
        <f t="shared" si="0"/>
        <v>4216239</v>
      </c>
      <c r="F9" s="12">
        <f t="shared" si="0"/>
        <v>2602872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40627822</v>
      </c>
      <c r="O9" s="29"/>
    </row>
    <row r="10" spans="1:15" s="6" customFormat="1" ht="6.75" customHeight="1">
      <c r="B10" s="3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39">
        <v>910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910</v>
      </c>
      <c r="O11" s="29">
        <v>-232025</v>
      </c>
    </row>
    <row r="12" spans="1:15" s="6" customFormat="1" ht="7.5" customHeight="1">
      <c r="B12" s="3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30">
        <f t="shared" ref="B13:N13" si="1">B9+B11</f>
        <v>1764425</v>
      </c>
      <c r="C13" s="14">
        <f>C9+C11</f>
        <v>3197256</v>
      </c>
      <c r="D13" s="14">
        <f t="shared" si="1"/>
        <v>6080996</v>
      </c>
      <c r="E13" s="14">
        <f t="shared" si="1"/>
        <v>4216239</v>
      </c>
      <c r="F13" s="14">
        <f t="shared" si="1"/>
        <v>2602872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40628732</v>
      </c>
      <c r="O13" s="29"/>
    </row>
    <row r="14" spans="1:15" s="6" customFormat="1" ht="13.5" thickTop="1">
      <c r="B14" s="3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3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64">
        <v>808507</v>
      </c>
      <c r="C16" s="53">
        <v>1768998</v>
      </c>
      <c r="D16" s="53">
        <v>2969178</v>
      </c>
      <c r="E16" s="53">
        <v>1499349</v>
      </c>
      <c r="F16" s="53">
        <v>928598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17244894</v>
      </c>
      <c r="O16" s="29"/>
    </row>
    <row r="17" spans="1:15" s="6" customFormat="1">
      <c r="B17" s="7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>
      <c r="B18" s="3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>
      <c r="B19" s="7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32">
        <f t="shared" ref="B20:N20" si="2">SUM(B16:B19)</f>
        <v>808507</v>
      </c>
      <c r="C20" s="12">
        <f t="shared" si="2"/>
        <v>1768998</v>
      </c>
      <c r="D20" s="12">
        <f t="shared" si="2"/>
        <v>2969178</v>
      </c>
      <c r="E20" s="12">
        <f t="shared" si="2"/>
        <v>1499349</v>
      </c>
      <c r="F20" s="12">
        <f t="shared" si="2"/>
        <v>928598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17244894</v>
      </c>
      <c r="O20" s="29"/>
    </row>
    <row r="21" spans="1:15" s="6" customFormat="1">
      <c r="B21" s="3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>
      <c r="A22" s="13" t="s">
        <v>36</v>
      </c>
      <c r="B22" s="3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>
      <c r="A23" s="6" t="s">
        <v>37</v>
      </c>
      <c r="B23" s="39">
        <f t="shared" ref="B23:M26" si="3">+B5-B16</f>
        <v>856209</v>
      </c>
      <c r="C23" s="7">
        <f t="shared" si="3"/>
        <v>1345199</v>
      </c>
      <c r="D23" s="7">
        <f t="shared" si="3"/>
        <v>2800906</v>
      </c>
      <c r="E23" s="7">
        <f t="shared" si="3"/>
        <v>2600784</v>
      </c>
      <c r="F23" s="7">
        <f t="shared" si="3"/>
        <v>1569283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21751900</v>
      </c>
      <c r="O23" s="29"/>
    </row>
    <row r="24" spans="1:15" s="6" customFormat="1">
      <c r="A24" s="6" t="s">
        <v>37</v>
      </c>
      <c r="B24" s="39">
        <f t="shared" si="3"/>
        <v>98799</v>
      </c>
      <c r="C24" s="7">
        <f t="shared" si="3"/>
        <v>83059</v>
      </c>
      <c r="D24" s="7">
        <f t="shared" si="3"/>
        <v>310912</v>
      </c>
      <c r="E24" s="7">
        <f t="shared" si="3"/>
        <v>116106</v>
      </c>
      <c r="F24" s="7">
        <f t="shared" si="3"/>
        <v>104991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1631028</v>
      </c>
      <c r="O24" s="29"/>
    </row>
    <row r="25" spans="1:15" s="6" customFormat="1">
      <c r="A25" s="6" t="s">
        <v>38</v>
      </c>
      <c r="B25" s="39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>
      <c r="A26" s="6" t="s">
        <v>38</v>
      </c>
      <c r="B26" s="79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32">
        <f t="shared" ref="B27:N27" si="4">SUM(B23:B26)</f>
        <v>955008</v>
      </c>
      <c r="C27" s="12">
        <f t="shared" si="4"/>
        <v>1428258</v>
      </c>
      <c r="D27" s="12">
        <f t="shared" si="4"/>
        <v>3111818</v>
      </c>
      <c r="E27" s="12">
        <f t="shared" si="4"/>
        <v>2716890</v>
      </c>
      <c r="F27" s="12">
        <f t="shared" si="4"/>
        <v>1674274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23382928</v>
      </c>
      <c r="O27" s="29"/>
    </row>
    <row r="28" spans="1:15" s="6" customFormat="1" ht="14.45" customHeight="1">
      <c r="B28" s="80">
        <f>+B27/B9</f>
        <v>0.54153664698060411</v>
      </c>
      <c r="C28" s="73">
        <f t="shared" ref="C28:N28" si="5">+C27/C9</f>
        <v>0.44671368198229983</v>
      </c>
      <c r="D28" s="73">
        <f t="shared" si="5"/>
        <v>0.51172834187031202</v>
      </c>
      <c r="E28" s="73">
        <f t="shared" si="5"/>
        <v>0.6443870947543533</v>
      </c>
      <c r="F28" s="73">
        <f t="shared" si="5"/>
        <v>0.64324100455189503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0.57553978650393811</v>
      </c>
    </row>
    <row r="29" spans="1:15" s="6" customFormat="1">
      <c r="A29" s="13" t="s">
        <v>40</v>
      </c>
      <c r="B29" s="39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>
      <c r="A30" s="6" t="s">
        <v>93</v>
      </c>
      <c r="B30" s="64">
        <v>550190</v>
      </c>
      <c r="C30" s="53">
        <v>635109</v>
      </c>
      <c r="D30" s="53">
        <v>737654</v>
      </c>
      <c r="E30" s="53">
        <v>873804</v>
      </c>
      <c r="F30" s="53">
        <v>655473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8282082</v>
      </c>
      <c r="O30" s="29"/>
    </row>
    <row r="31" spans="1:15" s="6" customFormat="1">
      <c r="A31" s="6" t="s">
        <v>42</v>
      </c>
      <c r="B31" s="64">
        <v>192847</v>
      </c>
      <c r="C31" s="53">
        <v>218636</v>
      </c>
      <c r="D31" s="53">
        <v>222552</v>
      </c>
      <c r="E31" s="53">
        <v>253635</v>
      </c>
      <c r="F31" s="53">
        <v>213768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2665695</v>
      </c>
      <c r="O31" s="29"/>
    </row>
    <row r="32" spans="1:15" s="6" customFormat="1" ht="15">
      <c r="A32" s="6" t="s">
        <v>38</v>
      </c>
      <c r="B32" s="81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>
      <c r="B33" s="7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32">
        <f t="shared" ref="B34:N34" si="6">SUM(B30:B33)</f>
        <v>743037</v>
      </c>
      <c r="C34" s="12">
        <f t="shared" si="6"/>
        <v>853745</v>
      </c>
      <c r="D34" s="12">
        <f t="shared" si="6"/>
        <v>960206</v>
      </c>
      <c r="E34" s="12">
        <f t="shared" si="6"/>
        <v>1127439</v>
      </c>
      <c r="F34" s="12">
        <f t="shared" si="6"/>
        <v>869241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10947777</v>
      </c>
      <c r="O34" s="29"/>
    </row>
    <row r="35" spans="1:16" s="6" customFormat="1">
      <c r="B35" s="39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3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64">
        <v>1292386</v>
      </c>
      <c r="C37" s="53">
        <v>1340215</v>
      </c>
      <c r="D37" s="53">
        <v>1567865</v>
      </c>
      <c r="E37" s="53">
        <v>1759651</v>
      </c>
      <c r="F37" s="53">
        <v>1435895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17922149</v>
      </c>
      <c r="O37" s="29"/>
    </row>
    <row r="38" spans="1:16" s="6" customFormat="1">
      <c r="A38" s="6" t="s">
        <v>46</v>
      </c>
      <c r="B38" s="39">
        <f>-B34</f>
        <v>-743037</v>
      </c>
      <c r="C38" s="7">
        <f t="shared" ref="C38:M38" si="7">-C34</f>
        <v>-853745</v>
      </c>
      <c r="D38" s="7">
        <f t="shared" si="7"/>
        <v>-960206</v>
      </c>
      <c r="E38" s="7">
        <f t="shared" si="7"/>
        <v>-1127439</v>
      </c>
      <c r="F38" s="7">
        <f t="shared" si="7"/>
        <v>-869241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-10947777</v>
      </c>
      <c r="O38" s="29"/>
    </row>
    <row r="39" spans="1:16" s="6" customFormat="1">
      <c r="A39" s="6" t="s">
        <v>47</v>
      </c>
      <c r="B39" s="82">
        <v>-79744</v>
      </c>
      <c r="C39" s="72">
        <v>-85837</v>
      </c>
      <c r="D39" s="72">
        <v>-86637</v>
      </c>
      <c r="E39" s="72">
        <v>-80973</v>
      </c>
      <c r="F39" s="72">
        <v>-81098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-988388</v>
      </c>
      <c r="O39" s="29"/>
    </row>
    <row r="40" spans="1:16" s="6" customFormat="1">
      <c r="A40" s="6" t="s">
        <v>78</v>
      </c>
      <c r="B40" s="64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>
      <c r="A41" s="6" t="s">
        <v>48</v>
      </c>
      <c r="B41" s="83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32">
        <f t="shared" ref="B42:N42" si="8">SUM(B37:B41)</f>
        <v>459605</v>
      </c>
      <c r="C42" s="12">
        <f t="shared" si="8"/>
        <v>390633</v>
      </c>
      <c r="D42" s="12">
        <f t="shared" si="8"/>
        <v>511022</v>
      </c>
      <c r="E42" s="12">
        <f t="shared" si="8"/>
        <v>541239</v>
      </c>
      <c r="F42" s="12">
        <f t="shared" si="8"/>
        <v>475556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5865084</v>
      </c>
      <c r="O42" s="29"/>
    </row>
    <row r="43" spans="1:16">
      <c r="A43" s="1"/>
      <c r="B43" s="3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64">
        <v>341767</v>
      </c>
      <c r="C44" s="53">
        <v>302692</v>
      </c>
      <c r="D44" s="53">
        <v>342435</v>
      </c>
      <c r="E44" s="53">
        <v>410056</v>
      </c>
      <c r="F44" s="53">
        <v>400329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4622273</v>
      </c>
      <c r="O44" s="29"/>
      <c r="P44" s="25"/>
    </row>
    <row r="45" spans="1:16">
      <c r="A45" s="6" t="s">
        <v>107</v>
      </c>
      <c r="B45" s="77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32">
        <f>SUM(B44:B45)</f>
        <v>341767</v>
      </c>
      <c r="C46" s="12">
        <f>SUM(C44:C45)</f>
        <v>302692</v>
      </c>
      <c r="D46" s="12">
        <f t="shared" ref="D46:N46" si="9">SUM(D44:D45)</f>
        <v>342435</v>
      </c>
      <c r="E46" s="12">
        <f t="shared" si="9"/>
        <v>410056</v>
      </c>
      <c r="F46" s="12">
        <f t="shared" si="9"/>
        <v>400329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4622273</v>
      </c>
      <c r="O46" s="29"/>
    </row>
    <row r="47" spans="1:16">
      <c r="B47" s="39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84">
        <f t="shared" ref="B48:N48" si="10">+B20+B34+B42+B46</f>
        <v>2352916</v>
      </c>
      <c r="C48" s="19">
        <f t="shared" si="10"/>
        <v>3316068</v>
      </c>
      <c r="D48" s="19">
        <f t="shared" si="10"/>
        <v>4782841</v>
      </c>
      <c r="E48" s="19">
        <f t="shared" si="10"/>
        <v>3578083</v>
      </c>
      <c r="F48" s="19">
        <f t="shared" si="10"/>
        <v>2673724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38680028</v>
      </c>
      <c r="O48" s="29"/>
    </row>
    <row r="49" spans="1:26">
      <c r="B49" s="39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32">
        <f t="shared" ref="B50:M50" si="11">+B13-B48</f>
        <v>-588491</v>
      </c>
      <c r="C50" s="12">
        <f t="shared" si="11"/>
        <v>-118812</v>
      </c>
      <c r="D50" s="12">
        <f t="shared" si="11"/>
        <v>1298155</v>
      </c>
      <c r="E50" s="12">
        <f t="shared" si="11"/>
        <v>638156</v>
      </c>
      <c r="F50" s="12">
        <f t="shared" si="11"/>
        <v>-70852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1948704</v>
      </c>
      <c r="O50" s="7">
        <f>+N50+N39+N41</f>
        <v>839416</v>
      </c>
    </row>
    <row r="51" spans="1:26" ht="7.5" customHeight="1">
      <c r="B51" s="39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39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47">
        <v>21640</v>
      </c>
      <c r="C53" s="10">
        <v>50000</v>
      </c>
      <c r="D53" s="10">
        <v>200000</v>
      </c>
      <c r="E53" s="10">
        <v>100000</v>
      </c>
      <c r="F53" s="10">
        <v>10000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902365</v>
      </c>
      <c r="O53" s="10">
        <v>930725</v>
      </c>
      <c r="P53" s="40">
        <f>+O53-N53</f>
        <v>28360</v>
      </c>
      <c r="Z53" s="40">
        <f>N53-P53+O53-N53</f>
        <v>902365</v>
      </c>
    </row>
    <row r="54" spans="1:26" s="6" customFormat="1">
      <c r="A54" s="6" t="s">
        <v>96</v>
      </c>
      <c r="B54" s="47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47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22"/>
      <c r="N55" s="10">
        <f>SUM(B55:M55)</f>
        <v>348240</v>
      </c>
    </row>
    <row r="56" spans="1:26" s="6" customFormat="1">
      <c r="A56" s="37" t="s">
        <v>58</v>
      </c>
      <c r="B56" s="39">
        <v>-15538.11</v>
      </c>
      <c r="C56" s="7">
        <v>-20000</v>
      </c>
      <c r="D56" s="7">
        <v>-25000</v>
      </c>
      <c r="E56" s="7">
        <v>-20000</v>
      </c>
      <c r="F56" s="7">
        <v>-20000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-255538.11</v>
      </c>
      <c r="O56" s="7">
        <v>412620</v>
      </c>
    </row>
    <row r="57" spans="1:26" s="6" customFormat="1">
      <c r="A57" s="6" t="s">
        <v>59</v>
      </c>
      <c r="B57" s="77">
        <v>-171741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-446741</v>
      </c>
      <c r="O57" s="56">
        <v>306614</v>
      </c>
    </row>
    <row r="58" spans="1:26" s="6" customFormat="1">
      <c r="A58" s="13" t="s">
        <v>60</v>
      </c>
      <c r="B58" s="84">
        <f t="shared" ref="B58:N58" si="12">SUM(B53:B57)</f>
        <v>182600.89</v>
      </c>
      <c r="C58" s="19">
        <f t="shared" si="12"/>
        <v>5000</v>
      </c>
      <c r="D58" s="19">
        <f t="shared" si="12"/>
        <v>150000</v>
      </c>
      <c r="E58" s="19">
        <f t="shared" si="12"/>
        <v>55000</v>
      </c>
      <c r="F58" s="19">
        <f t="shared" si="12"/>
        <v>55000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638325.89000000013</v>
      </c>
      <c r="O58" s="29"/>
    </row>
    <row r="59" spans="1:26">
      <c r="B59" s="3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3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84">
        <f t="shared" ref="B61:N61" si="13">+B58+B48</f>
        <v>2535516.89</v>
      </c>
      <c r="C61" s="19">
        <f t="shared" si="13"/>
        <v>3321068</v>
      </c>
      <c r="D61" s="19">
        <f t="shared" si="13"/>
        <v>4932841</v>
      </c>
      <c r="E61" s="19">
        <f t="shared" si="13"/>
        <v>3633083</v>
      </c>
      <c r="F61" s="19">
        <f t="shared" si="13"/>
        <v>2728724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39318353.890000001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14">
        <f t="shared" si="14"/>
        <v>-123812</v>
      </c>
      <c r="D62" s="14">
        <f t="shared" si="14"/>
        <v>1148155</v>
      </c>
      <c r="E62" s="14">
        <f t="shared" si="14"/>
        <v>583156</v>
      </c>
      <c r="F62" s="14">
        <f t="shared" si="14"/>
        <v>-125852</v>
      </c>
      <c r="G62" s="14">
        <f t="shared" si="14"/>
        <v>-37690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1310378.1099999994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12">
        <f t="shared" ref="C63:M63" si="15">B63+C62</f>
        <v>-894903.89000000013</v>
      </c>
      <c r="D63" s="12">
        <f t="shared" si="15"/>
        <v>253251.10999999987</v>
      </c>
      <c r="E63" s="12">
        <f t="shared" si="15"/>
        <v>836407.10999999987</v>
      </c>
      <c r="F63" s="12">
        <f t="shared" si="15"/>
        <v>710555.10999999987</v>
      </c>
      <c r="G63" s="12">
        <f t="shared" si="15"/>
        <v>672865.10999999987</v>
      </c>
      <c r="H63" s="12">
        <f t="shared" si="15"/>
        <v>773534.10999999987</v>
      </c>
      <c r="I63" s="12">
        <f t="shared" si="15"/>
        <v>1555952.1099999999</v>
      </c>
      <c r="J63" s="12">
        <f t="shared" si="15"/>
        <v>1891294.1099999999</v>
      </c>
      <c r="K63" s="12">
        <f t="shared" si="15"/>
        <v>2259737.11</v>
      </c>
      <c r="L63" s="12">
        <f t="shared" si="15"/>
        <v>2369958.11</v>
      </c>
      <c r="M63" s="12">
        <f t="shared" si="15"/>
        <v>1310378.1099999999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13462637.109999999</v>
      </c>
      <c r="D64" s="12">
        <f t="shared" si="16"/>
        <v>14610792.109999999</v>
      </c>
      <c r="E64" s="12">
        <f t="shared" si="16"/>
        <v>15193948.109999999</v>
      </c>
      <c r="F64" s="12">
        <f t="shared" si="16"/>
        <v>15068096.109999999</v>
      </c>
      <c r="G64" s="12">
        <f t="shared" si="16"/>
        <v>15030406.109999999</v>
      </c>
      <c r="H64" s="12">
        <f t="shared" si="16"/>
        <v>15131075.109999999</v>
      </c>
      <c r="I64" s="12">
        <f t="shared" si="16"/>
        <v>15913493.109999999</v>
      </c>
      <c r="J64" s="12">
        <f t="shared" si="16"/>
        <v>16248835.109999999</v>
      </c>
      <c r="K64" s="12">
        <f t="shared" si="16"/>
        <v>16617278.109999999</v>
      </c>
      <c r="L64" s="12">
        <f t="shared" si="16"/>
        <v>16727499.109999999</v>
      </c>
      <c r="M64" s="12">
        <f t="shared" si="16"/>
        <v>15667919.109999999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0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668937.10999999987</v>
      </c>
      <c r="D73" s="31">
        <f t="shared" si="18"/>
        <v>668937.10999999987</v>
      </c>
      <c r="E73" s="31">
        <f t="shared" si="18"/>
        <v>668937.10999999987</v>
      </c>
      <c r="F73" s="31">
        <f t="shared" si="18"/>
        <v>668937.10999999987</v>
      </c>
      <c r="G73" s="31">
        <f t="shared" si="18"/>
        <v>668937.10999999987</v>
      </c>
      <c r="H73" s="31">
        <f t="shared" si="18"/>
        <v>668937.10999999987</v>
      </c>
      <c r="I73" s="31">
        <f t="shared" si="18"/>
        <v>668937.10999999987</v>
      </c>
      <c r="J73" s="31">
        <f t="shared" si="18"/>
        <v>668937.10999999987</v>
      </c>
      <c r="K73" s="31">
        <f t="shared" si="18"/>
        <v>668937.10999999987</v>
      </c>
      <c r="L73" s="31">
        <f t="shared" si="18"/>
        <v>668937.10999999987</v>
      </c>
      <c r="M73" s="31">
        <f t="shared" si="18"/>
        <v>668937.10999999987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668937.1099999994</v>
      </c>
      <c r="D74" s="16">
        <f t="shared" si="18"/>
        <v>668937.1099999994</v>
      </c>
      <c r="E74" s="16">
        <f t="shared" si="18"/>
        <v>668937.1099999994</v>
      </c>
      <c r="F74" s="16">
        <f t="shared" si="18"/>
        <v>668937.1099999994</v>
      </c>
      <c r="G74" s="16">
        <f t="shared" si="18"/>
        <v>668937.1099999994</v>
      </c>
      <c r="H74" s="16">
        <f t="shared" si="18"/>
        <v>668937.1099999994</v>
      </c>
      <c r="I74" s="16">
        <f t="shared" si="18"/>
        <v>668937.1099999994</v>
      </c>
      <c r="J74" s="16">
        <f t="shared" si="18"/>
        <v>668937.1099999994</v>
      </c>
      <c r="K74" s="16">
        <f t="shared" si="18"/>
        <v>668937.1099999994</v>
      </c>
      <c r="L74" s="16">
        <f t="shared" si="18"/>
        <v>668937.1099999994</v>
      </c>
      <c r="M74" s="16">
        <f t="shared" si="18"/>
        <v>668937.1099999994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FY2017/2018
July 2018
</oddFoot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1:Z80"/>
  <sheetViews>
    <sheetView showGridLines="0" topLeftCell="A20" zoomScaleNormal="100" workbookViewId="0">
      <selection activeCell="D62" sqref="D62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112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5770084</v>
      </c>
      <c r="E5" s="53">
        <v>4100133</v>
      </c>
      <c r="F5" s="53">
        <v>2497881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40216653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310912</v>
      </c>
      <c r="E6" s="53">
        <v>116106</v>
      </c>
      <c r="F6" s="53">
        <v>104991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1640959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6080996</v>
      </c>
      <c r="E9" s="12">
        <f t="shared" si="0"/>
        <v>4216239</v>
      </c>
      <c r="F9" s="12">
        <f t="shared" si="0"/>
        <v>2602872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41857612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98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1008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4427144</v>
      </c>
      <c r="D13" s="14">
        <f t="shared" si="1"/>
        <v>6080996</v>
      </c>
      <c r="E13" s="14">
        <f t="shared" si="1"/>
        <v>4216239</v>
      </c>
      <c r="F13" s="14">
        <f t="shared" si="1"/>
        <v>2602872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41858620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2969178</v>
      </c>
      <c r="E16" s="53">
        <v>1499349</v>
      </c>
      <c r="F16" s="53">
        <v>928598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18138591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2969178</v>
      </c>
      <c r="E20" s="12">
        <f t="shared" si="2"/>
        <v>1499349</v>
      </c>
      <c r="F20" s="12">
        <f t="shared" si="2"/>
        <v>928598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18138591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2800906</v>
      </c>
      <c r="E23" s="7">
        <f t="shared" si="3"/>
        <v>2600784</v>
      </c>
      <c r="F23" s="7">
        <f t="shared" si="3"/>
        <v>1569283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22078062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310912</v>
      </c>
      <c r="E24" s="7">
        <f t="shared" si="3"/>
        <v>116106</v>
      </c>
      <c r="F24" s="7">
        <f t="shared" si="3"/>
        <v>104991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1640959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3111818</v>
      </c>
      <c r="E27" s="12">
        <f t="shared" si="4"/>
        <v>2716890</v>
      </c>
      <c r="F27" s="12">
        <f t="shared" si="4"/>
        <v>1674274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23719021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0.51172834187031202</v>
      </c>
      <c r="E28" s="73">
        <f t="shared" si="5"/>
        <v>0.6443870947543533</v>
      </c>
      <c r="F28" s="73">
        <f t="shared" si="5"/>
        <v>0.64324100455189503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0.56665967948673235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737654</v>
      </c>
      <c r="E30" s="53">
        <v>873804</v>
      </c>
      <c r="F30" s="53">
        <v>655473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8291817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222552</v>
      </c>
      <c r="E31" s="53">
        <v>253635</v>
      </c>
      <c r="F31" s="53">
        <v>213768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2669947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960206</v>
      </c>
      <c r="E34" s="12">
        <f t="shared" si="6"/>
        <v>1127439</v>
      </c>
      <c r="F34" s="12">
        <f t="shared" si="6"/>
        <v>869241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10961764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1567865</v>
      </c>
      <c r="E37" s="53">
        <v>1759651</v>
      </c>
      <c r="F37" s="53">
        <v>1435895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17945166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-960206</v>
      </c>
      <c r="E38" s="7">
        <f t="shared" si="7"/>
        <v>-1127439</v>
      </c>
      <c r="F38" s="7">
        <f t="shared" si="7"/>
        <v>-869241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-10961764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-86637</v>
      </c>
      <c r="E39" s="72">
        <v>-80973</v>
      </c>
      <c r="F39" s="72">
        <v>-81098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-982295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511022</v>
      </c>
      <c r="E42" s="12">
        <f t="shared" si="8"/>
        <v>541239</v>
      </c>
      <c r="F42" s="12">
        <f t="shared" si="8"/>
        <v>475556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5880207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342435</v>
      </c>
      <c r="E44" s="53">
        <v>410056</v>
      </c>
      <c r="F44" s="53">
        <v>400329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4590260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342435</v>
      </c>
      <c r="E46" s="12">
        <f t="shared" si="9"/>
        <v>410056</v>
      </c>
      <c r="F46" s="12">
        <f t="shared" si="9"/>
        <v>400329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4590260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4782841</v>
      </c>
      <c r="E48" s="19">
        <f t="shared" si="10"/>
        <v>3578083</v>
      </c>
      <c r="F48" s="19">
        <f t="shared" si="10"/>
        <v>2673724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39570822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220282</v>
      </c>
      <c r="D50" s="12">
        <f t="shared" si="11"/>
        <v>1298155</v>
      </c>
      <c r="E50" s="12">
        <f t="shared" si="11"/>
        <v>638156</v>
      </c>
      <c r="F50" s="12">
        <f t="shared" si="11"/>
        <v>-70852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2287798</v>
      </c>
      <c r="O50" s="7">
        <f>+N50+N39+N41</f>
        <v>1184603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200000</v>
      </c>
      <c r="E53" s="10">
        <v>100000</v>
      </c>
      <c r="F53" s="10">
        <v>10000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898132</v>
      </c>
      <c r="O53" s="10">
        <v>930725</v>
      </c>
      <c r="P53" s="40">
        <f>+O53-N53</f>
        <v>32593</v>
      </c>
      <c r="Z53" s="40">
        <f>N53-P53+O53-N53</f>
        <v>898132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-25000</v>
      </c>
      <c r="E56" s="7">
        <v>-20000</v>
      </c>
      <c r="F56" s="7">
        <v>-20000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-249368.11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-404122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150000</v>
      </c>
      <c r="E58" s="19">
        <f t="shared" si="12"/>
        <v>55000</v>
      </c>
      <c r="F58" s="19">
        <f t="shared" si="12"/>
        <v>55000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682881.89000000013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4932841</v>
      </c>
      <c r="E61" s="19">
        <f t="shared" si="13"/>
        <v>3633083</v>
      </c>
      <c r="F61" s="19">
        <f t="shared" si="13"/>
        <v>2728724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40253703.890000001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170726</v>
      </c>
      <c r="D62" s="14">
        <f t="shared" si="14"/>
        <v>1148155</v>
      </c>
      <c r="E62" s="14">
        <f t="shared" si="14"/>
        <v>583156</v>
      </c>
      <c r="F62" s="14">
        <f t="shared" si="14"/>
        <v>-125852</v>
      </c>
      <c r="G62" s="14">
        <f t="shared" si="14"/>
        <v>-37690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1604916.1099999994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-600365.89000000013</v>
      </c>
      <c r="D63" s="12">
        <f t="shared" si="15"/>
        <v>547789.10999999987</v>
      </c>
      <c r="E63" s="12">
        <f t="shared" si="15"/>
        <v>1130945.1099999999</v>
      </c>
      <c r="F63" s="12">
        <f t="shared" si="15"/>
        <v>1005093.1099999999</v>
      </c>
      <c r="G63" s="12">
        <f t="shared" si="15"/>
        <v>967403.10999999987</v>
      </c>
      <c r="H63" s="12">
        <f t="shared" si="15"/>
        <v>1068072.1099999999</v>
      </c>
      <c r="I63" s="12">
        <f t="shared" si="15"/>
        <v>1850490.1099999999</v>
      </c>
      <c r="J63" s="12">
        <f t="shared" si="15"/>
        <v>2185832.11</v>
      </c>
      <c r="K63" s="12">
        <f t="shared" si="15"/>
        <v>2554275.11</v>
      </c>
      <c r="L63" s="12">
        <f t="shared" si="15"/>
        <v>2664496.11</v>
      </c>
      <c r="M63" s="12">
        <f t="shared" si="15"/>
        <v>1604916.1099999999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13757175.109999999</v>
      </c>
      <c r="D64" s="12">
        <f t="shared" si="16"/>
        <v>14905330.109999999</v>
      </c>
      <c r="E64" s="12">
        <f t="shared" si="16"/>
        <v>15488486.109999999</v>
      </c>
      <c r="F64" s="12">
        <f t="shared" si="16"/>
        <v>15362634.109999999</v>
      </c>
      <c r="G64" s="12">
        <f t="shared" si="16"/>
        <v>15324944.109999999</v>
      </c>
      <c r="H64" s="12">
        <f t="shared" si="16"/>
        <v>15425613.109999999</v>
      </c>
      <c r="I64" s="12">
        <f t="shared" si="16"/>
        <v>16208031.109999999</v>
      </c>
      <c r="J64" s="12">
        <f t="shared" si="16"/>
        <v>16543373.109999999</v>
      </c>
      <c r="K64" s="12">
        <f t="shared" si="16"/>
        <v>16911816.109999999</v>
      </c>
      <c r="L64" s="12">
        <f t="shared" si="16"/>
        <v>17022037.109999999</v>
      </c>
      <c r="M64" s="12">
        <f t="shared" si="16"/>
        <v>15962457.109999999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294538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963475.10999999987</v>
      </c>
      <c r="D73" s="31">
        <f t="shared" si="18"/>
        <v>963475.10999999987</v>
      </c>
      <c r="E73" s="31">
        <f t="shared" si="18"/>
        <v>963475.10999999987</v>
      </c>
      <c r="F73" s="31">
        <f t="shared" si="18"/>
        <v>963475.10999999987</v>
      </c>
      <c r="G73" s="31">
        <f t="shared" si="18"/>
        <v>963475.10999999987</v>
      </c>
      <c r="H73" s="31">
        <f t="shared" si="18"/>
        <v>963475.10999999987</v>
      </c>
      <c r="I73" s="31">
        <f t="shared" si="18"/>
        <v>963475.10999999987</v>
      </c>
      <c r="J73" s="31">
        <f t="shared" si="18"/>
        <v>963475.10999999987</v>
      </c>
      <c r="K73" s="31">
        <f t="shared" si="18"/>
        <v>963475.10999999987</v>
      </c>
      <c r="L73" s="31">
        <f t="shared" si="18"/>
        <v>963475.10999999987</v>
      </c>
      <c r="M73" s="31">
        <f t="shared" si="18"/>
        <v>963475.10999999987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963475.1099999994</v>
      </c>
      <c r="D74" s="16">
        <f t="shared" si="18"/>
        <v>963475.1099999994</v>
      </c>
      <c r="E74" s="16">
        <f t="shared" si="18"/>
        <v>963475.1099999994</v>
      </c>
      <c r="F74" s="16">
        <f t="shared" si="18"/>
        <v>963475.1099999994</v>
      </c>
      <c r="G74" s="16">
        <f t="shared" si="18"/>
        <v>963475.1099999994</v>
      </c>
      <c r="H74" s="16">
        <f t="shared" si="18"/>
        <v>963475.1099999994</v>
      </c>
      <c r="I74" s="16">
        <f t="shared" si="18"/>
        <v>963475.1099999994</v>
      </c>
      <c r="J74" s="16">
        <f t="shared" si="18"/>
        <v>963475.1099999994</v>
      </c>
      <c r="K74" s="16">
        <f t="shared" si="18"/>
        <v>963475.1099999994</v>
      </c>
      <c r="L74" s="16">
        <f t="shared" si="18"/>
        <v>963475.1099999994</v>
      </c>
      <c r="M74" s="16">
        <f t="shared" si="18"/>
        <v>963475.1099999994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FY2017/2018
August 2018
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1:Z80"/>
  <sheetViews>
    <sheetView showGridLines="0" topLeftCell="A20" zoomScale="60" zoomScaleNormal="60" workbookViewId="0">
      <selection activeCell="D6" sqref="D6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112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4100133</v>
      </c>
      <c r="F5" s="53">
        <v>2497881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38483815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116106</v>
      </c>
      <c r="F6" s="53">
        <v>104991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1651658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4216239</v>
      </c>
      <c r="F9" s="12">
        <f t="shared" si="0"/>
        <v>2602872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40135473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98</v>
      </c>
      <c r="D11" s="7">
        <v>866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1874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4427144</v>
      </c>
      <c r="D13" s="14">
        <f t="shared" si="1"/>
        <v>4359723</v>
      </c>
      <c r="E13" s="14">
        <f t="shared" si="1"/>
        <v>4216239</v>
      </c>
      <c r="F13" s="14">
        <f t="shared" si="1"/>
        <v>2602872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40137347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1499349</v>
      </c>
      <c r="F16" s="53">
        <v>928598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16790405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1499349</v>
      </c>
      <c r="F20" s="12">
        <f t="shared" si="2"/>
        <v>928598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16790405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2600784</v>
      </c>
      <c r="F23" s="7">
        <f t="shared" si="3"/>
        <v>1569283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21693410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116106</v>
      </c>
      <c r="F24" s="7">
        <f t="shared" si="3"/>
        <v>104991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1651658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2716890</v>
      </c>
      <c r="F27" s="12">
        <f t="shared" si="4"/>
        <v>1674274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23345068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0.6443870947543533</v>
      </c>
      <c r="F28" s="73">
        <f t="shared" si="5"/>
        <v>0.64324100455189503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0.5816567304439143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873804</v>
      </c>
      <c r="F30" s="53">
        <v>655473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8256760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253635</v>
      </c>
      <c r="F31" s="53">
        <v>213768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2647749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1127439</v>
      </c>
      <c r="F34" s="12">
        <f t="shared" si="6"/>
        <v>869241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10904509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1435895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17860194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-1127439</v>
      </c>
      <c r="F38" s="7">
        <f t="shared" si="7"/>
        <v>-869241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-10904509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79744</v>
      </c>
      <c r="E39" s="72">
        <v>-80973</v>
      </c>
      <c r="F39" s="72">
        <v>-81098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-815914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541239</v>
      </c>
      <c r="F42" s="12">
        <f t="shared" si="8"/>
        <v>475556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6018871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279225</v>
      </c>
      <c r="E44" s="53">
        <v>410056</v>
      </c>
      <c r="F44" s="53">
        <v>400329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4527050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410056</v>
      </c>
      <c r="F46" s="12">
        <f t="shared" si="9"/>
        <v>400329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4527050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3578083</v>
      </c>
      <c r="F48" s="19">
        <f t="shared" si="10"/>
        <v>2673724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38240835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220282</v>
      </c>
      <c r="D50" s="12">
        <f t="shared" si="11"/>
        <v>906869</v>
      </c>
      <c r="E50" s="12">
        <f t="shared" si="11"/>
        <v>638156</v>
      </c>
      <c r="F50" s="12">
        <f t="shared" si="11"/>
        <v>-70852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1896512</v>
      </c>
      <c r="O50" s="7">
        <f>+N50+N39+N41</f>
        <v>959698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100000</v>
      </c>
      <c r="F53" s="10">
        <v>10000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698981</v>
      </c>
      <c r="O53" s="10">
        <v>930725</v>
      </c>
      <c r="P53" s="40">
        <f>+O53-N53</f>
        <v>231744</v>
      </c>
      <c r="Z53" s="40">
        <f>N53-P53+O53-N53</f>
        <v>698981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-20000</v>
      </c>
      <c r="F56" s="7">
        <v>-20000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-236149.11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-379666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55000</v>
      </c>
      <c r="F58" s="19">
        <f t="shared" si="12"/>
        <v>55000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521405.89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3633083</v>
      </c>
      <c r="F61" s="19">
        <f t="shared" si="13"/>
        <v>2728724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38762240.890000001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170726</v>
      </c>
      <c r="D62" s="30">
        <f t="shared" si="14"/>
        <v>918345</v>
      </c>
      <c r="E62" s="14">
        <f t="shared" si="14"/>
        <v>583156</v>
      </c>
      <c r="F62" s="14">
        <f t="shared" si="14"/>
        <v>-125852</v>
      </c>
      <c r="G62" s="14">
        <f t="shared" si="14"/>
        <v>-37690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1375106.1099999994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-600365.89000000013</v>
      </c>
      <c r="D63" s="32">
        <f t="shared" si="15"/>
        <v>317979.10999999987</v>
      </c>
      <c r="E63" s="12">
        <f t="shared" si="15"/>
        <v>901135.10999999987</v>
      </c>
      <c r="F63" s="12">
        <f t="shared" si="15"/>
        <v>775283.10999999987</v>
      </c>
      <c r="G63" s="12">
        <f t="shared" si="15"/>
        <v>737593.10999999987</v>
      </c>
      <c r="H63" s="12">
        <f t="shared" si="15"/>
        <v>838262.10999999987</v>
      </c>
      <c r="I63" s="12">
        <f t="shared" si="15"/>
        <v>1620680.1099999999</v>
      </c>
      <c r="J63" s="12">
        <f t="shared" si="15"/>
        <v>1956022.1099999999</v>
      </c>
      <c r="K63" s="12">
        <f t="shared" si="15"/>
        <v>2324465.11</v>
      </c>
      <c r="L63" s="12">
        <f t="shared" si="15"/>
        <v>2434686.11</v>
      </c>
      <c r="M63" s="12">
        <f t="shared" si="15"/>
        <v>1375106.1099999999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13757175.109999999</v>
      </c>
      <c r="D64" s="12">
        <f t="shared" si="16"/>
        <v>14675520.109999999</v>
      </c>
      <c r="E64" s="12">
        <f t="shared" si="16"/>
        <v>15258676.109999999</v>
      </c>
      <c r="F64" s="12">
        <f t="shared" si="16"/>
        <v>15132824.109999999</v>
      </c>
      <c r="G64" s="12">
        <f t="shared" si="16"/>
        <v>15095134.109999999</v>
      </c>
      <c r="H64" s="12">
        <f t="shared" si="16"/>
        <v>15195803.109999999</v>
      </c>
      <c r="I64" s="12">
        <f t="shared" si="16"/>
        <v>15978221.109999999</v>
      </c>
      <c r="J64" s="12">
        <f t="shared" si="16"/>
        <v>16313563.109999999</v>
      </c>
      <c r="K64" s="12">
        <f t="shared" si="16"/>
        <v>16682006.109999999</v>
      </c>
      <c r="L64" s="12">
        <f t="shared" si="16"/>
        <v>16792227.109999999</v>
      </c>
      <c r="M64" s="12">
        <f t="shared" si="16"/>
        <v>15732647.109999999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294538</v>
      </c>
      <c r="D72" s="31">
        <f t="shared" si="18"/>
        <v>-229810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963475.10999999987</v>
      </c>
      <c r="D73" s="31">
        <f t="shared" si="18"/>
        <v>733665.10999999987</v>
      </c>
      <c r="E73" s="31">
        <f t="shared" si="18"/>
        <v>733665.10999999987</v>
      </c>
      <c r="F73" s="31">
        <f t="shared" si="18"/>
        <v>733665.10999999987</v>
      </c>
      <c r="G73" s="31">
        <f t="shared" si="18"/>
        <v>733665.10999999987</v>
      </c>
      <c r="H73" s="31">
        <f t="shared" si="18"/>
        <v>733665.10999999987</v>
      </c>
      <c r="I73" s="31">
        <f t="shared" si="18"/>
        <v>733665.10999999987</v>
      </c>
      <c r="J73" s="31">
        <f t="shared" si="18"/>
        <v>733665.10999999987</v>
      </c>
      <c r="K73" s="31">
        <f t="shared" si="18"/>
        <v>733665.10999999987</v>
      </c>
      <c r="L73" s="31">
        <f t="shared" si="18"/>
        <v>733665.10999999987</v>
      </c>
      <c r="M73" s="31">
        <f t="shared" si="18"/>
        <v>733665.10999999987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963475.1099999994</v>
      </c>
      <c r="D74" s="16">
        <f t="shared" si="18"/>
        <v>733665.1099999994</v>
      </c>
      <c r="E74" s="16">
        <f t="shared" si="18"/>
        <v>733665.1099999994</v>
      </c>
      <c r="F74" s="16">
        <f t="shared" si="18"/>
        <v>733665.1099999994</v>
      </c>
      <c r="G74" s="16">
        <f t="shared" si="18"/>
        <v>733665.1099999994</v>
      </c>
      <c r="H74" s="16">
        <f t="shared" si="18"/>
        <v>733665.1099999994</v>
      </c>
      <c r="I74" s="16">
        <f t="shared" si="18"/>
        <v>733665.1099999994</v>
      </c>
      <c r="J74" s="16">
        <f t="shared" si="18"/>
        <v>733665.1099999994</v>
      </c>
      <c r="K74" s="16">
        <f t="shared" si="18"/>
        <v>733665.1099999994</v>
      </c>
      <c r="L74" s="16">
        <f t="shared" si="18"/>
        <v>733665.1099999994</v>
      </c>
      <c r="M74" s="16">
        <f t="shared" si="18"/>
        <v>733665.1099999994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September 2018
</oddFooter>
  </headerFooter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Z80"/>
  <sheetViews>
    <sheetView showGridLines="0" zoomScale="60" zoomScaleNormal="60" workbookViewId="0">
      <selection activeCell="E79" sqref="E79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115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2497881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38081118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104991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1689813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2602872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39770931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98</v>
      </c>
      <c r="D11" s="7">
        <v>866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1874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4427144</v>
      </c>
      <c r="D13" s="14">
        <f t="shared" si="1"/>
        <v>4359723</v>
      </c>
      <c r="E13" s="14">
        <f t="shared" si="1"/>
        <v>3851697</v>
      </c>
      <c r="F13" s="14">
        <f t="shared" si="1"/>
        <v>2602872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39772805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928598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16565643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928598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16565643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1569283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21515475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104991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1689813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1674274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23205288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0.64324100455189503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0.58347359281078937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655473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8277913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213768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2693291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869241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10971204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1435895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17860194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-869241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-10971204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-81098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-808360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475556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5959730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400329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4486600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400329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4486600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2673724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37983177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220282</v>
      </c>
      <c r="D50" s="12">
        <f t="shared" si="11"/>
        <v>906869</v>
      </c>
      <c r="E50" s="12">
        <f t="shared" si="11"/>
        <v>531272</v>
      </c>
      <c r="F50" s="12">
        <f t="shared" si="11"/>
        <v>-70852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1789628</v>
      </c>
      <c r="O50" s="7">
        <f>+N50+N39+N41</f>
        <v>860368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10000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598981</v>
      </c>
      <c r="O53" s="10">
        <v>930725</v>
      </c>
      <c r="P53" s="40">
        <f>+O53-N53</f>
        <v>331744</v>
      </c>
      <c r="Z53" s="40">
        <f>N53-P53+O53-N53</f>
        <v>598981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-20000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-232972.11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311523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55000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1115771.8900000001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2728724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39098948.890000001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170726</v>
      </c>
      <c r="D62" s="30">
        <f t="shared" si="14"/>
        <v>918345</v>
      </c>
      <c r="E62" s="30">
        <f t="shared" si="14"/>
        <v>-118094</v>
      </c>
      <c r="F62" s="14">
        <f t="shared" si="14"/>
        <v>-125852</v>
      </c>
      <c r="G62" s="14">
        <f t="shared" si="14"/>
        <v>-37690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673856.1099999994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-600365.89000000013</v>
      </c>
      <c r="D63" s="32">
        <f t="shared" si="15"/>
        <v>317979.10999999987</v>
      </c>
      <c r="E63" s="32">
        <f t="shared" si="15"/>
        <v>199885.10999999987</v>
      </c>
      <c r="F63" s="12">
        <f t="shared" si="15"/>
        <v>74033.10999999987</v>
      </c>
      <c r="G63" s="12">
        <f t="shared" si="15"/>
        <v>36343.10999999987</v>
      </c>
      <c r="H63" s="12">
        <f t="shared" si="15"/>
        <v>137012.10999999987</v>
      </c>
      <c r="I63" s="12">
        <f t="shared" si="15"/>
        <v>919430.10999999987</v>
      </c>
      <c r="J63" s="12">
        <f t="shared" si="15"/>
        <v>1254772.1099999999</v>
      </c>
      <c r="K63" s="12">
        <f t="shared" si="15"/>
        <v>1623215.1099999999</v>
      </c>
      <c r="L63" s="12">
        <f t="shared" si="15"/>
        <v>1733436.1099999999</v>
      </c>
      <c r="M63" s="12">
        <f t="shared" si="15"/>
        <v>673856.10999999987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13757175.109999999</v>
      </c>
      <c r="D64" s="12">
        <f t="shared" si="16"/>
        <v>14675520.109999999</v>
      </c>
      <c r="E64" s="12">
        <f t="shared" si="16"/>
        <v>14557426.109999999</v>
      </c>
      <c r="F64" s="12">
        <f t="shared" si="16"/>
        <v>14431574.109999999</v>
      </c>
      <c r="G64" s="12">
        <f t="shared" si="16"/>
        <v>14393884.109999999</v>
      </c>
      <c r="H64" s="12">
        <f t="shared" si="16"/>
        <v>14494553.109999999</v>
      </c>
      <c r="I64" s="12">
        <f t="shared" si="16"/>
        <v>15276971.109999999</v>
      </c>
      <c r="J64" s="12">
        <f t="shared" si="16"/>
        <v>15612313.109999999</v>
      </c>
      <c r="K64" s="12">
        <f t="shared" si="16"/>
        <v>15980756.109999999</v>
      </c>
      <c r="L64" s="12">
        <f t="shared" si="16"/>
        <v>16090977.109999999</v>
      </c>
      <c r="M64" s="12">
        <f t="shared" si="16"/>
        <v>15031397.109999999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294538</v>
      </c>
      <c r="D72" s="31">
        <f t="shared" si="18"/>
        <v>-229810</v>
      </c>
      <c r="E72" s="31">
        <f t="shared" si="18"/>
        <v>-701250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963475.10999999987</v>
      </c>
      <c r="D73" s="31">
        <f t="shared" si="18"/>
        <v>733665.10999999987</v>
      </c>
      <c r="E73" s="31">
        <f t="shared" si="18"/>
        <v>32415.10999999987</v>
      </c>
      <c r="F73" s="31">
        <f t="shared" si="18"/>
        <v>32415.10999999987</v>
      </c>
      <c r="G73" s="31">
        <f t="shared" si="18"/>
        <v>32415.10999999987</v>
      </c>
      <c r="H73" s="31">
        <f t="shared" si="18"/>
        <v>32415.10999999987</v>
      </c>
      <c r="I73" s="31">
        <f t="shared" si="18"/>
        <v>32415.10999999987</v>
      </c>
      <c r="J73" s="31">
        <f t="shared" si="18"/>
        <v>32415.10999999987</v>
      </c>
      <c r="K73" s="31">
        <f t="shared" si="18"/>
        <v>32415.10999999987</v>
      </c>
      <c r="L73" s="31">
        <f t="shared" si="18"/>
        <v>32415.10999999987</v>
      </c>
      <c r="M73" s="31">
        <f t="shared" si="18"/>
        <v>32415.10999999987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963475.1099999994</v>
      </c>
      <c r="D74" s="16">
        <f t="shared" si="18"/>
        <v>733665.1099999994</v>
      </c>
      <c r="E74" s="16">
        <f t="shared" si="18"/>
        <v>32415.109999999404</v>
      </c>
      <c r="F74" s="16">
        <f t="shared" si="18"/>
        <v>32415.109999999404</v>
      </c>
      <c r="G74" s="16">
        <f t="shared" si="18"/>
        <v>32415.109999999404</v>
      </c>
      <c r="H74" s="16">
        <f t="shared" si="18"/>
        <v>32415.109999999404</v>
      </c>
      <c r="I74" s="16">
        <f t="shared" si="18"/>
        <v>32415.109999999404</v>
      </c>
      <c r="J74" s="16">
        <f t="shared" si="18"/>
        <v>32415.109999999404</v>
      </c>
      <c r="K74" s="16">
        <f t="shared" si="18"/>
        <v>32415.109999999404</v>
      </c>
      <c r="L74" s="16">
        <f t="shared" si="18"/>
        <v>32415.109999999404</v>
      </c>
      <c r="M74" s="16">
        <f t="shared" si="18"/>
        <v>32415.109999999404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September 2018
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1:Z85"/>
  <sheetViews>
    <sheetView showGridLines="0" zoomScale="80" zoomScaleNormal="80" workbookViewId="0">
      <selection activeCell="G77" sqref="G77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116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37785874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1730027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39515901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1833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39517734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16451568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16451568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21334306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1730027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23064333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0.58367220324800384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8209201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2688109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10897310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17779465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-10897310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73419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-653843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623238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6107412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4501827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4501827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2648664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37958117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906888</v>
      </c>
      <c r="E50" s="12">
        <f t="shared" si="11"/>
        <v>531272</v>
      </c>
      <c r="F50" s="12">
        <f t="shared" si="11"/>
        <v>-300822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1559617</v>
      </c>
      <c r="O50" s="7">
        <f>+N50+N39+N41</f>
        <v>784874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595781</v>
      </c>
      <c r="O53" s="10">
        <v>930725</v>
      </c>
      <c r="P53" s="40">
        <f>+O53-N53</f>
        <v>334944</v>
      </c>
      <c r="Z53" s="40">
        <f>N53-P53+O53-N53</f>
        <v>595781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-224609.11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263332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1072743.8900000001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2660636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39030860.890000001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918364</v>
      </c>
      <c r="E62" s="30">
        <f t="shared" si="14"/>
        <v>-118094</v>
      </c>
      <c r="F62" s="30">
        <f t="shared" si="14"/>
        <v>-312794</v>
      </c>
      <c r="G62" s="14">
        <f t="shared" si="14"/>
        <v>-37690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486873.1099999994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317938.10999999987</v>
      </c>
      <c r="E63" s="32">
        <f t="shared" si="15"/>
        <v>199844.10999999987</v>
      </c>
      <c r="F63" s="32">
        <f t="shared" si="15"/>
        <v>-112949.89000000013</v>
      </c>
      <c r="G63" s="12">
        <f t="shared" si="15"/>
        <v>-150639.89000000013</v>
      </c>
      <c r="H63" s="12">
        <f t="shared" si="15"/>
        <v>-49970.89000000013</v>
      </c>
      <c r="I63" s="12">
        <f t="shared" si="15"/>
        <v>732447.10999999987</v>
      </c>
      <c r="J63" s="12">
        <f t="shared" si="15"/>
        <v>1067789.1099999999</v>
      </c>
      <c r="K63" s="12">
        <f t="shared" si="15"/>
        <v>1436232.1099999999</v>
      </c>
      <c r="L63" s="12">
        <f t="shared" si="15"/>
        <v>1546453.1099999999</v>
      </c>
      <c r="M63" s="12">
        <f t="shared" si="15"/>
        <v>486873.10999999987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14675479.109999999</v>
      </c>
      <c r="E64" s="12">
        <f t="shared" si="16"/>
        <v>14557385.109999999</v>
      </c>
      <c r="F64" s="12">
        <f t="shared" si="16"/>
        <v>14244591.109999999</v>
      </c>
      <c r="G64" s="12">
        <f t="shared" si="16"/>
        <v>14206901.109999999</v>
      </c>
      <c r="H64" s="12">
        <f t="shared" si="16"/>
        <v>14307570.109999999</v>
      </c>
      <c r="I64" s="12">
        <f t="shared" si="16"/>
        <v>15089988.109999999</v>
      </c>
      <c r="J64" s="12">
        <f t="shared" si="16"/>
        <v>15425330.109999999</v>
      </c>
      <c r="K64" s="12">
        <f t="shared" si="16"/>
        <v>15793773.109999999</v>
      </c>
      <c r="L64" s="12">
        <f t="shared" si="16"/>
        <v>15903994.109999999</v>
      </c>
      <c r="M64" s="12">
        <f t="shared" si="16"/>
        <v>14844414.109999999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-229791</v>
      </c>
      <c r="E72" s="31">
        <f t="shared" si="18"/>
        <v>-701250</v>
      </c>
      <c r="F72" s="31">
        <f t="shared" si="18"/>
        <v>-186942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733624.10999999987</v>
      </c>
      <c r="E73" s="31">
        <f t="shared" si="18"/>
        <v>32374.10999999987</v>
      </c>
      <c r="F73" s="31">
        <f t="shared" si="18"/>
        <v>-154567.89000000013</v>
      </c>
      <c r="G73" s="31">
        <f t="shared" si="18"/>
        <v>-154567.89000000013</v>
      </c>
      <c r="H73" s="31">
        <f t="shared" si="18"/>
        <v>-154567.89000000013</v>
      </c>
      <c r="I73" s="31">
        <f t="shared" si="18"/>
        <v>-154567.89000000013</v>
      </c>
      <c r="J73" s="31">
        <f t="shared" si="18"/>
        <v>-154567.89000000013</v>
      </c>
      <c r="K73" s="31">
        <f t="shared" si="18"/>
        <v>-154567.89000000013</v>
      </c>
      <c r="L73" s="31">
        <f t="shared" si="18"/>
        <v>-154567.89000000013</v>
      </c>
      <c r="M73" s="31">
        <f t="shared" si="18"/>
        <v>-154567.89000000013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733624.1099999994</v>
      </c>
      <c r="E74" s="16">
        <f t="shared" si="18"/>
        <v>32374.109999999404</v>
      </c>
      <c r="F74" s="16">
        <f t="shared" si="18"/>
        <v>-154567.8900000006</v>
      </c>
      <c r="G74" s="16">
        <f t="shared" si="18"/>
        <v>-154567.8900000006</v>
      </c>
      <c r="H74" s="16">
        <f t="shared" si="18"/>
        <v>-154567.8900000006</v>
      </c>
      <c r="I74" s="16">
        <f t="shared" si="18"/>
        <v>-154567.8900000006</v>
      </c>
      <c r="J74" s="16">
        <f t="shared" si="18"/>
        <v>-154567.8900000006</v>
      </c>
      <c r="K74" s="16">
        <f t="shared" si="18"/>
        <v>-154567.8900000006</v>
      </c>
      <c r="L74" s="16">
        <f t="shared" si="18"/>
        <v>-154567.8900000006</v>
      </c>
      <c r="M74" s="16">
        <f t="shared" si="18"/>
        <v>-154567.8900000006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November 2018
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1:Z85"/>
  <sheetViews>
    <sheetView showGridLines="0" topLeftCell="A9" zoomScale="80" zoomScaleNormal="80" workbookViewId="0">
      <selection activeCell="G56" sqref="G56:G57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117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2399169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37408883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58506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1686788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2457675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39095671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20473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22306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2478148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39117977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866327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16363499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866327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16363499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1532842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21045384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58506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1686788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1591348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22732172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0.6475013986796464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0.58144984901269503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580848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8144917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216521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2692597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797369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10837514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1331199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17479756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-797369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-10837514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73419</v>
      </c>
      <c r="G39" s="72">
        <v>-73419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-646164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623238</v>
      </c>
      <c r="G42" s="12">
        <f t="shared" si="8"/>
        <v>450411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5875178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301819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4432257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301819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4432257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2648664</v>
      </c>
      <c r="G48" s="19">
        <f t="shared" si="10"/>
        <v>2415926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37508448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906888</v>
      </c>
      <c r="E50" s="12">
        <f t="shared" si="11"/>
        <v>531272</v>
      </c>
      <c r="F50" s="12">
        <f t="shared" si="11"/>
        <v>-300822</v>
      </c>
      <c r="G50" s="12">
        <f t="shared" si="11"/>
        <v>62222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1609529</v>
      </c>
      <c r="O50" s="7">
        <f>+N50+N39+N41</f>
        <v>842465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30969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526750</v>
      </c>
      <c r="O53" s="10">
        <v>930725</v>
      </c>
      <c r="P53" s="40">
        <f>+O53-N53</f>
        <v>403975</v>
      </c>
      <c r="Z53" s="40">
        <f>N53-P53+O53-N53</f>
        <v>526750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-235725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-435334.11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752472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1040804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547716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1570459.8900000001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2660636</v>
      </c>
      <c r="G61" s="19">
        <f t="shared" si="13"/>
        <v>2963642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39078907.890000001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918364</v>
      </c>
      <c r="E62" s="30">
        <f t="shared" si="14"/>
        <v>-118094</v>
      </c>
      <c r="F62" s="30">
        <f t="shared" si="14"/>
        <v>-312794</v>
      </c>
      <c r="G62" s="30">
        <f t="shared" si="14"/>
        <v>-485494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39069.109999999404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317938.10999999987</v>
      </c>
      <c r="E63" s="32">
        <f t="shared" si="15"/>
        <v>199844.10999999987</v>
      </c>
      <c r="F63" s="32">
        <f t="shared" si="15"/>
        <v>-112949.89000000013</v>
      </c>
      <c r="G63" s="32">
        <f t="shared" si="15"/>
        <v>-598443.89000000013</v>
      </c>
      <c r="H63" s="12">
        <f t="shared" si="15"/>
        <v>-497774.89000000013</v>
      </c>
      <c r="I63" s="12">
        <f t="shared" si="15"/>
        <v>284643.10999999987</v>
      </c>
      <c r="J63" s="12">
        <f t="shared" si="15"/>
        <v>619985.10999999987</v>
      </c>
      <c r="K63" s="12">
        <f t="shared" si="15"/>
        <v>988428.10999999987</v>
      </c>
      <c r="L63" s="12">
        <f t="shared" si="15"/>
        <v>1098649.1099999999</v>
      </c>
      <c r="M63" s="12">
        <f t="shared" si="15"/>
        <v>39069.10999999987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14675479.109999999</v>
      </c>
      <c r="E64" s="12">
        <f t="shared" si="16"/>
        <v>14557385.109999999</v>
      </c>
      <c r="F64" s="12">
        <f t="shared" si="16"/>
        <v>14244591.109999999</v>
      </c>
      <c r="G64" s="12">
        <f t="shared" si="16"/>
        <v>13759097.109999999</v>
      </c>
      <c r="H64" s="12">
        <f t="shared" si="16"/>
        <v>13859766.109999999</v>
      </c>
      <c r="I64" s="12">
        <f t="shared" si="16"/>
        <v>14642184.109999999</v>
      </c>
      <c r="J64" s="12">
        <f t="shared" si="16"/>
        <v>14977526.109999999</v>
      </c>
      <c r="K64" s="12">
        <f t="shared" si="16"/>
        <v>15345969.109999999</v>
      </c>
      <c r="L64" s="12">
        <f t="shared" si="16"/>
        <v>15456190.109999999</v>
      </c>
      <c r="M64" s="12">
        <f t="shared" si="16"/>
        <v>14396610.109999999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-229791</v>
      </c>
      <c r="E72" s="31">
        <f t="shared" si="18"/>
        <v>-701250</v>
      </c>
      <c r="F72" s="31">
        <f t="shared" si="18"/>
        <v>-186942</v>
      </c>
      <c r="G72" s="31">
        <f t="shared" si="18"/>
        <v>-447804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733624.10999999987</v>
      </c>
      <c r="E73" s="31">
        <f t="shared" si="18"/>
        <v>32374.10999999987</v>
      </c>
      <c r="F73" s="31">
        <f t="shared" si="18"/>
        <v>-154567.89000000013</v>
      </c>
      <c r="G73" s="31">
        <f t="shared" si="18"/>
        <v>-602371.89000000013</v>
      </c>
      <c r="H73" s="31">
        <f t="shared" si="18"/>
        <v>-602371.89000000013</v>
      </c>
      <c r="I73" s="31">
        <f t="shared" si="18"/>
        <v>-602371.89000000013</v>
      </c>
      <c r="J73" s="31">
        <f t="shared" si="18"/>
        <v>-602371.89000000013</v>
      </c>
      <c r="K73" s="31">
        <f t="shared" si="18"/>
        <v>-602371.89000000013</v>
      </c>
      <c r="L73" s="31">
        <f t="shared" si="18"/>
        <v>-602371.89000000013</v>
      </c>
      <c r="M73" s="31">
        <f t="shared" si="18"/>
        <v>-602371.89000000013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733624.1099999994</v>
      </c>
      <c r="E74" s="16">
        <f t="shared" si="18"/>
        <v>32374.109999999404</v>
      </c>
      <c r="F74" s="16">
        <f t="shared" si="18"/>
        <v>-154567.8900000006</v>
      </c>
      <c r="G74" s="16">
        <f t="shared" si="18"/>
        <v>-602371.8900000006</v>
      </c>
      <c r="H74" s="16">
        <f t="shared" si="18"/>
        <v>-602371.8900000006</v>
      </c>
      <c r="I74" s="16">
        <f t="shared" si="18"/>
        <v>-602371.8900000006</v>
      </c>
      <c r="J74" s="16">
        <f t="shared" si="18"/>
        <v>-602371.8900000006</v>
      </c>
      <c r="K74" s="16">
        <f t="shared" si="18"/>
        <v>-602371.8900000006</v>
      </c>
      <c r="L74" s="16">
        <f t="shared" si="18"/>
        <v>-602371.8900000006</v>
      </c>
      <c r="M74" s="16">
        <f t="shared" si="18"/>
        <v>-602371.8900000006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December 2018
</oddFooter>
  </headerFooter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1:Z85"/>
  <sheetViews>
    <sheetView showGridLines="0" topLeftCell="A34" zoomScale="80" zoomScaleNormal="80" workbookViewId="0">
      <selection activeCell="D52" sqref="D52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118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2399169</v>
      </c>
      <c r="H5" s="53">
        <v>4093574</v>
      </c>
      <c r="I5" s="53">
        <v>3274668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36695861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58506</v>
      </c>
      <c r="H6" s="53">
        <v>100712</v>
      </c>
      <c r="I6" s="53">
        <v>72668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1475507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2457675</v>
      </c>
      <c r="H9" s="12">
        <f t="shared" si="0"/>
        <v>4194286</v>
      </c>
      <c r="I9" s="12">
        <f t="shared" si="0"/>
        <v>3347336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38171368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20473</v>
      </c>
      <c r="H11" s="7">
        <v>4352</v>
      </c>
      <c r="I11" s="7">
        <v>10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26668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2478148</v>
      </c>
      <c r="H13" s="14">
        <f t="shared" si="1"/>
        <v>4198638</v>
      </c>
      <c r="I13" s="14">
        <f t="shared" si="1"/>
        <v>3347346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38198036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866327</v>
      </c>
      <c r="H16" s="53">
        <v>2296042</v>
      </c>
      <c r="I16" s="53">
        <v>1205375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15838728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866327</v>
      </c>
      <c r="H20" s="12">
        <f t="shared" si="2"/>
        <v>2296042</v>
      </c>
      <c r="I20" s="12">
        <f t="shared" si="2"/>
        <v>1205375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15838728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1532842</v>
      </c>
      <c r="H23" s="7">
        <f t="shared" si="3"/>
        <v>1797532</v>
      </c>
      <c r="I23" s="7">
        <f t="shared" si="3"/>
        <v>2069293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20857133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58506</v>
      </c>
      <c r="H24" s="7">
        <f t="shared" si="3"/>
        <v>100712</v>
      </c>
      <c r="I24" s="7">
        <f t="shared" si="3"/>
        <v>72668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1475507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1591348</v>
      </c>
      <c r="H27" s="12">
        <f t="shared" si="4"/>
        <v>1898244</v>
      </c>
      <c r="I27" s="12">
        <f t="shared" si="4"/>
        <v>2141961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22332640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0.6475013986796464</v>
      </c>
      <c r="H28" s="73">
        <f t="shared" si="5"/>
        <v>0.45257857952461994</v>
      </c>
      <c r="I28" s="73">
        <f t="shared" si="5"/>
        <v>0.63990020720955409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0.58506260503946306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580848</v>
      </c>
      <c r="H30" s="53">
        <v>737164</v>
      </c>
      <c r="I30" s="53">
        <v>782261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8197773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216521</v>
      </c>
      <c r="H31" s="53">
        <v>230074</v>
      </c>
      <c r="I31" s="53">
        <v>214469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2680064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797369</v>
      </c>
      <c r="H34" s="12">
        <f t="shared" si="6"/>
        <v>967238</v>
      </c>
      <c r="I34" s="12">
        <f t="shared" si="6"/>
        <v>996730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10877837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1331199</v>
      </c>
      <c r="H37" s="66">
        <v>1469965</v>
      </c>
      <c r="I37" s="66">
        <v>1591079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17451148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-797369</v>
      </c>
      <c r="H38" s="7">
        <f t="shared" si="7"/>
        <v>-967238</v>
      </c>
      <c r="I38" s="7">
        <f t="shared" si="7"/>
        <v>-996730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-10877837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73419</v>
      </c>
      <c r="G39" s="72">
        <v>-73419</v>
      </c>
      <c r="H39" s="72">
        <v>-73419</v>
      </c>
      <c r="I39" s="72">
        <v>-77993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-633912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623238</v>
      </c>
      <c r="G42" s="12">
        <f t="shared" si="8"/>
        <v>450411</v>
      </c>
      <c r="H42" s="12">
        <f t="shared" si="8"/>
        <v>419308</v>
      </c>
      <c r="I42" s="12">
        <f t="shared" si="8"/>
        <v>506356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5818499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301819</v>
      </c>
      <c r="H44" s="53">
        <v>303493</v>
      </c>
      <c r="I44" s="53">
        <v>379392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4459480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301819</v>
      </c>
      <c r="H46" s="12">
        <f t="shared" si="9"/>
        <v>303493</v>
      </c>
      <c r="I46" s="12">
        <f t="shared" si="9"/>
        <v>379392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4459480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2648664</v>
      </c>
      <c r="G48" s="19">
        <f t="shared" si="10"/>
        <v>2415926</v>
      </c>
      <c r="H48" s="19">
        <f t="shared" si="10"/>
        <v>3986081</v>
      </c>
      <c r="I48" s="19">
        <f t="shared" si="10"/>
        <v>3087853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36994544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906888</v>
      </c>
      <c r="E50" s="12">
        <f t="shared" si="11"/>
        <v>531272</v>
      </c>
      <c r="F50" s="12">
        <f t="shared" si="11"/>
        <v>-300822</v>
      </c>
      <c r="G50" s="12">
        <f t="shared" si="11"/>
        <v>62222</v>
      </c>
      <c r="H50" s="12">
        <f t="shared" si="11"/>
        <v>212557</v>
      </c>
      <c r="I50" s="12">
        <f t="shared" si="11"/>
        <v>259493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1203492</v>
      </c>
      <c r="O50" s="7">
        <f>+N50+N39+N41</f>
        <v>448680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30969</v>
      </c>
      <c r="H53" s="23">
        <v>110259</v>
      </c>
      <c r="I53" s="10">
        <v>168478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720487</v>
      </c>
      <c r="O53" s="10">
        <v>930725</v>
      </c>
      <c r="P53" s="40">
        <f>+O53-N53</f>
        <v>210238</v>
      </c>
      <c r="Z53" s="40">
        <f>N53-P53+O53-N53</f>
        <v>720487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-235725</v>
      </c>
      <c r="H56" s="7">
        <v>-12112</v>
      </c>
      <c r="I56" s="7">
        <v>-10838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-418284.11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752472</v>
      </c>
      <c r="H57" s="22">
        <v>-562011</v>
      </c>
      <c r="I57" s="22">
        <v>-225136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303657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547716</v>
      </c>
      <c r="H58" s="19">
        <f>SUM(H53:H57)</f>
        <v>-463864</v>
      </c>
      <c r="I58" s="19">
        <f t="shared" si="12"/>
        <v>-67496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1044099.89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2660636</v>
      </c>
      <c r="G61" s="19">
        <f t="shared" si="13"/>
        <v>2963642</v>
      </c>
      <c r="H61" s="19">
        <f t="shared" si="13"/>
        <v>3522217</v>
      </c>
      <c r="I61" s="19">
        <f t="shared" si="13"/>
        <v>3020357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38038643.890000001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918364</v>
      </c>
      <c r="E62" s="30">
        <f t="shared" si="14"/>
        <v>-118094</v>
      </c>
      <c r="F62" s="30">
        <f t="shared" si="14"/>
        <v>-312794</v>
      </c>
      <c r="G62" s="30">
        <f t="shared" si="14"/>
        <v>-485494</v>
      </c>
      <c r="H62" s="30">
        <f t="shared" si="14"/>
        <v>676421</v>
      </c>
      <c r="I62" s="30">
        <f t="shared" si="14"/>
        <v>326989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159392.1099999994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317938.10999999987</v>
      </c>
      <c r="E63" s="32">
        <f t="shared" si="15"/>
        <v>199844.10999999987</v>
      </c>
      <c r="F63" s="32">
        <f t="shared" si="15"/>
        <v>-112949.89000000013</v>
      </c>
      <c r="G63" s="32">
        <f t="shared" si="15"/>
        <v>-598443.89000000013</v>
      </c>
      <c r="H63" s="32">
        <f t="shared" si="15"/>
        <v>77977.10999999987</v>
      </c>
      <c r="I63" s="32">
        <f t="shared" si="15"/>
        <v>404966.10999999987</v>
      </c>
      <c r="J63" s="12">
        <f t="shared" si="15"/>
        <v>740308.10999999987</v>
      </c>
      <c r="K63" s="12">
        <f t="shared" si="15"/>
        <v>1108751.1099999999</v>
      </c>
      <c r="L63" s="12">
        <f t="shared" si="15"/>
        <v>1218972.1099999999</v>
      </c>
      <c r="M63" s="12">
        <f t="shared" si="15"/>
        <v>159392.10999999987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14675479.109999999</v>
      </c>
      <c r="E64" s="12">
        <f t="shared" si="16"/>
        <v>14557385.109999999</v>
      </c>
      <c r="F64" s="12">
        <f t="shared" si="16"/>
        <v>14244591.109999999</v>
      </c>
      <c r="G64" s="12">
        <f t="shared" si="16"/>
        <v>13759097.109999999</v>
      </c>
      <c r="H64" s="12">
        <f t="shared" si="16"/>
        <v>14435518.109999999</v>
      </c>
      <c r="I64" s="12">
        <f t="shared" si="16"/>
        <v>14762507.109999999</v>
      </c>
      <c r="J64" s="12">
        <f t="shared" si="16"/>
        <v>15097849.109999999</v>
      </c>
      <c r="K64" s="12">
        <f t="shared" si="16"/>
        <v>15466292.109999999</v>
      </c>
      <c r="L64" s="12">
        <f t="shared" si="16"/>
        <v>15576513.109999999</v>
      </c>
      <c r="M64" s="12">
        <f t="shared" si="16"/>
        <v>14516933.109999999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-229791</v>
      </c>
      <c r="E72" s="31">
        <f t="shared" si="18"/>
        <v>-701250</v>
      </c>
      <c r="F72" s="31">
        <f t="shared" si="18"/>
        <v>-186942</v>
      </c>
      <c r="G72" s="31">
        <f t="shared" si="18"/>
        <v>-447804</v>
      </c>
      <c r="H72" s="31">
        <f t="shared" si="18"/>
        <v>575752</v>
      </c>
      <c r="I72" s="31">
        <f t="shared" si="18"/>
        <v>-455429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733624.10999999987</v>
      </c>
      <c r="E73" s="31">
        <f t="shared" si="18"/>
        <v>32374.10999999987</v>
      </c>
      <c r="F73" s="31">
        <f t="shared" si="18"/>
        <v>-154567.89000000013</v>
      </c>
      <c r="G73" s="31">
        <f t="shared" si="18"/>
        <v>-602371.89000000013</v>
      </c>
      <c r="H73" s="31">
        <f t="shared" si="18"/>
        <v>-26619.89000000013</v>
      </c>
      <c r="I73" s="31">
        <f t="shared" si="18"/>
        <v>-482048.89000000013</v>
      </c>
      <c r="J73" s="31">
        <f t="shared" si="18"/>
        <v>-482048.89000000013</v>
      </c>
      <c r="K73" s="31">
        <f t="shared" si="18"/>
        <v>-482048.89000000013</v>
      </c>
      <c r="L73" s="31">
        <f t="shared" si="18"/>
        <v>-482048.89000000013</v>
      </c>
      <c r="M73" s="31">
        <f t="shared" si="18"/>
        <v>-482048.89000000013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733624.1099999994</v>
      </c>
      <c r="E74" s="16">
        <f t="shared" si="18"/>
        <v>32374.109999999404</v>
      </c>
      <c r="F74" s="16">
        <f t="shared" si="18"/>
        <v>-154567.8900000006</v>
      </c>
      <c r="G74" s="16">
        <f t="shared" si="18"/>
        <v>-602371.8900000006</v>
      </c>
      <c r="H74" s="16">
        <f t="shared" si="18"/>
        <v>-26619.890000000596</v>
      </c>
      <c r="I74" s="16">
        <f t="shared" si="18"/>
        <v>-482048.8900000006</v>
      </c>
      <c r="J74" s="16">
        <f t="shared" si="18"/>
        <v>-482048.8900000006</v>
      </c>
      <c r="K74" s="16">
        <f t="shared" si="18"/>
        <v>-482048.8900000006</v>
      </c>
      <c r="L74" s="16">
        <f t="shared" si="18"/>
        <v>-482048.8900000006</v>
      </c>
      <c r="M74" s="16">
        <f t="shared" si="18"/>
        <v>-482048.8900000006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>
        <v>12112.349999999999</v>
      </c>
      <c r="I77" s="86"/>
      <c r="J77" s="85">
        <v>562010.51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January 2019
</oddFoot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1:Z85"/>
  <sheetViews>
    <sheetView showGridLines="0" topLeftCell="A20" zoomScale="80" zoomScaleNormal="80" workbookViewId="0">
      <selection activeCell="B67" sqref="B67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120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2399169</v>
      </c>
      <c r="H5" s="53">
        <v>4093574</v>
      </c>
      <c r="I5" s="53">
        <v>3274668</v>
      </c>
      <c r="J5" s="53">
        <v>3150136</v>
      </c>
      <c r="K5" s="53">
        <v>3507287</v>
      </c>
      <c r="L5" s="53">
        <v>2668320</v>
      </c>
      <c r="M5" s="53">
        <v>1617618</v>
      </c>
      <c r="N5" s="12">
        <f>SUM(B5:M5)</f>
        <v>36646863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58506</v>
      </c>
      <c r="H6" s="53">
        <v>100712</v>
      </c>
      <c r="I6" s="53">
        <v>72668</v>
      </c>
      <c r="J6" s="53">
        <v>472170</v>
      </c>
      <c r="K6" s="53">
        <v>117110</v>
      </c>
      <c r="L6" s="53">
        <v>111576</v>
      </c>
      <c r="M6" s="53">
        <v>95131</v>
      </c>
      <c r="N6" s="7">
        <f>SUM(B6:M6)</f>
        <v>1840739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2457675</v>
      </c>
      <c r="H9" s="12">
        <f t="shared" si="0"/>
        <v>4194286</v>
      </c>
      <c r="I9" s="12">
        <f t="shared" si="0"/>
        <v>3347336</v>
      </c>
      <c r="J9" s="12">
        <f t="shared" si="0"/>
        <v>3622306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38487602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20473</v>
      </c>
      <c r="H11" s="7">
        <v>4352</v>
      </c>
      <c r="I11" s="7">
        <v>10</v>
      </c>
      <c r="J11" s="7">
        <v>-222</v>
      </c>
      <c r="K11" s="7">
        <v>0</v>
      </c>
      <c r="L11" s="7">
        <v>0</v>
      </c>
      <c r="M11" s="7">
        <v>0</v>
      </c>
      <c r="N11" s="7">
        <f>SUM(B11:M11)</f>
        <v>26446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2478148</v>
      </c>
      <c r="H13" s="14">
        <f t="shared" si="1"/>
        <v>4198638</v>
      </c>
      <c r="I13" s="14">
        <f t="shared" si="1"/>
        <v>3347346</v>
      </c>
      <c r="J13" s="14">
        <f t="shared" si="1"/>
        <v>3622084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38514048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866327</v>
      </c>
      <c r="H16" s="53">
        <v>2296042</v>
      </c>
      <c r="I16" s="53">
        <v>1205375</v>
      </c>
      <c r="J16" s="53">
        <v>1101253</v>
      </c>
      <c r="K16" s="53">
        <v>1332035</v>
      </c>
      <c r="L16" s="53">
        <v>1066893</v>
      </c>
      <c r="M16" s="53">
        <v>774058</v>
      </c>
      <c r="N16" s="7">
        <f>SUM(B16:M16)</f>
        <v>15823287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866327</v>
      </c>
      <c r="H20" s="12">
        <f t="shared" si="2"/>
        <v>2296042</v>
      </c>
      <c r="I20" s="12">
        <f t="shared" si="2"/>
        <v>1205375</v>
      </c>
      <c r="J20" s="12">
        <f t="shared" si="2"/>
        <v>1101253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15823287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1532842</v>
      </c>
      <c r="H23" s="7">
        <f t="shared" si="3"/>
        <v>1797532</v>
      </c>
      <c r="I23" s="7">
        <f t="shared" si="3"/>
        <v>2069293</v>
      </c>
      <c r="J23" s="7">
        <f t="shared" si="3"/>
        <v>2048883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20823576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58506</v>
      </c>
      <c r="H24" s="7">
        <f t="shared" si="3"/>
        <v>100712</v>
      </c>
      <c r="I24" s="7">
        <f t="shared" si="3"/>
        <v>72668</v>
      </c>
      <c r="J24" s="7">
        <f t="shared" si="3"/>
        <v>472170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1840739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1591348</v>
      </c>
      <c r="H27" s="12">
        <f t="shared" si="4"/>
        <v>1898244</v>
      </c>
      <c r="I27" s="12">
        <f t="shared" si="4"/>
        <v>2141961</v>
      </c>
      <c r="J27" s="12">
        <f t="shared" si="4"/>
        <v>2521053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22664315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0.6475013986796464</v>
      </c>
      <c r="H28" s="73">
        <f t="shared" si="5"/>
        <v>0.45257857952461994</v>
      </c>
      <c r="I28" s="73">
        <f t="shared" si="5"/>
        <v>0.63990020720955409</v>
      </c>
      <c r="J28" s="73">
        <f t="shared" si="5"/>
        <v>0.69598012978472834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0.58887313893965132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580848</v>
      </c>
      <c r="H30" s="53">
        <v>737164</v>
      </c>
      <c r="I30" s="53">
        <v>782261</v>
      </c>
      <c r="J30" s="53">
        <v>748788</v>
      </c>
      <c r="K30" s="53">
        <v>823718</v>
      </c>
      <c r="L30" s="53">
        <v>672632</v>
      </c>
      <c r="M30" s="53">
        <v>481272</v>
      </c>
      <c r="N30" s="7">
        <f>SUM(B30:M30)</f>
        <v>8206032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216521</v>
      </c>
      <c r="H31" s="53">
        <v>230074</v>
      </c>
      <c r="I31" s="53">
        <v>214469</v>
      </c>
      <c r="J31" s="53">
        <v>191874</v>
      </c>
      <c r="K31" s="53">
        <v>249552</v>
      </c>
      <c r="L31" s="53">
        <v>214590</v>
      </c>
      <c r="M31" s="53">
        <v>210384</v>
      </c>
      <c r="N31" s="7">
        <f>SUM(B31:M31)</f>
        <v>2651316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797369</v>
      </c>
      <c r="H34" s="12">
        <f t="shared" si="6"/>
        <v>967238</v>
      </c>
      <c r="I34" s="12">
        <f t="shared" si="6"/>
        <v>996730</v>
      </c>
      <c r="J34" s="12">
        <f t="shared" si="6"/>
        <v>940662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10857348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1331199</v>
      </c>
      <c r="H37" s="66">
        <v>1469965</v>
      </c>
      <c r="I37" s="66">
        <v>1591079</v>
      </c>
      <c r="J37" s="66">
        <v>1526722</v>
      </c>
      <c r="K37" s="53">
        <v>1699036</v>
      </c>
      <c r="L37" s="53">
        <v>1429774</v>
      </c>
      <c r="M37" s="53">
        <v>1131406</v>
      </c>
      <c r="N37" s="7">
        <f>SUM(B37:M37)</f>
        <v>17432509</v>
      </c>
      <c r="O37" s="29"/>
    </row>
    <row r="38" spans="1:16" s="6" customFormat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-797369</v>
      </c>
      <c r="H38" s="7">
        <f t="shared" si="7"/>
        <v>-967238</v>
      </c>
      <c r="I38" s="7">
        <f t="shared" si="7"/>
        <v>-996730</v>
      </c>
      <c r="J38" s="7">
        <f t="shared" si="7"/>
        <v>-940662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-10857348</v>
      </c>
      <c r="O38" s="29"/>
    </row>
    <row r="39" spans="1:16" s="6" customFormat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73419</v>
      </c>
      <c r="G39" s="72">
        <v>-73419</v>
      </c>
      <c r="H39" s="72">
        <v>-73419</v>
      </c>
      <c r="I39" s="72">
        <v>-77993</v>
      </c>
      <c r="J39" s="72">
        <v>-80621</v>
      </c>
      <c r="K39" s="72">
        <v>-82780</v>
      </c>
      <c r="L39" s="72">
        <v>-82780</v>
      </c>
      <c r="M39" s="72">
        <v>-81945</v>
      </c>
      <c r="N39" s="7">
        <f>SUM(B39:M39)</f>
        <v>-632701</v>
      </c>
      <c r="O39" s="29"/>
    </row>
    <row r="40" spans="1:16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623238</v>
      </c>
      <c r="G42" s="12">
        <f t="shared" si="8"/>
        <v>450411</v>
      </c>
      <c r="H42" s="12">
        <f t="shared" si="8"/>
        <v>419308</v>
      </c>
      <c r="I42" s="12">
        <f t="shared" si="8"/>
        <v>506356</v>
      </c>
      <c r="J42" s="12">
        <f t="shared" si="8"/>
        <v>495139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5821560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301819</v>
      </c>
      <c r="H44" s="53">
        <v>303493</v>
      </c>
      <c r="I44" s="53">
        <v>379392</v>
      </c>
      <c r="J44" s="53">
        <v>328730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4387403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301819</v>
      </c>
      <c r="H46" s="12">
        <f t="shared" si="9"/>
        <v>303493</v>
      </c>
      <c r="I46" s="12">
        <f t="shared" si="9"/>
        <v>379392</v>
      </c>
      <c r="J46" s="12">
        <f t="shared" si="9"/>
        <v>328730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4387403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2648664</v>
      </c>
      <c r="G48" s="19">
        <f t="shared" si="10"/>
        <v>2415926</v>
      </c>
      <c r="H48" s="19">
        <f t="shared" si="10"/>
        <v>3986081</v>
      </c>
      <c r="I48" s="19">
        <f t="shared" si="10"/>
        <v>3087853</v>
      </c>
      <c r="J48" s="19">
        <f t="shared" si="10"/>
        <v>2865784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36889598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906888</v>
      </c>
      <c r="E50" s="12">
        <f t="shared" si="11"/>
        <v>531272</v>
      </c>
      <c r="F50" s="12">
        <f t="shared" si="11"/>
        <v>-300822</v>
      </c>
      <c r="G50" s="12">
        <f t="shared" si="11"/>
        <v>62222</v>
      </c>
      <c r="H50" s="12">
        <f t="shared" si="11"/>
        <v>212557</v>
      </c>
      <c r="I50" s="12">
        <f t="shared" si="11"/>
        <v>259493</v>
      </c>
      <c r="J50" s="12">
        <f t="shared" si="11"/>
        <v>756300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1624450</v>
      </c>
      <c r="O50" s="7">
        <f>+N50+N39+N41</f>
        <v>870849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30969</v>
      </c>
      <c r="H53" s="23">
        <v>110259</v>
      </c>
      <c r="I53" s="10">
        <v>168478</v>
      </c>
      <c r="J53" s="10">
        <v>31915</v>
      </c>
      <c r="K53" s="10">
        <v>10000</v>
      </c>
      <c r="L53" s="10">
        <v>10000</v>
      </c>
      <c r="M53" s="10">
        <v>265725</v>
      </c>
      <c r="N53" s="10">
        <f>SUM(B53:M53)</f>
        <v>702402</v>
      </c>
      <c r="O53" s="10">
        <v>930725</v>
      </c>
      <c r="P53" s="40">
        <f>+O53-N53</f>
        <v>228323</v>
      </c>
      <c r="Z53" s="40">
        <f>N53-P53+O53-N53</f>
        <v>702402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-235725</v>
      </c>
      <c r="H56" s="7">
        <v>-12112</v>
      </c>
      <c r="I56" s="7">
        <v>-10838</v>
      </c>
      <c r="J56" s="7">
        <v>-20083</v>
      </c>
      <c r="K56" s="7">
        <v>-20000</v>
      </c>
      <c r="L56" s="7">
        <v>-20000</v>
      </c>
      <c r="M56" s="7">
        <v>-25000</v>
      </c>
      <c r="N56" s="7">
        <f>SUM(B56:M56)</f>
        <v>-413367.11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752472</v>
      </c>
      <c r="H57" s="22">
        <v>-562011</v>
      </c>
      <c r="I57" s="22">
        <v>-225136</v>
      </c>
      <c r="J57" s="22">
        <v>-46312</v>
      </c>
      <c r="K57" s="22">
        <v>-25000</v>
      </c>
      <c r="L57" s="22">
        <v>-25000</v>
      </c>
      <c r="M57" s="22">
        <v>-25000</v>
      </c>
      <c r="N57" s="22">
        <f>SUM(B57:M57)</f>
        <v>282345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547716</v>
      </c>
      <c r="H58" s="19">
        <f>SUM(H53:H57)</f>
        <v>-463864</v>
      </c>
      <c r="I58" s="19">
        <f t="shared" si="12"/>
        <v>-67496</v>
      </c>
      <c r="J58" s="19">
        <f t="shared" si="12"/>
        <v>-34480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1009619.89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2660636</v>
      </c>
      <c r="G61" s="19">
        <f t="shared" si="13"/>
        <v>2963642</v>
      </c>
      <c r="H61" s="19">
        <f t="shared" si="13"/>
        <v>3522217</v>
      </c>
      <c r="I61" s="19">
        <f t="shared" si="13"/>
        <v>3020357</v>
      </c>
      <c r="J61" s="19">
        <f t="shared" si="13"/>
        <v>2831304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37899217.890000001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918364</v>
      </c>
      <c r="E62" s="30">
        <f t="shared" si="14"/>
        <v>-118094</v>
      </c>
      <c r="F62" s="30">
        <f t="shared" si="14"/>
        <v>-312794</v>
      </c>
      <c r="G62" s="30">
        <f t="shared" si="14"/>
        <v>-485494</v>
      </c>
      <c r="H62" s="30">
        <f t="shared" si="14"/>
        <v>676421</v>
      </c>
      <c r="I62" s="30">
        <f t="shared" si="14"/>
        <v>326989</v>
      </c>
      <c r="J62" s="30">
        <f t="shared" si="14"/>
        <v>790780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614830.1099999994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317938.10999999987</v>
      </c>
      <c r="E63" s="32">
        <f t="shared" si="15"/>
        <v>199844.10999999987</v>
      </c>
      <c r="F63" s="32">
        <f t="shared" si="15"/>
        <v>-112949.89000000013</v>
      </c>
      <c r="G63" s="32">
        <f t="shared" si="15"/>
        <v>-598443.89000000013</v>
      </c>
      <c r="H63" s="32">
        <f t="shared" si="15"/>
        <v>77977.10999999987</v>
      </c>
      <c r="I63" s="32">
        <f t="shared" si="15"/>
        <v>404966.10999999987</v>
      </c>
      <c r="J63" s="32">
        <f t="shared" si="15"/>
        <v>1195746.1099999999</v>
      </c>
      <c r="K63" s="12">
        <f t="shared" si="15"/>
        <v>1564189.1099999999</v>
      </c>
      <c r="L63" s="12">
        <f t="shared" si="15"/>
        <v>1674410.1099999999</v>
      </c>
      <c r="M63" s="12">
        <f t="shared" si="15"/>
        <v>614830.10999999987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14675479.109999999</v>
      </c>
      <c r="E64" s="12">
        <f t="shared" si="16"/>
        <v>14557385.109999999</v>
      </c>
      <c r="F64" s="12">
        <f t="shared" si="16"/>
        <v>14244591.109999999</v>
      </c>
      <c r="G64" s="12">
        <f t="shared" si="16"/>
        <v>13759097.109999999</v>
      </c>
      <c r="H64" s="12">
        <f t="shared" si="16"/>
        <v>14435518.109999999</v>
      </c>
      <c r="I64" s="12">
        <f t="shared" si="16"/>
        <v>14762507.109999999</v>
      </c>
      <c r="J64" s="12">
        <f t="shared" si="16"/>
        <v>15553287.109999999</v>
      </c>
      <c r="K64" s="12">
        <f t="shared" si="16"/>
        <v>15921730.109999999</v>
      </c>
      <c r="L64" s="12">
        <f t="shared" si="16"/>
        <v>16031951.109999999</v>
      </c>
      <c r="M64" s="12">
        <f t="shared" si="16"/>
        <v>14972371.109999999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-229791</v>
      </c>
      <c r="E72" s="31">
        <f t="shared" si="18"/>
        <v>-701250</v>
      </c>
      <c r="F72" s="31">
        <f t="shared" si="18"/>
        <v>-186942</v>
      </c>
      <c r="G72" s="31">
        <f t="shared" si="18"/>
        <v>-447804</v>
      </c>
      <c r="H72" s="31">
        <f t="shared" si="18"/>
        <v>575752</v>
      </c>
      <c r="I72" s="31">
        <f t="shared" si="18"/>
        <v>-455429</v>
      </c>
      <c r="J72" s="31">
        <f t="shared" si="18"/>
        <v>455438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733624.10999999987</v>
      </c>
      <c r="E73" s="31">
        <f t="shared" si="18"/>
        <v>32374.10999999987</v>
      </c>
      <c r="F73" s="31">
        <f t="shared" si="18"/>
        <v>-154567.89000000013</v>
      </c>
      <c r="G73" s="31">
        <f t="shared" si="18"/>
        <v>-602371.89000000013</v>
      </c>
      <c r="H73" s="31">
        <f t="shared" si="18"/>
        <v>-26619.89000000013</v>
      </c>
      <c r="I73" s="31">
        <f t="shared" si="18"/>
        <v>-482048.89000000013</v>
      </c>
      <c r="J73" s="31">
        <f t="shared" si="18"/>
        <v>-26610.89000000013</v>
      </c>
      <c r="K73" s="31">
        <f t="shared" si="18"/>
        <v>-26610.89000000013</v>
      </c>
      <c r="L73" s="31">
        <f t="shared" si="18"/>
        <v>-26610.89000000013</v>
      </c>
      <c r="M73" s="31">
        <f t="shared" si="18"/>
        <v>-26610.89000000013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733624.1099999994</v>
      </c>
      <c r="E74" s="16">
        <f t="shared" si="18"/>
        <v>32374.109999999404</v>
      </c>
      <c r="F74" s="16">
        <f t="shared" si="18"/>
        <v>-154567.8900000006</v>
      </c>
      <c r="G74" s="16">
        <f t="shared" si="18"/>
        <v>-602371.8900000006</v>
      </c>
      <c r="H74" s="16">
        <f t="shared" si="18"/>
        <v>-26619.890000000596</v>
      </c>
      <c r="I74" s="16">
        <f t="shared" si="18"/>
        <v>-482048.8900000006</v>
      </c>
      <c r="J74" s="16">
        <f t="shared" si="18"/>
        <v>-26610.890000000596</v>
      </c>
      <c r="K74" s="16">
        <f t="shared" si="18"/>
        <v>-26610.890000000596</v>
      </c>
      <c r="L74" s="16">
        <f t="shared" si="18"/>
        <v>-26610.890000000596</v>
      </c>
      <c r="M74" s="16">
        <f t="shared" si="18"/>
        <v>-26610.890000000596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>
        <v>12112.349999999999</v>
      </c>
      <c r="I77" s="86"/>
      <c r="J77" s="85">
        <v>562010.51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March 2019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R101"/>
  <sheetViews>
    <sheetView showGridLines="0" workbookViewId="0">
      <pane xSplit="1" ySplit="3" topLeftCell="B20" activePane="bottomRight" state="frozen"/>
      <selection pane="topRight" activeCell="B2" sqref="B2:N2"/>
      <selection pane="bottomLeft" activeCell="B2" sqref="B2:N2"/>
      <selection pane="bottomRight" activeCell="B2" sqref="B2:N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80</v>
      </c>
      <c r="E1" s="6"/>
      <c r="F1" s="6"/>
      <c r="J1" s="6"/>
      <c r="K1" s="6"/>
      <c r="N1" s="3"/>
    </row>
    <row r="2" spans="1:15">
      <c r="B2" s="45" t="s">
        <v>24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5060173.2426346</v>
      </c>
      <c r="D5" s="53">
        <v>3867423.1893872898</v>
      </c>
      <c r="E5" s="53">
        <v>3550580.4606545898</v>
      </c>
      <c r="F5" s="53">
        <v>2491408.6501843799</v>
      </c>
      <c r="G5" s="53">
        <v>2443225.8391503901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36617683.270043597</v>
      </c>
    </row>
    <row r="6" spans="1:15" s="6" customFormat="1" hidden="1">
      <c r="A6" s="6" t="s">
        <v>29</v>
      </c>
      <c r="B6" s="53">
        <v>54104</v>
      </c>
      <c r="C6" s="53">
        <v>52425.4469151991</v>
      </c>
      <c r="D6" s="53">
        <v>271703.80474306311</v>
      </c>
      <c r="E6" s="53">
        <v>142644.5744343327</v>
      </c>
      <c r="F6" s="53">
        <v>68608.629526434102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1492414.8257351469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5112598.6895497991</v>
      </c>
      <c r="D9" s="12">
        <f t="shared" si="0"/>
        <v>4139126.994130353</v>
      </c>
      <c r="E9" s="12">
        <f t="shared" si="0"/>
        <v>3693225.0350889224</v>
      </c>
      <c r="F9" s="12">
        <f t="shared" si="0"/>
        <v>2560017.2797108139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38110098.095778741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7663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5112598.6895497991</v>
      </c>
      <c r="D13" s="14">
        <f t="shared" si="1"/>
        <v>4139126.994130353</v>
      </c>
      <c r="E13" s="14">
        <f t="shared" si="1"/>
        <v>3693225.0350889224</v>
      </c>
      <c r="F13" s="14">
        <f t="shared" si="1"/>
        <v>2560017.2797108139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38117761.095778741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3202896.3367236801</v>
      </c>
      <c r="D16" s="53">
        <v>1740899.3395841799</v>
      </c>
      <c r="E16" s="53">
        <v>1339199.27059646</v>
      </c>
      <c r="F16" s="53">
        <v>920442.29592504795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17024251.983628441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3202896.3367236801</v>
      </c>
      <c r="D20" s="12">
        <f t="shared" si="2"/>
        <v>1740899.3395841799</v>
      </c>
      <c r="E20" s="12">
        <f t="shared" si="2"/>
        <v>1339199.27059646</v>
      </c>
      <c r="F20" s="12">
        <f t="shared" si="2"/>
        <v>920442.29592504795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17024251.983628441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1857276.9059109199</v>
      </c>
      <c r="D23" s="7">
        <f t="shared" si="3"/>
        <v>2126523.8498031097</v>
      </c>
      <c r="E23" s="7">
        <f t="shared" si="3"/>
        <v>2211381.1900581298</v>
      </c>
      <c r="F23" s="7">
        <f t="shared" si="3"/>
        <v>1570966.3542593319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19593431.28641516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52425.4469151991</v>
      </c>
      <c r="D24" s="7">
        <f t="shared" si="3"/>
        <v>271703.80474306311</v>
      </c>
      <c r="E24" s="7">
        <f t="shared" si="3"/>
        <v>142644.5744343327</v>
      </c>
      <c r="F24" s="7">
        <f t="shared" si="3"/>
        <v>68608.629526434102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1492414.8257351469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1909702.3528261189</v>
      </c>
      <c r="D27" s="12">
        <f t="shared" si="4"/>
        <v>2398227.6545461728</v>
      </c>
      <c r="E27" s="12">
        <f t="shared" si="4"/>
        <v>2354025.7644924624</v>
      </c>
      <c r="F27" s="12">
        <f t="shared" si="4"/>
        <v>1639574.9837857659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21085846.112150308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558175.27599569201</v>
      </c>
      <c r="D30" s="53">
        <v>653262.22071265604</v>
      </c>
      <c r="E30" s="53">
        <v>759539.17956081894</v>
      </c>
      <c r="F30" s="53">
        <v>592548.56023265596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7256809.4591667373</v>
      </c>
    </row>
    <row r="31" spans="1:44" s="6" customFormat="1" hidden="1">
      <c r="A31" s="6" t="s">
        <v>42</v>
      </c>
      <c r="B31" s="53">
        <v>216187</v>
      </c>
      <c r="C31" s="53">
        <v>195291.749597088</v>
      </c>
      <c r="D31" s="53">
        <v>199695.750264748</v>
      </c>
      <c r="E31" s="53">
        <v>226217.130576158</v>
      </c>
      <c r="F31" s="53">
        <v>194628.20504591099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2447658.0329899229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753467.02559277997</v>
      </c>
      <c r="D34" s="12">
        <f t="shared" si="7"/>
        <v>852957.97097740404</v>
      </c>
      <c r="E34" s="12">
        <f t="shared" si="7"/>
        <v>985756.31013697688</v>
      </c>
      <c r="F34" s="12">
        <f t="shared" si="7"/>
        <v>787176.76527856698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9704467.4921566602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1280895.4690940941</v>
      </c>
      <c r="D37" s="53">
        <v>1577505.2299712123</v>
      </c>
      <c r="E37" s="53">
        <v>1621576.5698087905</v>
      </c>
      <c r="F37" s="53">
        <v>1397109.5265258201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16463469.150633194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-753467.02559277997</v>
      </c>
      <c r="D38" s="7">
        <f t="shared" si="8"/>
        <v>-852957.97097740404</v>
      </c>
      <c r="E38" s="7">
        <f t="shared" si="8"/>
        <v>-985756.31013697688</v>
      </c>
      <c r="F38" s="7">
        <f t="shared" si="8"/>
        <v>-787176.76527856698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-9704467.4921566602</v>
      </c>
    </row>
    <row r="39" spans="1:44" s="6" customFormat="1" hidden="1">
      <c r="A39" s="6" t="s">
        <v>47</v>
      </c>
      <c r="B39" s="53">
        <v>-73369</v>
      </c>
      <c r="C39" s="53">
        <v>-75707.591666666602</v>
      </c>
      <c r="D39" s="53">
        <v>-75677.401666666599</v>
      </c>
      <c r="E39" s="53">
        <v>-84889.941666666593</v>
      </c>
      <c r="F39" s="53">
        <v>-84889.941666666593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>
        <v>10663.666666666668</v>
      </c>
      <c r="C40" s="53">
        <v>10663.666666666668</v>
      </c>
      <c r="D40" s="53">
        <v>10663.666666666668</v>
      </c>
      <c r="E40" s="53">
        <v>10663.666666666668</v>
      </c>
      <c r="F40" s="53">
        <v>10663.666666666668</v>
      </c>
      <c r="G40" s="53">
        <v>10663.666666666668</v>
      </c>
      <c r="H40" s="53">
        <v>10663.666666666668</v>
      </c>
      <c r="I40" s="53">
        <v>10663.666666666668</v>
      </c>
      <c r="J40" s="53">
        <v>10963.666666666668</v>
      </c>
      <c r="K40" s="53">
        <v>10863.666666666668</v>
      </c>
      <c r="L40" s="53">
        <v>10963.666666666668</v>
      </c>
      <c r="M40" s="53">
        <v>10663.666666666668</v>
      </c>
      <c r="N40" s="7">
        <f>SUM(B40:M40)</f>
        <v>128764.00000000004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274898</v>
      </c>
      <c r="C42" s="12">
        <f t="shared" si="9"/>
        <v>451720.85183464753</v>
      </c>
      <c r="D42" s="12">
        <f t="shared" si="9"/>
        <v>648869.85732714157</v>
      </c>
      <c r="E42" s="12">
        <f t="shared" si="9"/>
        <v>550930.31800514681</v>
      </c>
      <c r="F42" s="12">
        <f t="shared" si="9"/>
        <v>525042.81958058651</v>
      </c>
      <c r="G42" s="12">
        <f t="shared" si="9"/>
        <v>533166.81105753558</v>
      </c>
      <c r="H42" s="12">
        <f t="shared" si="9"/>
        <v>435241.43693888182</v>
      </c>
      <c r="I42" s="12">
        <f t="shared" si="9"/>
        <v>499557.47059148696</v>
      </c>
      <c r="J42" s="12">
        <f t="shared" si="9"/>
        <v>547160.58831208444</v>
      </c>
      <c r="K42" s="12">
        <f t="shared" si="9"/>
        <v>488530.10439707123</v>
      </c>
      <c r="L42" s="12">
        <f t="shared" si="9"/>
        <v>473635.43207101931</v>
      </c>
      <c r="M42" s="12">
        <f t="shared" si="9"/>
        <v>361436.97669426404</v>
      </c>
      <c r="N42" s="12">
        <f t="shared" si="9"/>
        <v>5787195.2051432002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275080.11564446817</v>
      </c>
      <c r="D44" s="53">
        <v>333220.85264446813</v>
      </c>
      <c r="E44" s="53">
        <v>325654.34176216874</v>
      </c>
      <c r="F44" s="53">
        <v>309928.67264446814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4124958.8524519308</v>
      </c>
      <c r="O44" s="6"/>
    </row>
    <row r="45" spans="1:44" hidden="1">
      <c r="A45" s="6" t="s">
        <v>51</v>
      </c>
      <c r="B45" s="22">
        <v>0</v>
      </c>
      <c r="C45" s="22">
        <v>-5000</v>
      </c>
      <c r="D45" s="22">
        <v>-5000</v>
      </c>
      <c r="E45" s="22">
        <v>-5000</v>
      </c>
      <c r="F45" s="22">
        <v>-5000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-55000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270080.11564446817</v>
      </c>
      <c r="D46" s="12">
        <f t="shared" ref="D46:N46" si="10">SUM(D44:D45)</f>
        <v>328220.85264446813</v>
      </c>
      <c r="E46" s="12">
        <f t="shared" si="10"/>
        <v>320654.34176216874</v>
      </c>
      <c r="F46" s="12">
        <f t="shared" si="10"/>
        <v>304928.67264446814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4069958.8524519308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1779612</v>
      </c>
      <c r="C48" s="19">
        <f t="shared" si="11"/>
        <v>4678164.3297955757</v>
      </c>
      <c r="D48" s="19">
        <f t="shared" si="11"/>
        <v>3570948.0205331934</v>
      </c>
      <c r="E48" s="19">
        <f t="shared" si="11"/>
        <v>3196540.2405007528</v>
      </c>
      <c r="F48" s="19">
        <f t="shared" si="11"/>
        <v>2537590.5534286695</v>
      </c>
      <c r="G48" s="19">
        <f t="shared" si="11"/>
        <v>2705129.6115950304</v>
      </c>
      <c r="H48" s="19">
        <f t="shared" si="11"/>
        <v>4296767.8048361419</v>
      </c>
      <c r="I48" s="19">
        <f t="shared" si="11"/>
        <v>2953341.5134643381</v>
      </c>
      <c r="J48" s="19">
        <f t="shared" si="11"/>
        <v>2861261.6887970995</v>
      </c>
      <c r="K48" s="19">
        <f t="shared" si="11"/>
        <v>2780369.393946989</v>
      </c>
      <c r="L48" s="19">
        <f t="shared" si="11"/>
        <v>2778876.1588696693</v>
      </c>
      <c r="M48" s="19">
        <f t="shared" si="11"/>
        <v>2450267.6792794396</v>
      </c>
      <c r="N48" s="19">
        <f t="shared" si="11"/>
        <v>36585873.533380225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-518363</v>
      </c>
      <c r="C50" s="12">
        <f t="shared" si="12"/>
        <v>434434.35975422338</v>
      </c>
      <c r="D50" s="12">
        <f t="shared" si="12"/>
        <v>568178.97359715961</v>
      </c>
      <c r="E50" s="12">
        <f t="shared" si="12"/>
        <v>496684.79458816955</v>
      </c>
      <c r="F50" s="12">
        <f t="shared" si="12"/>
        <v>22426.726282144431</v>
      </c>
      <c r="G50" s="12">
        <f t="shared" si="12"/>
        <v>-181366.28224246856</v>
      </c>
      <c r="H50" s="12">
        <f t="shared" si="12"/>
        <v>188975.42496307939</v>
      </c>
      <c r="I50" s="12">
        <f t="shared" si="12"/>
        <v>352216.92879612185</v>
      </c>
      <c r="J50" s="12">
        <f t="shared" si="12"/>
        <v>434952.60870434204</v>
      </c>
      <c r="K50" s="12">
        <f t="shared" si="12"/>
        <v>188695.443523027</v>
      </c>
      <c r="L50" s="12">
        <f t="shared" si="12"/>
        <v>409384.12303474871</v>
      </c>
      <c r="M50" s="12">
        <f t="shared" si="12"/>
        <v>-867328.0002686996</v>
      </c>
      <c r="N50" s="12">
        <f>SUM(B50:M50)</f>
        <v>1528892.1007318478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20000</v>
      </c>
      <c r="D53" s="10">
        <v>10000</v>
      </c>
      <c r="E53" s="10">
        <v>44355</v>
      </c>
      <c r="F53" s="10">
        <v>186840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1401177</v>
      </c>
      <c r="P53" s="40"/>
    </row>
    <row r="54" spans="1:17" s="6" customFormat="1">
      <c r="A54" s="6" t="s">
        <v>56</v>
      </c>
      <c r="B54" s="10"/>
      <c r="C54" s="10"/>
      <c r="D54" s="10">
        <v>-520000</v>
      </c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-425000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v>-8000</v>
      </c>
      <c r="D56" s="7">
        <v>-8000</v>
      </c>
      <c r="E56" s="7">
        <v>-8000</v>
      </c>
      <c r="F56" s="7">
        <v>-8000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-118129</v>
      </c>
      <c r="P56" s="56"/>
    </row>
    <row r="57" spans="1:17" s="6" customFormat="1">
      <c r="A57" s="6" t="s">
        <v>59</v>
      </c>
      <c r="B57" s="22">
        <v>-262370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-537370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37000</v>
      </c>
      <c r="D58" s="19">
        <f t="shared" si="13"/>
        <v>-493000</v>
      </c>
      <c r="E58" s="19">
        <f t="shared" si="13"/>
        <v>61355</v>
      </c>
      <c r="F58" s="19">
        <f t="shared" si="13"/>
        <v>298840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1048990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1794407</v>
      </c>
      <c r="C61" s="19">
        <f t="shared" si="14"/>
        <v>4715164.3297955757</v>
      </c>
      <c r="D61" s="19">
        <f t="shared" si="14"/>
        <v>3077948.0205331934</v>
      </c>
      <c r="E61" s="19">
        <f t="shared" si="14"/>
        <v>3257895.2405007528</v>
      </c>
      <c r="F61" s="19">
        <f t="shared" si="14"/>
        <v>2836430.5534286695</v>
      </c>
      <c r="G61" s="19">
        <f t="shared" si="14"/>
        <v>2924129.6115950304</v>
      </c>
      <c r="H61" s="19">
        <f t="shared" si="14"/>
        <v>4510767.8048361419</v>
      </c>
      <c r="I61" s="19">
        <f t="shared" si="14"/>
        <v>3112341.5134643381</v>
      </c>
      <c r="J61" s="19">
        <f t="shared" si="14"/>
        <v>2996261.6887970995</v>
      </c>
      <c r="K61" s="19">
        <f t="shared" si="14"/>
        <v>2796369.393946989</v>
      </c>
      <c r="L61" s="19">
        <f t="shared" si="14"/>
        <v>2744876.1588696693</v>
      </c>
      <c r="M61" s="19">
        <f t="shared" si="14"/>
        <v>2871267.6792794396</v>
      </c>
      <c r="N61" s="19">
        <f t="shared" si="14"/>
        <v>37634863.533380225</v>
      </c>
      <c r="O61" s="6"/>
    </row>
    <row r="62" spans="1:17" ht="13.5" thickBot="1">
      <c r="A62" s="13" t="s">
        <v>63</v>
      </c>
      <c r="B62" s="30">
        <f t="shared" ref="B62:N62" si="15">+B13-B61</f>
        <v>-533158</v>
      </c>
      <c r="C62" s="14">
        <f t="shared" si="15"/>
        <v>397434.35975422338</v>
      </c>
      <c r="D62" s="14">
        <f t="shared" si="15"/>
        <v>1061178.9735971596</v>
      </c>
      <c r="E62" s="14">
        <f t="shared" si="15"/>
        <v>435329.79458816955</v>
      </c>
      <c r="F62" s="14">
        <f t="shared" si="15"/>
        <v>-276413.27371785557</v>
      </c>
      <c r="G62" s="14">
        <f t="shared" si="15"/>
        <v>-400366.28224246856</v>
      </c>
      <c r="H62" s="14">
        <f t="shared" si="15"/>
        <v>-25024.575036920607</v>
      </c>
      <c r="I62" s="14">
        <f t="shared" si="15"/>
        <v>193216.92879612185</v>
      </c>
      <c r="J62" s="14">
        <f t="shared" si="15"/>
        <v>299952.60870434204</v>
      </c>
      <c r="K62" s="14">
        <f t="shared" si="15"/>
        <v>172695.443523027</v>
      </c>
      <c r="L62" s="14">
        <f t="shared" si="15"/>
        <v>443384.12303474871</v>
      </c>
      <c r="M62" s="14">
        <f t="shared" si="15"/>
        <v>-1288328.0002686996</v>
      </c>
      <c r="N62" s="14">
        <f t="shared" si="15"/>
        <v>482897.56239851564</v>
      </c>
      <c r="O62" s="6"/>
      <c r="P62" s="25"/>
    </row>
    <row r="63" spans="1:17" s="6" customFormat="1" ht="13.5" thickTop="1">
      <c r="A63" s="13" t="s">
        <v>64</v>
      </c>
      <c r="B63" s="32">
        <f>+B62</f>
        <v>-533158</v>
      </c>
      <c r="C63" s="12">
        <f t="shared" ref="C63:M63" si="16">B63+C62</f>
        <v>-135723.64024577662</v>
      </c>
      <c r="D63" s="12">
        <f t="shared" si="16"/>
        <v>925455.33335138299</v>
      </c>
      <c r="E63" s="12">
        <f t="shared" si="16"/>
        <v>1360785.1279395525</v>
      </c>
      <c r="F63" s="12">
        <f t="shared" si="16"/>
        <v>1084371.854221697</v>
      </c>
      <c r="G63" s="12">
        <f t="shared" si="16"/>
        <v>684005.57197922841</v>
      </c>
      <c r="H63" s="12">
        <f t="shared" si="16"/>
        <v>658980.9969423078</v>
      </c>
      <c r="I63" s="12">
        <f t="shared" si="16"/>
        <v>852197.92573842965</v>
      </c>
      <c r="J63" s="12">
        <f t="shared" si="16"/>
        <v>1152150.5344427717</v>
      </c>
      <c r="K63" s="12">
        <f t="shared" si="16"/>
        <v>1324845.9779657987</v>
      </c>
      <c r="L63" s="12">
        <f t="shared" si="16"/>
        <v>1768230.1010005474</v>
      </c>
      <c r="M63" s="12">
        <f t="shared" si="16"/>
        <v>479902.10073184781</v>
      </c>
      <c r="N63" s="12"/>
    </row>
    <row r="64" spans="1:17">
      <c r="A64" s="13" t="s">
        <v>65</v>
      </c>
      <c r="B64" s="12">
        <f t="shared" ref="B64:M64" si="17">+$B$60+B63</f>
        <v>10457337</v>
      </c>
      <c r="C64" s="12">
        <f t="shared" si="17"/>
        <v>10854771.359754223</v>
      </c>
      <c r="D64" s="12">
        <f t="shared" si="17"/>
        <v>11915950.333351383</v>
      </c>
      <c r="E64" s="12">
        <f t="shared" si="17"/>
        <v>12351280.127939552</v>
      </c>
      <c r="F64" s="12">
        <f t="shared" si="17"/>
        <v>12074866.854221698</v>
      </c>
      <c r="G64" s="12">
        <f t="shared" si="17"/>
        <v>11674500.571979228</v>
      </c>
      <c r="H64" s="12">
        <f t="shared" si="17"/>
        <v>11649475.996942308</v>
      </c>
      <c r="I64" s="12">
        <f t="shared" si="17"/>
        <v>11842692.92573843</v>
      </c>
      <c r="J64" s="12">
        <f t="shared" si="17"/>
        <v>12142645.534442771</v>
      </c>
      <c r="K64" s="12">
        <f t="shared" si="17"/>
        <v>12315340.977965798</v>
      </c>
      <c r="L64" s="12">
        <f t="shared" si="17"/>
        <v>12758725.101000547</v>
      </c>
      <c r="M64" s="12">
        <f t="shared" si="17"/>
        <v>11470397.100731848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390549.19930042047</v>
      </c>
      <c r="C72" s="16">
        <f t="shared" si="18"/>
        <v>-10663.666666666977</v>
      </c>
      <c r="D72" s="16">
        <f t="shared" si="18"/>
        <v>-10663.666666666511</v>
      </c>
      <c r="E72" s="16">
        <f t="shared" si="18"/>
        <v>-10663.666666666511</v>
      </c>
      <c r="F72" s="16">
        <f t="shared" si="18"/>
        <v>-10663.666666666511</v>
      </c>
      <c r="G72" s="16">
        <f t="shared" si="18"/>
        <v>-10663.666666666511</v>
      </c>
      <c r="H72" s="16">
        <f t="shared" si="18"/>
        <v>-10663.666666666977</v>
      </c>
      <c r="I72" s="16">
        <f t="shared" si="18"/>
        <v>-10663.666666666511</v>
      </c>
      <c r="J72" s="16">
        <f t="shared" si="18"/>
        <v>-10963.666666666511</v>
      </c>
      <c r="K72" s="16">
        <f t="shared" si="18"/>
        <v>-10863.666666666511</v>
      </c>
      <c r="L72" s="16">
        <f t="shared" si="18"/>
        <v>-10963.666666666977</v>
      </c>
      <c r="M72" s="16">
        <f t="shared" si="18"/>
        <v>-10663.666666666511</v>
      </c>
      <c r="N72" s="6"/>
      <c r="O72" s="6"/>
      <c r="P72" s="16">
        <f>+N62-N67</f>
        <v>482897.56239851564</v>
      </c>
    </row>
    <row r="73" spans="1:16" s="6" customFormat="1">
      <c r="A73" s="13" t="s">
        <v>64</v>
      </c>
      <c r="B73" s="16">
        <f t="shared" si="18"/>
        <v>390549.19930042047</v>
      </c>
      <c r="C73" s="16">
        <f t="shared" si="18"/>
        <v>379885.53263375349</v>
      </c>
      <c r="D73" s="16">
        <f t="shared" si="18"/>
        <v>369221.86596708698</v>
      </c>
      <c r="E73" s="16">
        <f t="shared" si="18"/>
        <v>358558.19930042047</v>
      </c>
      <c r="F73" s="16">
        <f t="shared" si="18"/>
        <v>347894.53263375396</v>
      </c>
      <c r="G73" s="16">
        <f t="shared" si="18"/>
        <v>337230.86596708745</v>
      </c>
      <c r="H73" s="16">
        <f t="shared" si="18"/>
        <v>326567.19930042047</v>
      </c>
      <c r="I73" s="16">
        <f t="shared" si="18"/>
        <v>315903.53263375396</v>
      </c>
      <c r="J73" s="16">
        <f t="shared" si="18"/>
        <v>304939.86596708745</v>
      </c>
      <c r="K73" s="16">
        <f t="shared" si="18"/>
        <v>294076.19930042094</v>
      </c>
      <c r="L73" s="16">
        <f t="shared" si="18"/>
        <v>283112.53263375396</v>
      </c>
      <c r="M73" s="16">
        <f t="shared" si="18"/>
        <v>272448.86596708745</v>
      </c>
      <c r="N73" s="16">
        <f t="shared" si="18"/>
        <v>0</v>
      </c>
    </row>
    <row r="74" spans="1:16">
      <c r="A74" s="1" t="s">
        <v>65</v>
      </c>
      <c r="B74" s="16">
        <f t="shared" si="18"/>
        <v>390549.19930041954</v>
      </c>
      <c r="C74" s="16">
        <f t="shared" si="18"/>
        <v>379885.53263375349</v>
      </c>
      <c r="D74" s="16">
        <f t="shared" si="18"/>
        <v>369221.86596708745</v>
      </c>
      <c r="E74" s="16">
        <f t="shared" si="18"/>
        <v>358558.19930041954</v>
      </c>
      <c r="F74" s="16">
        <f t="shared" si="18"/>
        <v>347894.53263375536</v>
      </c>
      <c r="G74" s="16">
        <f t="shared" si="18"/>
        <v>337230.86596708745</v>
      </c>
      <c r="H74" s="16">
        <f t="shared" si="18"/>
        <v>326567.19930041954</v>
      </c>
      <c r="I74" s="16">
        <f t="shared" si="18"/>
        <v>315903.53263375349</v>
      </c>
      <c r="J74" s="16">
        <f t="shared" si="18"/>
        <v>304939.86596708745</v>
      </c>
      <c r="K74" s="16">
        <f t="shared" si="18"/>
        <v>294076.19930041954</v>
      </c>
      <c r="L74" s="16">
        <f t="shared" si="18"/>
        <v>283112.53263375349</v>
      </c>
      <c r="M74" s="16">
        <f t="shared" si="18"/>
        <v>272448.86596708745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0</v>
      </c>
      <c r="C82" s="47">
        <v>101000</v>
      </c>
      <c r="D82" s="47">
        <v>23668</v>
      </c>
      <c r="E82" s="47">
        <v>80000</v>
      </c>
      <c r="F82" s="47">
        <v>184679</v>
      </c>
      <c r="G82" s="10">
        <v>42500</v>
      </c>
      <c r="H82" s="54">
        <v>97000</v>
      </c>
      <c r="I82" s="47">
        <v>5000</v>
      </c>
      <c r="J82" s="47">
        <v>0</v>
      </c>
      <c r="K82" s="47">
        <v>185000</v>
      </c>
      <c r="L82" s="47">
        <v>0</v>
      </c>
      <c r="M82" s="47">
        <v>175000</v>
      </c>
      <c r="N82" s="7">
        <f>SUM(B82:M82)</f>
        <v>893847</v>
      </c>
    </row>
    <row r="83" spans="1:14">
      <c r="A83" s="33" t="s">
        <v>71</v>
      </c>
      <c r="B83" s="2">
        <f>+B82</f>
        <v>0</v>
      </c>
      <c r="C83" s="2">
        <f>+B83+C82</f>
        <v>101000</v>
      </c>
      <c r="D83" s="2">
        <f t="shared" ref="D83:M83" si="19">+C83+D82</f>
        <v>124668</v>
      </c>
      <c r="E83" s="7">
        <f t="shared" si="19"/>
        <v>204668</v>
      </c>
      <c r="F83" s="2">
        <f t="shared" si="19"/>
        <v>389347</v>
      </c>
      <c r="G83" s="7">
        <f t="shared" si="19"/>
        <v>431847</v>
      </c>
      <c r="H83" s="2">
        <f t="shared" si="19"/>
        <v>528847</v>
      </c>
      <c r="I83" s="2">
        <f t="shared" si="19"/>
        <v>533847</v>
      </c>
      <c r="J83" s="7">
        <f t="shared" si="19"/>
        <v>533847</v>
      </c>
      <c r="K83" s="2">
        <f t="shared" si="19"/>
        <v>718847</v>
      </c>
      <c r="L83" s="2">
        <f t="shared" si="19"/>
        <v>718847</v>
      </c>
      <c r="M83" s="2">
        <f t="shared" si="19"/>
        <v>893847</v>
      </c>
    </row>
    <row r="84" spans="1:14">
      <c r="A84" s="33" t="s">
        <v>72</v>
      </c>
      <c r="B84" s="7">
        <f>+B53</f>
        <v>24982</v>
      </c>
      <c r="C84" s="7">
        <f>SUM($B53:C53)</f>
        <v>44982</v>
      </c>
      <c r="D84" s="7">
        <f>SUM($B53:D53)</f>
        <v>54982</v>
      </c>
      <c r="E84" s="7">
        <f>SUM($B53:E53)</f>
        <v>99337</v>
      </c>
      <c r="F84" s="7">
        <f>SUM($B53:F53)</f>
        <v>286177</v>
      </c>
      <c r="G84" s="7">
        <f>SUM($B53:G53)</f>
        <v>488177</v>
      </c>
      <c r="H84" s="7">
        <f>SUM(B53:H53)</f>
        <v>685177</v>
      </c>
      <c r="I84" s="7">
        <f>SUM(B53:I53)</f>
        <v>827177</v>
      </c>
      <c r="J84" s="7">
        <f>SUM(B53:J53)</f>
        <v>946177</v>
      </c>
      <c r="K84" s="7">
        <f>SUM(B53:K53)</f>
        <v>946177</v>
      </c>
      <c r="L84" s="7">
        <f>SUM(B53:L53)</f>
        <v>946177</v>
      </c>
      <c r="M84" s="7">
        <f>SUM(B53:M53)</f>
        <v>1401177</v>
      </c>
    </row>
    <row r="85" spans="1:14">
      <c r="A85" s="33" t="s">
        <v>73</v>
      </c>
      <c r="B85" s="7">
        <f t="shared" ref="B85:G85" si="20">+B83-B84</f>
        <v>-24982</v>
      </c>
      <c r="C85" s="7">
        <f t="shared" si="20"/>
        <v>56018</v>
      </c>
      <c r="D85" s="7">
        <f t="shared" si="20"/>
        <v>69686</v>
      </c>
      <c r="E85" s="7">
        <f t="shared" si="20"/>
        <v>105331</v>
      </c>
      <c r="F85" s="7">
        <f t="shared" si="20"/>
        <v>103170</v>
      </c>
      <c r="G85" s="7">
        <f t="shared" si="20"/>
        <v>-56330</v>
      </c>
      <c r="H85" s="7">
        <f t="shared" ref="H85:M85" si="21">+H83-H84</f>
        <v>-156330</v>
      </c>
      <c r="I85" s="7">
        <f t="shared" si="21"/>
        <v>-293330</v>
      </c>
      <c r="J85" s="7">
        <f t="shared" si="21"/>
        <v>-412330</v>
      </c>
      <c r="K85" s="7">
        <f t="shared" si="21"/>
        <v>-227330</v>
      </c>
      <c r="L85" s="7">
        <f t="shared" si="21"/>
        <v>-227330</v>
      </c>
      <c r="M85" s="7">
        <f t="shared" si="21"/>
        <v>-507330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33000</v>
      </c>
      <c r="D87" s="35">
        <f t="shared" si="22"/>
        <v>33000</v>
      </c>
      <c r="E87" s="35">
        <f t="shared" si="22"/>
        <v>33000</v>
      </c>
      <c r="F87" s="35">
        <f t="shared" si="22"/>
        <v>33000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655499</v>
      </c>
    </row>
    <row r="88" spans="1:14">
      <c r="C88" s="35">
        <f>+B87+C87</f>
        <v>321499</v>
      </c>
      <c r="D88" s="35">
        <f>+C88+D87</f>
        <v>354499</v>
      </c>
      <c r="E88" s="35">
        <f t="shared" ref="E88:M88" si="23">+D88+E87</f>
        <v>387499</v>
      </c>
      <c r="F88" s="35">
        <f t="shared" si="23"/>
        <v>420499</v>
      </c>
      <c r="G88" s="40">
        <f t="shared" si="23"/>
        <v>453499</v>
      </c>
      <c r="H88" s="35">
        <f t="shared" si="23"/>
        <v>486499</v>
      </c>
      <c r="I88" s="40">
        <f t="shared" si="23"/>
        <v>519499</v>
      </c>
      <c r="J88" s="40">
        <f t="shared" si="23"/>
        <v>553499</v>
      </c>
      <c r="K88" s="40">
        <f t="shared" si="23"/>
        <v>587499</v>
      </c>
      <c r="L88" s="35">
        <f t="shared" si="23"/>
        <v>621499</v>
      </c>
      <c r="M88" s="35">
        <f t="shared" si="23"/>
        <v>655499</v>
      </c>
    </row>
    <row r="89" spans="1:14">
      <c r="K89" s="6"/>
    </row>
    <row r="91" spans="1:14">
      <c r="B91" s="6"/>
      <c r="C91" s="6"/>
      <c r="D91" s="6"/>
      <c r="E91" s="6"/>
    </row>
    <row r="92" spans="1:14">
      <c r="B92" s="21">
        <v>48198</v>
      </c>
      <c r="C92" s="21">
        <v>109945</v>
      </c>
      <c r="D92" s="36">
        <v>126000</v>
      </c>
      <c r="E92" s="6">
        <v>7681</v>
      </c>
      <c r="F92">
        <v>52000</v>
      </c>
      <c r="G92" s="6">
        <v>207419</v>
      </c>
      <c r="H92">
        <v>18000</v>
      </c>
      <c r="I92">
        <v>25000</v>
      </c>
      <c r="J92">
        <v>42000</v>
      </c>
      <c r="K92">
        <v>0</v>
      </c>
      <c r="L92">
        <v>0</v>
      </c>
      <c r="M92">
        <v>150000</v>
      </c>
      <c r="N92">
        <v>786243</v>
      </c>
    </row>
    <row r="93" spans="1:14">
      <c r="B93" s="37"/>
      <c r="C93" s="38"/>
      <c r="D93" s="6"/>
      <c r="E93" s="6"/>
    </row>
    <row r="94" spans="1:14">
      <c r="B94" s="6"/>
      <c r="C94" s="6"/>
      <c r="D94" s="6"/>
      <c r="E94" s="6"/>
    </row>
    <row r="95" spans="1:14">
      <c r="B95" s="6"/>
      <c r="C95" s="6"/>
      <c r="D95" s="21"/>
      <c r="E95" s="6"/>
    </row>
    <row r="96" spans="1:14">
      <c r="B96" s="6"/>
      <c r="C96" s="6"/>
      <c r="D96" s="6"/>
      <c r="E96" s="6"/>
    </row>
    <row r="97" spans="2:5">
      <c r="B97" s="6"/>
      <c r="C97" s="6"/>
      <c r="D97" s="6"/>
      <c r="E97" s="6"/>
    </row>
    <row r="98" spans="2:5">
      <c r="B98" s="6"/>
      <c r="C98" s="6"/>
      <c r="D98" s="6"/>
      <c r="E98" s="6"/>
    </row>
    <row r="99" spans="2:5">
      <c r="B99" s="6"/>
      <c r="C99" s="6"/>
      <c r="D99" s="34"/>
      <c r="E99" s="6"/>
    </row>
    <row r="100" spans="2:5">
      <c r="B100" s="6"/>
      <c r="C100" s="6"/>
      <c r="D100" s="6"/>
      <c r="E100" s="6"/>
    </row>
    <row r="101" spans="2:5">
      <c r="B101" s="6"/>
      <c r="C101" s="6"/>
      <c r="D101" s="6"/>
      <c r="E101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July 2016</oddFooter>
  </headerFooter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1:Z85"/>
  <sheetViews>
    <sheetView showGridLines="0" zoomScale="80" zoomScaleNormal="80" workbookViewId="0">
      <selection activeCell="L40" sqref="L40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121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2399169</v>
      </c>
      <c r="H5" s="53">
        <v>4093574</v>
      </c>
      <c r="I5" s="53">
        <v>3274668</v>
      </c>
      <c r="J5" s="53">
        <v>3150136</v>
      </c>
      <c r="K5" s="53">
        <v>3426789</v>
      </c>
      <c r="L5" s="53">
        <v>2668320</v>
      </c>
      <c r="M5" s="53">
        <v>1617618</v>
      </c>
      <c r="N5" s="12">
        <f>SUM(B5:M5)</f>
        <v>36566365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58506</v>
      </c>
      <c r="H6" s="53">
        <v>100712</v>
      </c>
      <c r="I6" s="53">
        <v>72668</v>
      </c>
      <c r="J6" s="53">
        <v>472170</v>
      </c>
      <c r="K6" s="53">
        <v>211527</v>
      </c>
      <c r="L6" s="53">
        <v>111576</v>
      </c>
      <c r="M6" s="53">
        <v>95131</v>
      </c>
      <c r="N6" s="7">
        <f>SUM(B6:M6)</f>
        <v>1935156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2457675</v>
      </c>
      <c r="H9" s="12">
        <f t="shared" si="0"/>
        <v>4194286</v>
      </c>
      <c r="I9" s="12">
        <f t="shared" si="0"/>
        <v>3347336</v>
      </c>
      <c r="J9" s="12">
        <f t="shared" si="0"/>
        <v>3622306</v>
      </c>
      <c r="K9" s="12">
        <f t="shared" si="0"/>
        <v>3638316</v>
      </c>
      <c r="L9" s="12">
        <f t="shared" si="0"/>
        <v>2779896</v>
      </c>
      <c r="M9" s="12">
        <f t="shared" si="0"/>
        <v>1712749</v>
      </c>
      <c r="N9" s="12">
        <f t="shared" si="0"/>
        <v>38501521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20473</v>
      </c>
      <c r="H11" s="7">
        <v>4352</v>
      </c>
      <c r="I11" s="7">
        <v>10</v>
      </c>
      <c r="J11" s="7">
        <v>-222</v>
      </c>
      <c r="K11" s="7">
        <v>398</v>
      </c>
      <c r="L11" s="7">
        <v>0</v>
      </c>
      <c r="M11" s="7">
        <v>0</v>
      </c>
      <c r="N11" s="7">
        <f>SUM(B11:M11)</f>
        <v>26844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2478148</v>
      </c>
      <c r="H13" s="14">
        <f t="shared" si="1"/>
        <v>4198638</v>
      </c>
      <c r="I13" s="14">
        <f t="shared" si="1"/>
        <v>3347346</v>
      </c>
      <c r="J13" s="14">
        <f t="shared" si="1"/>
        <v>3622084</v>
      </c>
      <c r="K13" s="14">
        <f t="shared" si="1"/>
        <v>3638714</v>
      </c>
      <c r="L13" s="14">
        <f t="shared" si="1"/>
        <v>2779896</v>
      </c>
      <c r="M13" s="14">
        <f t="shared" si="1"/>
        <v>1712749</v>
      </c>
      <c r="N13" s="14">
        <f t="shared" si="1"/>
        <v>38528365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866327</v>
      </c>
      <c r="H16" s="53">
        <v>2296042</v>
      </c>
      <c r="I16" s="53">
        <v>1205375</v>
      </c>
      <c r="J16" s="53">
        <v>1101253</v>
      </c>
      <c r="K16" s="53">
        <v>1171081</v>
      </c>
      <c r="L16" s="53">
        <v>1066893</v>
      </c>
      <c r="M16" s="53">
        <v>774058</v>
      </c>
      <c r="N16" s="7">
        <f>SUM(B16:M16)</f>
        <v>15662333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866327</v>
      </c>
      <c r="H20" s="12">
        <f t="shared" si="2"/>
        <v>2296042</v>
      </c>
      <c r="I20" s="12">
        <f t="shared" si="2"/>
        <v>1205375</v>
      </c>
      <c r="J20" s="12">
        <f t="shared" si="2"/>
        <v>1101253</v>
      </c>
      <c r="K20" s="12">
        <f t="shared" si="2"/>
        <v>1171081</v>
      </c>
      <c r="L20" s="12">
        <f t="shared" si="2"/>
        <v>1066893</v>
      </c>
      <c r="M20" s="12">
        <f t="shared" si="2"/>
        <v>774058</v>
      </c>
      <c r="N20" s="12">
        <f t="shared" si="2"/>
        <v>15662333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1532842</v>
      </c>
      <c r="H23" s="7">
        <f t="shared" si="3"/>
        <v>1797532</v>
      </c>
      <c r="I23" s="7">
        <f t="shared" si="3"/>
        <v>2069293</v>
      </c>
      <c r="J23" s="7">
        <f t="shared" si="3"/>
        <v>2048883</v>
      </c>
      <c r="K23" s="7">
        <f t="shared" si="3"/>
        <v>2255708</v>
      </c>
      <c r="L23" s="7">
        <f t="shared" si="3"/>
        <v>1601427</v>
      </c>
      <c r="M23" s="7">
        <f t="shared" si="3"/>
        <v>843560</v>
      </c>
      <c r="N23" s="7">
        <f>SUM(B23:M23)</f>
        <v>20904032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58506</v>
      </c>
      <c r="H24" s="7">
        <f t="shared" si="3"/>
        <v>100712</v>
      </c>
      <c r="I24" s="7">
        <f t="shared" si="3"/>
        <v>72668</v>
      </c>
      <c r="J24" s="7">
        <f t="shared" si="3"/>
        <v>472170</v>
      </c>
      <c r="K24" s="7">
        <f t="shared" si="3"/>
        <v>211527</v>
      </c>
      <c r="L24" s="7">
        <f t="shared" si="3"/>
        <v>111576</v>
      </c>
      <c r="M24" s="7">
        <f t="shared" si="3"/>
        <v>95131</v>
      </c>
      <c r="N24" s="7">
        <f>SUM(B24:M24)</f>
        <v>1935156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1591348</v>
      </c>
      <c r="H27" s="12">
        <f t="shared" si="4"/>
        <v>1898244</v>
      </c>
      <c r="I27" s="12">
        <f t="shared" si="4"/>
        <v>2141961</v>
      </c>
      <c r="J27" s="12">
        <f t="shared" si="4"/>
        <v>2521053</v>
      </c>
      <c r="K27" s="12">
        <f t="shared" si="4"/>
        <v>2467235</v>
      </c>
      <c r="L27" s="12">
        <f t="shared" si="4"/>
        <v>1713003</v>
      </c>
      <c r="M27" s="12">
        <f>SUM(M23:M26)</f>
        <v>938691</v>
      </c>
      <c r="N27" s="12">
        <f t="shared" si="4"/>
        <v>22839188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0.6475013986796464</v>
      </c>
      <c r="H28" s="73">
        <f t="shared" si="5"/>
        <v>0.45257857952461994</v>
      </c>
      <c r="I28" s="73">
        <f t="shared" si="5"/>
        <v>0.63990020720955409</v>
      </c>
      <c r="J28" s="73">
        <f t="shared" si="5"/>
        <v>0.69598012978472834</v>
      </c>
      <c r="K28" s="73">
        <f t="shared" si="5"/>
        <v>0.67812553939789721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0.5932022269977334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580848</v>
      </c>
      <c r="H30" s="53">
        <v>737164</v>
      </c>
      <c r="I30" s="53">
        <v>782261</v>
      </c>
      <c r="J30" s="53">
        <v>748788</v>
      </c>
      <c r="K30" s="53">
        <v>655189</v>
      </c>
      <c r="L30" s="53">
        <v>672632</v>
      </c>
      <c r="M30" s="53">
        <v>481272</v>
      </c>
      <c r="N30" s="7">
        <f>SUM(B30:M30)</f>
        <v>8037503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216521</v>
      </c>
      <c r="H31" s="53">
        <v>230074</v>
      </c>
      <c r="I31" s="53">
        <v>214469</v>
      </c>
      <c r="J31" s="53">
        <v>191874</v>
      </c>
      <c r="K31" s="53">
        <v>208287</v>
      </c>
      <c r="L31" s="53">
        <v>214590</v>
      </c>
      <c r="M31" s="53">
        <v>210384</v>
      </c>
      <c r="N31" s="7">
        <f>SUM(B31:M31)</f>
        <v>2610051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797369</v>
      </c>
      <c r="H34" s="12">
        <f t="shared" si="6"/>
        <v>967238</v>
      </c>
      <c r="I34" s="12">
        <f t="shared" si="6"/>
        <v>996730</v>
      </c>
      <c r="J34" s="12">
        <f t="shared" si="6"/>
        <v>940662</v>
      </c>
      <c r="K34" s="12">
        <f t="shared" si="6"/>
        <v>863476</v>
      </c>
      <c r="L34" s="12">
        <f t="shared" si="6"/>
        <v>887222</v>
      </c>
      <c r="M34" s="12">
        <f t="shared" si="6"/>
        <v>691656</v>
      </c>
      <c r="N34" s="12">
        <f t="shared" si="6"/>
        <v>10647554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1331199</v>
      </c>
      <c r="H37" s="66">
        <v>1469965</v>
      </c>
      <c r="I37" s="66">
        <v>1591079</v>
      </c>
      <c r="J37" s="66">
        <v>1526722</v>
      </c>
      <c r="K37" s="53">
        <v>1577003</v>
      </c>
      <c r="L37" s="53">
        <v>1429774</v>
      </c>
      <c r="M37" s="53">
        <v>1131406</v>
      </c>
      <c r="N37" s="7">
        <f>SUM(B37:M37)</f>
        <v>17310476</v>
      </c>
      <c r="O37" s="29"/>
    </row>
    <row r="38" spans="1:16" s="6" customFormat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-797369</v>
      </c>
      <c r="H38" s="7">
        <f t="shared" si="7"/>
        <v>-967238</v>
      </c>
      <c r="I38" s="7">
        <f t="shared" si="7"/>
        <v>-996730</v>
      </c>
      <c r="J38" s="7">
        <f t="shared" si="7"/>
        <v>-940662</v>
      </c>
      <c r="K38" s="7">
        <f t="shared" si="7"/>
        <v>-863476</v>
      </c>
      <c r="L38" s="7">
        <f t="shared" si="7"/>
        <v>-887222</v>
      </c>
      <c r="M38" s="7">
        <f t="shared" si="7"/>
        <v>-691656</v>
      </c>
      <c r="N38" s="7">
        <f>SUM(B38:M38)</f>
        <v>-10647554</v>
      </c>
      <c r="O38" s="29"/>
    </row>
    <row r="39" spans="1:16" s="6" customFormat="1">
      <c r="A39" s="6" t="s">
        <v>47</v>
      </c>
      <c r="B39" s="72">
        <v>-79744</v>
      </c>
      <c r="C39" s="72">
        <v>-79744</v>
      </c>
      <c r="D39" s="87">
        <v>-79744</v>
      </c>
      <c r="E39" s="72">
        <v>-73419</v>
      </c>
      <c r="F39" s="87">
        <v>-73419</v>
      </c>
      <c r="G39" s="72">
        <v>-73419</v>
      </c>
      <c r="H39" s="72">
        <v>-73419</v>
      </c>
      <c r="I39" s="72">
        <v>-77993</v>
      </c>
      <c r="J39" s="72">
        <v>-80621</v>
      </c>
      <c r="K39" s="87">
        <v>-80540</v>
      </c>
      <c r="L39" s="72">
        <v>-82780</v>
      </c>
      <c r="M39" s="72">
        <v>-81945</v>
      </c>
      <c r="N39" s="7">
        <f>SUM(B39:M39)</f>
        <v>-936787</v>
      </c>
      <c r="O39" s="29"/>
    </row>
    <row r="40" spans="1:16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490198</v>
      </c>
      <c r="E42" s="12">
        <f t="shared" si="8"/>
        <v>482098</v>
      </c>
      <c r="F42" s="12">
        <f t="shared" si="8"/>
        <v>476400</v>
      </c>
      <c r="G42" s="12">
        <f t="shared" si="8"/>
        <v>450411</v>
      </c>
      <c r="H42" s="12">
        <f t="shared" si="8"/>
        <v>419308</v>
      </c>
      <c r="I42" s="12">
        <f t="shared" si="8"/>
        <v>506356</v>
      </c>
      <c r="J42" s="12">
        <f t="shared" si="8"/>
        <v>495139</v>
      </c>
      <c r="K42" s="12">
        <f t="shared" si="8"/>
        <v>622687</v>
      </c>
      <c r="L42" s="12">
        <f t="shared" si="8"/>
        <v>449472</v>
      </c>
      <c r="M42" s="12">
        <f t="shared" si="8"/>
        <v>347805</v>
      </c>
      <c r="N42" s="12">
        <f t="shared" si="8"/>
        <v>5605235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301819</v>
      </c>
      <c r="H44" s="53">
        <v>303493</v>
      </c>
      <c r="I44" s="53">
        <v>379392</v>
      </c>
      <c r="J44" s="53">
        <v>328730</v>
      </c>
      <c r="K44" s="53">
        <v>384697</v>
      </c>
      <c r="L44" s="53">
        <v>301088</v>
      </c>
      <c r="M44" s="53">
        <f>743355-270</f>
        <v>743085</v>
      </c>
      <c r="N44" s="12">
        <f>SUM(B44:M44)</f>
        <v>4419137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301819</v>
      </c>
      <c r="H46" s="12">
        <f t="shared" si="9"/>
        <v>303493</v>
      </c>
      <c r="I46" s="12">
        <f t="shared" si="9"/>
        <v>379392</v>
      </c>
      <c r="J46" s="12">
        <f t="shared" si="9"/>
        <v>328730</v>
      </c>
      <c r="K46" s="12">
        <f t="shared" si="9"/>
        <v>384697</v>
      </c>
      <c r="L46" s="12">
        <f t="shared" si="9"/>
        <v>301088</v>
      </c>
      <c r="M46" s="12">
        <f t="shared" si="9"/>
        <v>743085</v>
      </c>
      <c r="N46" s="12">
        <f t="shared" si="9"/>
        <v>4419137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3293366</v>
      </c>
      <c r="E48" s="19">
        <f t="shared" si="10"/>
        <v>3320425</v>
      </c>
      <c r="F48" s="19">
        <f t="shared" si="10"/>
        <v>2501826</v>
      </c>
      <c r="G48" s="19">
        <f t="shared" si="10"/>
        <v>2415926</v>
      </c>
      <c r="H48" s="19">
        <f t="shared" si="10"/>
        <v>3986081</v>
      </c>
      <c r="I48" s="19">
        <f t="shared" si="10"/>
        <v>3087853</v>
      </c>
      <c r="J48" s="19">
        <f t="shared" si="10"/>
        <v>2865784</v>
      </c>
      <c r="K48" s="19">
        <f t="shared" si="10"/>
        <v>3041941</v>
      </c>
      <c r="L48" s="19">
        <f t="shared" si="10"/>
        <v>2704675</v>
      </c>
      <c r="M48" s="19">
        <f t="shared" si="10"/>
        <v>2556604</v>
      </c>
      <c r="N48" s="19">
        <f t="shared" si="10"/>
        <v>36334259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1066376</v>
      </c>
      <c r="E50" s="12">
        <f t="shared" si="11"/>
        <v>531272</v>
      </c>
      <c r="F50" s="12">
        <f t="shared" si="11"/>
        <v>-153984</v>
      </c>
      <c r="G50" s="12">
        <f t="shared" si="11"/>
        <v>62222</v>
      </c>
      <c r="H50" s="12">
        <f t="shared" si="11"/>
        <v>212557</v>
      </c>
      <c r="I50" s="12">
        <f t="shared" si="11"/>
        <v>259493</v>
      </c>
      <c r="J50" s="12">
        <f t="shared" si="11"/>
        <v>756300</v>
      </c>
      <c r="K50" s="12">
        <f t="shared" si="11"/>
        <v>596773</v>
      </c>
      <c r="L50" s="12">
        <f t="shared" si="11"/>
        <v>75221</v>
      </c>
      <c r="M50" s="12">
        <f t="shared" si="11"/>
        <v>-843855</v>
      </c>
      <c r="N50" s="12">
        <f>SUM(B50:M50)</f>
        <v>2194106</v>
      </c>
      <c r="O50" s="7">
        <f>+N50+N39+N41</f>
        <v>1136419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30969</v>
      </c>
      <c r="H53" s="23">
        <v>110259</v>
      </c>
      <c r="I53" s="10">
        <v>168478</v>
      </c>
      <c r="J53" s="10">
        <v>31915</v>
      </c>
      <c r="K53" s="10">
        <v>6779</v>
      </c>
      <c r="L53" s="10">
        <v>10000</v>
      </c>
      <c r="M53" s="10">
        <v>265725</v>
      </c>
      <c r="N53" s="10">
        <f>SUM(B53:M53)</f>
        <v>699181</v>
      </c>
      <c r="O53" s="10">
        <v>930725</v>
      </c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-235725</v>
      </c>
      <c r="H56" s="7">
        <v>-12112</v>
      </c>
      <c r="I56" s="7">
        <v>-10838</v>
      </c>
      <c r="J56" s="7">
        <v>-20083</v>
      </c>
      <c r="K56" s="7">
        <v>-14696</v>
      </c>
      <c r="L56" s="7">
        <v>-20000</v>
      </c>
      <c r="M56" s="7">
        <v>-25000</v>
      </c>
      <c r="N56" s="7">
        <f>SUM(B56:M56)</f>
        <v>-408063.11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752472</v>
      </c>
      <c r="H57" s="22">
        <v>-562011</v>
      </c>
      <c r="I57" s="22">
        <v>-225136</v>
      </c>
      <c r="J57" s="22">
        <v>-46312</v>
      </c>
      <c r="K57" s="22">
        <v>-356014</v>
      </c>
      <c r="L57" s="22">
        <v>-25000</v>
      </c>
      <c r="M57" s="22">
        <v>-25000</v>
      </c>
      <c r="N57" s="22">
        <f>SUM(B57:M57)</f>
        <v>-48669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547716</v>
      </c>
      <c r="H58" s="19">
        <f>SUM(H53:H57)</f>
        <v>-463864</v>
      </c>
      <c r="I58" s="19">
        <f t="shared" si="12"/>
        <v>-67496</v>
      </c>
      <c r="J58" s="19">
        <f t="shared" si="12"/>
        <v>-34480</v>
      </c>
      <c r="K58" s="19">
        <f t="shared" si="12"/>
        <v>-363931</v>
      </c>
      <c r="L58" s="19">
        <f t="shared" si="12"/>
        <v>-35000</v>
      </c>
      <c r="M58" s="19">
        <f t="shared" si="12"/>
        <v>215725</v>
      </c>
      <c r="N58" s="19">
        <f t="shared" si="12"/>
        <v>680688.89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3281890</v>
      </c>
      <c r="E61" s="19">
        <f t="shared" si="13"/>
        <v>3969791</v>
      </c>
      <c r="F61" s="19">
        <f t="shared" si="13"/>
        <v>2513798</v>
      </c>
      <c r="G61" s="19">
        <f t="shared" si="13"/>
        <v>2963642</v>
      </c>
      <c r="H61" s="19">
        <f t="shared" si="13"/>
        <v>3522217</v>
      </c>
      <c r="I61" s="19">
        <f t="shared" si="13"/>
        <v>3020357</v>
      </c>
      <c r="J61" s="19">
        <f t="shared" si="13"/>
        <v>2831304</v>
      </c>
      <c r="K61" s="19">
        <f t="shared" si="13"/>
        <v>2678010</v>
      </c>
      <c r="L61" s="19">
        <f t="shared" si="13"/>
        <v>2669675</v>
      </c>
      <c r="M61" s="19">
        <f t="shared" si="13"/>
        <v>2772329</v>
      </c>
      <c r="N61" s="19">
        <f t="shared" si="13"/>
        <v>37014947.890000001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1077852</v>
      </c>
      <c r="E62" s="30">
        <f t="shared" si="14"/>
        <v>-118094</v>
      </c>
      <c r="F62" s="30">
        <f t="shared" si="14"/>
        <v>-165956</v>
      </c>
      <c r="G62" s="30">
        <f t="shared" si="14"/>
        <v>-485494</v>
      </c>
      <c r="H62" s="30">
        <f t="shared" si="14"/>
        <v>676421</v>
      </c>
      <c r="I62" s="30">
        <f t="shared" si="14"/>
        <v>326989</v>
      </c>
      <c r="J62" s="30">
        <f t="shared" si="14"/>
        <v>790780</v>
      </c>
      <c r="K62" s="30">
        <f t="shared" si="14"/>
        <v>960704</v>
      </c>
      <c r="L62" s="14">
        <f t="shared" si="14"/>
        <v>110221</v>
      </c>
      <c r="M62" s="14">
        <f t="shared" si="14"/>
        <v>-1059580</v>
      </c>
      <c r="N62" s="14">
        <f t="shared" si="14"/>
        <v>1513417.1099999994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477426.10999999987</v>
      </c>
      <c r="E63" s="32">
        <f t="shared" si="15"/>
        <v>359332.10999999987</v>
      </c>
      <c r="F63" s="32">
        <f t="shared" si="15"/>
        <v>193376.10999999987</v>
      </c>
      <c r="G63" s="32">
        <f t="shared" si="15"/>
        <v>-292117.89000000013</v>
      </c>
      <c r="H63" s="32">
        <f t="shared" si="15"/>
        <v>384303.10999999987</v>
      </c>
      <c r="I63" s="32">
        <f t="shared" si="15"/>
        <v>711292.10999999987</v>
      </c>
      <c r="J63" s="32">
        <f t="shared" si="15"/>
        <v>1502072.1099999999</v>
      </c>
      <c r="K63" s="32">
        <f t="shared" si="15"/>
        <v>2462776.11</v>
      </c>
      <c r="L63" s="12">
        <f t="shared" si="15"/>
        <v>2572997.11</v>
      </c>
      <c r="M63" s="12">
        <f t="shared" si="15"/>
        <v>1513417.1099999999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14834967.109999999</v>
      </c>
      <c r="E64" s="12">
        <f t="shared" si="16"/>
        <v>14716873.109999999</v>
      </c>
      <c r="F64" s="12">
        <f t="shared" si="16"/>
        <v>14550917.109999999</v>
      </c>
      <c r="G64" s="12">
        <f t="shared" si="16"/>
        <v>14065423.109999999</v>
      </c>
      <c r="H64" s="12">
        <f t="shared" si="16"/>
        <v>14741844.109999999</v>
      </c>
      <c r="I64" s="12">
        <f t="shared" si="16"/>
        <v>15068833.109999999</v>
      </c>
      <c r="J64" s="12">
        <f t="shared" si="16"/>
        <v>15859613.109999999</v>
      </c>
      <c r="K64" s="12">
        <f t="shared" si="16"/>
        <v>16820317.109999999</v>
      </c>
      <c r="L64" s="12">
        <f t="shared" si="16"/>
        <v>16930538.109999999</v>
      </c>
      <c r="M64" s="12">
        <f t="shared" si="16"/>
        <v>15870958.109999999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-70303</v>
      </c>
      <c r="E72" s="31">
        <f t="shared" si="18"/>
        <v>-701250</v>
      </c>
      <c r="F72" s="31">
        <f t="shared" si="18"/>
        <v>-40104</v>
      </c>
      <c r="G72" s="31">
        <f t="shared" si="18"/>
        <v>-447804</v>
      </c>
      <c r="H72" s="31">
        <f t="shared" si="18"/>
        <v>575752</v>
      </c>
      <c r="I72" s="31">
        <f t="shared" si="18"/>
        <v>-455429</v>
      </c>
      <c r="J72" s="31">
        <f t="shared" si="18"/>
        <v>455438</v>
      </c>
      <c r="K72" s="31">
        <f t="shared" si="18"/>
        <v>592261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893112.10999999987</v>
      </c>
      <c r="E73" s="31">
        <f t="shared" si="18"/>
        <v>191862.10999999987</v>
      </c>
      <c r="F73" s="31">
        <f t="shared" si="18"/>
        <v>151758.10999999987</v>
      </c>
      <c r="G73" s="31">
        <f t="shared" si="18"/>
        <v>-296045.89000000013</v>
      </c>
      <c r="H73" s="31">
        <f t="shared" si="18"/>
        <v>279706.10999999987</v>
      </c>
      <c r="I73" s="31">
        <f t="shared" si="18"/>
        <v>-175722.89000000013</v>
      </c>
      <c r="J73" s="31">
        <f t="shared" si="18"/>
        <v>279715.10999999987</v>
      </c>
      <c r="K73" s="31">
        <f t="shared" si="18"/>
        <v>871976.10999999987</v>
      </c>
      <c r="L73" s="31">
        <f t="shared" si="18"/>
        <v>871976.10999999987</v>
      </c>
      <c r="M73" s="31">
        <f t="shared" si="18"/>
        <v>871976.10999999987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893112.1099999994</v>
      </c>
      <c r="E74" s="16">
        <f t="shared" si="18"/>
        <v>191862.1099999994</v>
      </c>
      <c r="F74" s="16">
        <f t="shared" si="18"/>
        <v>151758.1099999994</v>
      </c>
      <c r="G74" s="16">
        <f t="shared" si="18"/>
        <v>-296045.8900000006</v>
      </c>
      <c r="H74" s="16">
        <f t="shared" si="18"/>
        <v>279706.1099999994</v>
      </c>
      <c r="I74" s="16">
        <f t="shared" si="18"/>
        <v>-175722.8900000006</v>
      </c>
      <c r="J74" s="16">
        <f t="shared" si="18"/>
        <v>279715.1099999994</v>
      </c>
      <c r="K74" s="16">
        <f t="shared" si="18"/>
        <v>871976.1099999994</v>
      </c>
      <c r="L74" s="16">
        <f t="shared" si="18"/>
        <v>871976.1099999994</v>
      </c>
      <c r="M74" s="16">
        <f t="shared" si="18"/>
        <v>871976.1099999994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>
        <v>12112.349999999999</v>
      </c>
      <c r="I77" s="86"/>
      <c r="J77" s="85">
        <v>562010.51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&amp;UFY2018/2019 OPERATIONAL CASH FLOW </oddHeader>
    <oddFooter xml:space="preserve">&amp;CCash Flow - FY2018/2019
April 2019
</oddFooter>
  </headerFooter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1:Z85"/>
  <sheetViews>
    <sheetView showGridLines="0" topLeftCell="A46" zoomScale="80" zoomScaleNormal="80" workbookViewId="0">
      <selection activeCell="B55" sqref="B55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122</v>
      </c>
      <c r="E1" s="6"/>
      <c r="F1" s="6"/>
      <c r="J1" s="6"/>
      <c r="K1" s="6"/>
      <c r="N1" s="3"/>
    </row>
    <row r="2" spans="1:16">
      <c r="B2" s="45" t="s">
        <v>76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6" s="5" customFormat="1">
      <c r="B3" s="11">
        <v>43648</v>
      </c>
      <c r="C3" s="11">
        <v>43679</v>
      </c>
      <c r="D3" s="11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>
      <c r="A5" s="6" t="s">
        <v>28</v>
      </c>
      <c r="B5" s="53">
        <v>1640834.6158099999</v>
      </c>
      <c r="C5" s="53">
        <v>4439424.0206399998</v>
      </c>
      <c r="D5" s="53">
        <v>4095268.3387500001</v>
      </c>
      <c r="E5" s="53">
        <v>3848072.6086600004</v>
      </c>
      <c r="F5" s="53">
        <v>2455124.5614399998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37509989.699990004</v>
      </c>
      <c r="O5" s="29"/>
    </row>
    <row r="6" spans="1:16" s="6" customFormat="1">
      <c r="A6" s="6" t="s">
        <v>29</v>
      </c>
      <c r="B6" s="53">
        <v>92028</v>
      </c>
      <c r="C6" s="53">
        <v>91110</v>
      </c>
      <c r="D6" s="53">
        <v>348679</v>
      </c>
      <c r="E6" s="53">
        <v>123444</v>
      </c>
      <c r="F6" s="53">
        <v>160988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1691001</v>
      </c>
      <c r="O6" s="29"/>
    </row>
    <row r="7" spans="1:16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1732862.6158099999</v>
      </c>
      <c r="C9" s="12">
        <f t="shared" si="0"/>
        <v>4530534.0206399998</v>
      </c>
      <c r="D9" s="12">
        <f t="shared" si="0"/>
        <v>4443947.3387500001</v>
      </c>
      <c r="E9" s="12">
        <f t="shared" si="0"/>
        <v>3971516.6086600004</v>
      </c>
      <c r="F9" s="12">
        <f t="shared" si="0"/>
        <v>2616112.5614399998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39200990.699990004</v>
      </c>
      <c r="O9" s="29"/>
      <c r="P9" s="29">
        <f>+N9</f>
        <v>39200990.699990004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1732862.6158099999</v>
      </c>
      <c r="C13" s="14">
        <f>C9+C11</f>
        <v>4530534.0206399998</v>
      </c>
      <c r="D13" s="14">
        <f t="shared" si="1"/>
        <v>4443947.3387500001</v>
      </c>
      <c r="E13" s="14">
        <f t="shared" si="1"/>
        <v>3971516.6086600004</v>
      </c>
      <c r="F13" s="14">
        <f t="shared" si="1"/>
        <v>2616112.5614399998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39200990.699990004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>
      <c r="A16" s="6" t="s">
        <v>34</v>
      </c>
      <c r="B16" s="53">
        <v>791004.56432</v>
      </c>
      <c r="C16" s="53">
        <v>2518408.6566400002</v>
      </c>
      <c r="D16" s="53">
        <v>1649346.4462299999</v>
      </c>
      <c r="E16" s="53">
        <v>1296440.6412800001</v>
      </c>
      <c r="F16" s="53">
        <v>857870.95172000001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15857650.615010001</v>
      </c>
      <c r="O16" s="29"/>
      <c r="P16" s="7">
        <f>-N16</f>
        <v>-15857650.615010001</v>
      </c>
    </row>
    <row r="17" spans="1:16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791004.56432</v>
      </c>
      <c r="C20" s="12">
        <f t="shared" si="2"/>
        <v>2518408.6566400002</v>
      </c>
      <c r="D20" s="12">
        <f t="shared" si="2"/>
        <v>1649346.4462299999</v>
      </c>
      <c r="E20" s="12">
        <f t="shared" si="2"/>
        <v>1296440.6412800001</v>
      </c>
      <c r="F20" s="12">
        <f t="shared" si="2"/>
        <v>857870.95172000001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15857650.615010001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>
      <c r="A23" s="6" t="s">
        <v>37</v>
      </c>
      <c r="B23" s="7">
        <f t="shared" ref="B23:M26" si="3">+B5-B16</f>
        <v>849830.05148999987</v>
      </c>
      <c r="C23" s="7">
        <f t="shared" si="3"/>
        <v>1921015.3639999996</v>
      </c>
      <c r="D23" s="7">
        <f t="shared" si="3"/>
        <v>2445921.8925200002</v>
      </c>
      <c r="E23" s="7">
        <f t="shared" si="3"/>
        <v>2551631.9673800003</v>
      </c>
      <c r="F23" s="7">
        <f t="shared" si="3"/>
        <v>1597253.6097199998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21652339.084980004</v>
      </c>
      <c r="O23" s="29"/>
    </row>
    <row r="24" spans="1:16" s="6" customFormat="1">
      <c r="A24" s="6" t="s">
        <v>37</v>
      </c>
      <c r="B24" s="7">
        <f t="shared" si="3"/>
        <v>92028</v>
      </c>
      <c r="C24" s="7">
        <f t="shared" si="3"/>
        <v>91110</v>
      </c>
      <c r="D24" s="7">
        <f t="shared" si="3"/>
        <v>348679</v>
      </c>
      <c r="E24" s="7">
        <f t="shared" si="3"/>
        <v>123444</v>
      </c>
      <c r="F24" s="7">
        <f t="shared" si="3"/>
        <v>160988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1691001</v>
      </c>
      <c r="O24" s="29"/>
    </row>
    <row r="25" spans="1:16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941858.05148999987</v>
      </c>
      <c r="C27" s="12">
        <f t="shared" si="4"/>
        <v>2012125.3639999996</v>
      </c>
      <c r="D27" s="12">
        <f t="shared" si="4"/>
        <v>2794600.8925200002</v>
      </c>
      <c r="E27" s="12">
        <f t="shared" si="4"/>
        <v>2675075.9673800003</v>
      </c>
      <c r="F27" s="12">
        <f t="shared" si="4"/>
        <v>1758241.6097199998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23343340.084980004</v>
      </c>
      <c r="O27" s="29"/>
      <c r="P27" s="29">
        <f>+N27</f>
        <v>23343340.084980004</v>
      </c>
    </row>
    <row r="28" spans="1:16" s="6" customFormat="1" ht="14.45" customHeight="1">
      <c r="B28" s="73">
        <f>+B27/B9</f>
        <v>0.54352724959084131</v>
      </c>
      <c r="C28" s="73">
        <f t="shared" ref="C28:N28" si="5">+C27/C9</f>
        <v>0.44412542866541799</v>
      </c>
      <c r="D28" s="73">
        <f t="shared" si="5"/>
        <v>0.62885553754245649</v>
      </c>
      <c r="E28" s="73">
        <f t="shared" si="5"/>
        <v>0.67356534819643565</v>
      </c>
      <c r="F28" s="73">
        <f t="shared" si="5"/>
        <v>0.67208178869497959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0.59547832001567136</v>
      </c>
    </row>
    <row r="29" spans="1:16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>
      <c r="A30" s="6" t="s">
        <v>93</v>
      </c>
      <c r="B30" s="53">
        <v>634323.70906718075</v>
      </c>
      <c r="C30" s="53">
        <v>666216.08803130465</v>
      </c>
      <c r="D30" s="53">
        <v>783959.86009330465</v>
      </c>
      <c r="E30" s="53">
        <v>904980.62775222072</v>
      </c>
      <c r="F30" s="53">
        <v>686895.29853070469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8687986.7553709913</v>
      </c>
      <c r="O30" s="29"/>
    </row>
    <row r="31" spans="1:16" s="6" customFormat="1">
      <c r="A31" s="6" t="s">
        <v>42</v>
      </c>
      <c r="B31" s="53">
        <v>230153.93213440015</v>
      </c>
      <c r="C31" s="53">
        <v>219345.29484042991</v>
      </c>
      <c r="D31" s="53">
        <v>214302.05097862822</v>
      </c>
      <c r="E31" s="53">
        <v>243606.38590891552</v>
      </c>
      <c r="F31" s="53">
        <v>204442.60669276689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2617165.7810230502</v>
      </c>
      <c r="O31" s="29"/>
    </row>
    <row r="32" spans="1:16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864477.64120158087</v>
      </c>
      <c r="C34" s="12">
        <f t="shared" si="6"/>
        <v>885561.38287173456</v>
      </c>
      <c r="D34" s="12">
        <f t="shared" si="6"/>
        <v>998261.91107193287</v>
      </c>
      <c r="E34" s="12">
        <f t="shared" si="6"/>
        <v>1148587.0136611362</v>
      </c>
      <c r="F34" s="12">
        <f t="shared" si="6"/>
        <v>891337.90522347158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11305152.536394041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1360897.0412015808</v>
      </c>
      <c r="C37" s="53">
        <v>1518855.3128717344</v>
      </c>
      <c r="D37" s="53">
        <v>1582930.4110719329</v>
      </c>
      <c r="E37" s="53">
        <v>1774889.2836611362</v>
      </c>
      <c r="F37" s="53">
        <v>1438729.6452234716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18181963.899062652</v>
      </c>
      <c r="O37" s="29"/>
    </row>
    <row r="38" spans="1:16" s="6" customFormat="1">
      <c r="A38" s="6" t="s">
        <v>46</v>
      </c>
      <c r="B38" s="7">
        <f>-B34</f>
        <v>-864477.64120158087</v>
      </c>
      <c r="C38" s="7">
        <f t="shared" ref="C38:M38" si="7">-C34</f>
        <v>-885561.38287173456</v>
      </c>
      <c r="D38" s="7">
        <f t="shared" si="7"/>
        <v>-998261.91107193287</v>
      </c>
      <c r="E38" s="7">
        <f t="shared" si="7"/>
        <v>-1148587.0136611362</v>
      </c>
      <c r="F38" s="7">
        <f t="shared" si="7"/>
        <v>-891337.90522347158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-11305152.536394039</v>
      </c>
      <c r="O38" s="29"/>
    </row>
    <row r="39" spans="1:16" s="6" customFormat="1">
      <c r="A39" s="6" t="s">
        <v>47</v>
      </c>
      <c r="B39" s="72">
        <v>-77645</v>
      </c>
      <c r="C39" s="72">
        <v>-77645</v>
      </c>
      <c r="D39" s="72">
        <v>-79726</v>
      </c>
      <c r="E39" s="72">
        <v>-83801</v>
      </c>
      <c r="F39" s="72">
        <v>-83801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-999377</v>
      </c>
      <c r="O39" s="88"/>
      <c r="P39" s="42"/>
    </row>
    <row r="40" spans="1:16" s="6" customFormat="1">
      <c r="A40" s="6" t="s">
        <v>124</v>
      </c>
      <c r="B40" s="53">
        <v>-8593</v>
      </c>
      <c r="C40" s="53">
        <v>-8593</v>
      </c>
      <c r="D40" s="53">
        <v>-8593</v>
      </c>
      <c r="E40" s="53">
        <v>-8593</v>
      </c>
      <c r="F40" s="53">
        <v>-8593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-105099</v>
      </c>
      <c r="O40" s="88"/>
      <c r="P40" s="58"/>
    </row>
    <row r="41" spans="1:16" s="6" customFormat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-1247876</v>
      </c>
    </row>
    <row r="42" spans="1:16" s="6" customFormat="1">
      <c r="A42" s="13" t="s">
        <v>49</v>
      </c>
      <c r="B42" s="12">
        <f t="shared" ref="B42:N42" si="8">SUM(B37:B41)</f>
        <v>406031.39999999991</v>
      </c>
      <c r="C42" s="12">
        <f t="shared" si="8"/>
        <v>542805.92999999982</v>
      </c>
      <c r="D42" s="12">
        <f t="shared" si="8"/>
        <v>492099.5</v>
      </c>
      <c r="E42" s="12">
        <f t="shared" si="8"/>
        <v>529658.27</v>
      </c>
      <c r="F42" s="12">
        <f t="shared" si="8"/>
        <v>450747.74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5628935.362668613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53">
        <v>399883</v>
      </c>
      <c r="C44" s="53">
        <v>587569</v>
      </c>
      <c r="D44" s="53">
        <v>299598</v>
      </c>
      <c r="E44" s="53">
        <v>401721</v>
      </c>
      <c r="F44" s="53">
        <v>399609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4852699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399883</v>
      </c>
      <c r="C46" s="12">
        <f>SUM(C44:C45)</f>
        <v>587569</v>
      </c>
      <c r="D46" s="12">
        <f t="shared" ref="D46:N46" si="9">SUM(D44:D45)</f>
        <v>299598</v>
      </c>
      <c r="E46" s="12">
        <f t="shared" si="9"/>
        <v>401721</v>
      </c>
      <c r="F46" s="12">
        <f t="shared" si="9"/>
        <v>399609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4852699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2461396.6055215807</v>
      </c>
      <c r="C48" s="19">
        <f t="shared" si="10"/>
        <v>4534344.9695117343</v>
      </c>
      <c r="D48" s="19">
        <f t="shared" si="10"/>
        <v>3439305.8573019328</v>
      </c>
      <c r="E48" s="19">
        <f t="shared" si="10"/>
        <v>3376406.924941136</v>
      </c>
      <c r="F48" s="19">
        <f t="shared" si="10"/>
        <v>2599565.5969434716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37644437.514072657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-728533.9897115808</v>
      </c>
      <c r="C50" s="12">
        <f t="shared" si="11"/>
        <v>-3810.9488717345521</v>
      </c>
      <c r="D50" s="12">
        <f t="shared" si="11"/>
        <v>1004641.4814480674</v>
      </c>
      <c r="E50" s="12">
        <f t="shared" si="11"/>
        <v>595109.68371886434</v>
      </c>
      <c r="F50" s="12">
        <f t="shared" si="11"/>
        <v>16546.964496528264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1556553.1859173505</v>
      </c>
      <c r="O50" s="7"/>
      <c r="P50" s="25">
        <f>+N50</f>
        <v>1556553.1859173505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308677.18591735046</v>
      </c>
    </row>
    <row r="53" spans="1:26" s="6" customFormat="1">
      <c r="A53" s="6" t="s">
        <v>55</v>
      </c>
      <c r="B53" s="10">
        <v>146000</v>
      </c>
      <c r="C53" s="10">
        <v>148200</v>
      </c>
      <c r="D53" s="10">
        <v>195000</v>
      </c>
      <c r="E53" s="10">
        <v>95000</v>
      </c>
      <c r="F53" s="10">
        <v>35000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51">
        <f>SUM(B53:M53)</f>
        <v>821200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51">
        <v>90000</v>
      </c>
      <c r="G54" s="10"/>
      <c r="H54" s="10"/>
      <c r="I54" s="10"/>
      <c r="J54" s="10"/>
      <c r="K54" s="10"/>
      <c r="L54" s="10"/>
      <c r="M54" s="10"/>
      <c r="N54" s="51">
        <f>SUM(B54:M54)</f>
        <v>90000</v>
      </c>
    </row>
    <row r="55" spans="1:26" s="6" customFormat="1">
      <c r="A55" s="6" t="s">
        <v>111</v>
      </c>
      <c r="B55" s="89">
        <v>438941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438941</v>
      </c>
    </row>
    <row r="56" spans="1:26" s="6" customFormat="1">
      <c r="A56" s="37" t="s">
        <v>58</v>
      </c>
      <c r="B56" s="7">
        <v>-25000</v>
      </c>
      <c r="C56" s="7">
        <v>-25000</v>
      </c>
      <c r="D56" s="7">
        <v>-20000</v>
      </c>
      <c r="E56" s="7">
        <v>-25000</v>
      </c>
      <c r="F56" s="7">
        <v>-25000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-280000</v>
      </c>
      <c r="O56" s="7"/>
    </row>
    <row r="57" spans="1:26" s="6" customFormat="1">
      <c r="A57" s="6" t="s">
        <v>59</v>
      </c>
      <c r="B57" s="22">
        <v>-25000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-300000</v>
      </c>
      <c r="O57" s="56"/>
    </row>
    <row r="58" spans="1:26" s="6" customFormat="1">
      <c r="A58" s="13" t="s">
        <v>60</v>
      </c>
      <c r="B58" s="19">
        <f t="shared" ref="B58:N58" si="12">SUM(B53:B57)</f>
        <v>534941</v>
      </c>
      <c r="C58" s="19">
        <f t="shared" si="12"/>
        <v>98200</v>
      </c>
      <c r="D58" s="19">
        <f t="shared" si="12"/>
        <v>150000</v>
      </c>
      <c r="E58" s="19">
        <f t="shared" si="12"/>
        <v>45000</v>
      </c>
      <c r="F58" s="19">
        <f t="shared" si="12"/>
        <v>75000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770141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26">
        <v>13639094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2996337.6055215807</v>
      </c>
      <c r="C61" s="19">
        <f t="shared" si="13"/>
        <v>4632544.9695117343</v>
      </c>
      <c r="D61" s="19">
        <f t="shared" si="13"/>
        <v>3589305.8573019328</v>
      </c>
      <c r="E61" s="19">
        <f t="shared" si="13"/>
        <v>3421406.924941136</v>
      </c>
      <c r="F61" s="19">
        <f t="shared" si="13"/>
        <v>2674565.5969434716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38414578.514072657</v>
      </c>
      <c r="O61" s="29"/>
    </row>
    <row r="62" spans="1:26" ht="13.5" thickBot="1">
      <c r="A62" s="13" t="s">
        <v>63</v>
      </c>
      <c r="B62" s="14">
        <f t="shared" ref="B62:N62" si="14">+B13-B61</f>
        <v>-1263474.9897115808</v>
      </c>
      <c r="C62" s="14">
        <f t="shared" si="14"/>
        <v>-102010.94887173455</v>
      </c>
      <c r="D62" s="14">
        <f t="shared" si="14"/>
        <v>854641.48144806735</v>
      </c>
      <c r="E62" s="14">
        <f t="shared" si="14"/>
        <v>550109.68371886434</v>
      </c>
      <c r="F62" s="14">
        <f t="shared" si="14"/>
        <v>-58453.035503471736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786412.18591734767</v>
      </c>
      <c r="O62" s="29"/>
    </row>
    <row r="63" spans="1:26" s="6" customFormat="1" ht="13.5" thickTop="1">
      <c r="A63" s="13" t="s">
        <v>64</v>
      </c>
      <c r="B63" s="12">
        <f>+B62</f>
        <v>-1263474.9897115808</v>
      </c>
      <c r="C63" s="12">
        <f t="shared" ref="C63:M63" si="15">B63+C62</f>
        <v>-1365485.9385833154</v>
      </c>
      <c r="D63" s="12">
        <f t="shared" si="15"/>
        <v>-510844.457135248</v>
      </c>
      <c r="E63" s="12">
        <f t="shared" si="15"/>
        <v>39265.226583616342</v>
      </c>
      <c r="F63" s="12">
        <f t="shared" si="15"/>
        <v>-19187.808919855393</v>
      </c>
      <c r="G63" s="12">
        <f t="shared" si="15"/>
        <v>-26169.55751675088</v>
      </c>
      <c r="H63" s="12">
        <f t="shared" si="15"/>
        <v>142354.86989390478</v>
      </c>
      <c r="I63" s="12">
        <f t="shared" si="15"/>
        <v>641762.77011633199</v>
      </c>
      <c r="J63" s="12">
        <f t="shared" si="15"/>
        <v>1297874.5202156384</v>
      </c>
      <c r="K63" s="12">
        <f t="shared" si="15"/>
        <v>1429000.8466185951</v>
      </c>
      <c r="L63" s="12">
        <f t="shared" si="15"/>
        <v>1668363.8249535044</v>
      </c>
      <c r="M63" s="12">
        <f t="shared" si="15"/>
        <v>786412.18591735046</v>
      </c>
      <c r="N63" s="12"/>
    </row>
    <row r="64" spans="1:26">
      <c r="A64" s="13" t="s">
        <v>65</v>
      </c>
      <c r="B64" s="12">
        <f t="shared" ref="B64:M64" si="16">+$B$60+B63</f>
        <v>12375619.010288419</v>
      </c>
      <c r="C64" s="12">
        <f t="shared" si="16"/>
        <v>12273608.061416686</v>
      </c>
      <c r="D64" s="12">
        <f t="shared" si="16"/>
        <v>13128249.542864751</v>
      </c>
      <c r="E64" s="12">
        <f t="shared" si="16"/>
        <v>13678359.226583617</v>
      </c>
      <c r="F64" s="12">
        <f t="shared" si="16"/>
        <v>13619906.191080146</v>
      </c>
      <c r="G64" s="12">
        <f t="shared" si="16"/>
        <v>13612924.44248325</v>
      </c>
      <c r="H64" s="12">
        <f t="shared" si="16"/>
        <v>13781448.869893905</v>
      </c>
      <c r="I64" s="12">
        <f t="shared" si="16"/>
        <v>14280856.770116333</v>
      </c>
      <c r="J64" s="12">
        <f t="shared" si="16"/>
        <v>14936968.520215638</v>
      </c>
      <c r="K64" s="12">
        <f t="shared" si="16"/>
        <v>15068094.846618595</v>
      </c>
      <c r="L64" s="12">
        <f t="shared" si="16"/>
        <v>15307457.824953504</v>
      </c>
      <c r="M64" s="12">
        <f t="shared" si="16"/>
        <v>14425506.185917351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126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-1263474.9897115808</v>
      </c>
      <c r="C67" s="14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12">
        <f>+B67</f>
        <v>-1263474.9897115808</v>
      </c>
      <c r="C68" s="1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0</v>
      </c>
      <c r="C72" s="31">
        <f t="shared" si="18"/>
        <v>0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0</v>
      </c>
      <c r="C73" s="31">
        <f t="shared" si="18"/>
        <v>0</v>
      </c>
      <c r="D73" s="31">
        <f t="shared" si="18"/>
        <v>0</v>
      </c>
      <c r="E73" s="31">
        <f t="shared" si="18"/>
        <v>0</v>
      </c>
      <c r="F73" s="31">
        <f t="shared" si="18"/>
        <v>0</v>
      </c>
      <c r="G73" s="31">
        <f t="shared" si="18"/>
        <v>0</v>
      </c>
      <c r="H73" s="31">
        <f t="shared" si="18"/>
        <v>0</v>
      </c>
      <c r="I73" s="31">
        <f t="shared" si="18"/>
        <v>0</v>
      </c>
      <c r="J73" s="31">
        <f t="shared" si="18"/>
        <v>0</v>
      </c>
      <c r="K73" s="31">
        <f t="shared" si="18"/>
        <v>0</v>
      </c>
      <c r="L73" s="31">
        <f t="shared" si="18"/>
        <v>0</v>
      </c>
      <c r="M73" s="31">
        <f t="shared" si="18"/>
        <v>0</v>
      </c>
      <c r="N73" s="16">
        <f t="shared" si="18"/>
        <v>0</v>
      </c>
    </row>
    <row r="74" spans="1:15">
      <c r="A74" s="1" t="s">
        <v>65</v>
      </c>
      <c r="B74" s="16">
        <f t="shared" si="18"/>
        <v>-541892.9897115808</v>
      </c>
      <c r="C74" s="16">
        <f t="shared" si="18"/>
        <v>-520091.93858331442</v>
      </c>
      <c r="D74" s="16">
        <f t="shared" si="18"/>
        <v>-813605.45713524893</v>
      </c>
      <c r="E74" s="16">
        <f t="shared" si="18"/>
        <v>-846651.77341638319</v>
      </c>
      <c r="F74" s="16">
        <f t="shared" si="18"/>
        <v>-779252.80891985446</v>
      </c>
      <c r="G74" s="16">
        <f t="shared" si="18"/>
        <v>-748544.55751674995</v>
      </c>
      <c r="H74" s="16">
        <f t="shared" si="18"/>
        <v>-680689.13010609522</v>
      </c>
      <c r="I74" s="16">
        <f t="shared" si="18"/>
        <v>-963699.22988366708</v>
      </c>
      <c r="J74" s="16">
        <f t="shared" si="18"/>
        <v>-642929.47978436202</v>
      </c>
      <c r="K74" s="16">
        <f t="shared" si="18"/>
        <v>-880246.1533814054</v>
      </c>
      <c r="L74" s="16">
        <f t="shared" si="18"/>
        <v>-751104.17504649609</v>
      </c>
      <c r="M74" s="16">
        <f t="shared" si="18"/>
        <v>-573475.81408264861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>
        <v>12112.349999999999</v>
      </c>
      <c r="I77" s="86"/>
      <c r="J77" s="85">
        <v>562010.51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-120000</v>
      </c>
    </row>
    <row r="85" spans="6:8">
      <c r="F85" s="2">
        <f>SUM(B57:F57)</f>
        <v>-125000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&amp;UFY2018/2019 OPERATIONAL CASH FLOW </oddHeader>
    <oddFooter xml:space="preserve">&amp;CCash Flow - FY2018/2019
May 2019
</odd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1:Z85"/>
  <sheetViews>
    <sheetView showGridLines="0" topLeftCell="A46" zoomScale="80" zoomScaleNormal="80" workbookViewId="0">
      <selection activeCell="B55" sqref="B55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125</v>
      </c>
      <c r="E1" s="6"/>
      <c r="F1" s="6"/>
      <c r="J1" s="6"/>
      <c r="K1" s="6"/>
      <c r="N1" s="3"/>
    </row>
    <row r="2" spans="1:16">
      <c r="B2" s="45" t="s">
        <v>24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11">
        <v>43679</v>
      </c>
      <c r="D3" s="11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>
      <c r="A5" s="6" t="s">
        <v>28</v>
      </c>
      <c r="B5" s="49">
        <v>1506911</v>
      </c>
      <c r="C5" s="53">
        <v>4439424.0206399998</v>
      </c>
      <c r="D5" s="53">
        <v>4095268.3387500001</v>
      </c>
      <c r="E5" s="53">
        <v>3848072.6086600004</v>
      </c>
      <c r="F5" s="53">
        <v>2455124.5614399998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37376066.084179997</v>
      </c>
      <c r="O5" s="29"/>
    </row>
    <row r="6" spans="1:16" s="6" customFormat="1">
      <c r="A6" s="6" t="s">
        <v>29</v>
      </c>
      <c r="B6" s="49">
        <v>122669</v>
      </c>
      <c r="C6" s="53">
        <v>91110</v>
      </c>
      <c r="D6" s="53">
        <v>348679</v>
      </c>
      <c r="E6" s="53">
        <v>123444</v>
      </c>
      <c r="F6" s="53">
        <v>160988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1721642</v>
      </c>
      <c r="O6" s="29"/>
    </row>
    <row r="7" spans="1:16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4530534.0206399998</v>
      </c>
      <c r="D9" s="12">
        <f t="shared" si="0"/>
        <v>4443947.3387500001</v>
      </c>
      <c r="E9" s="12">
        <f t="shared" si="0"/>
        <v>3971516.6086600004</v>
      </c>
      <c r="F9" s="12">
        <f t="shared" si="0"/>
        <v>2616112.5614399998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39097708.084179997</v>
      </c>
      <c r="O9" s="29"/>
      <c r="P9" s="29">
        <f>+N9</f>
        <v>39097708.084179997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2191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1631771</v>
      </c>
      <c r="C13" s="14">
        <f>C9+C11</f>
        <v>4530534.0206399998</v>
      </c>
      <c r="D13" s="14">
        <f t="shared" si="1"/>
        <v>4443947.3387500001</v>
      </c>
      <c r="E13" s="14">
        <f t="shared" si="1"/>
        <v>3971516.6086600004</v>
      </c>
      <c r="F13" s="14">
        <f t="shared" si="1"/>
        <v>2616112.5614399998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39099899.084179997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>
      <c r="A16" s="6" t="s">
        <v>34</v>
      </c>
      <c r="B16" s="49">
        <v>789538</v>
      </c>
      <c r="C16" s="53">
        <v>2518408.6566400002</v>
      </c>
      <c r="D16" s="53">
        <v>1649346.4462299999</v>
      </c>
      <c r="E16" s="53">
        <v>1296440.6412800001</v>
      </c>
      <c r="F16" s="53">
        <v>857870.95172000001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15856184.050690001</v>
      </c>
      <c r="O16" s="29"/>
      <c r="P16" s="7">
        <f>-N16</f>
        <v>-15856184.050690001</v>
      </c>
    </row>
    <row r="17" spans="1:16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789538</v>
      </c>
      <c r="C20" s="12">
        <f t="shared" si="2"/>
        <v>2518408.6566400002</v>
      </c>
      <c r="D20" s="12">
        <f t="shared" si="2"/>
        <v>1649346.4462299999</v>
      </c>
      <c r="E20" s="12">
        <f t="shared" si="2"/>
        <v>1296440.6412800001</v>
      </c>
      <c r="F20" s="12">
        <f t="shared" si="2"/>
        <v>857870.95172000001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15856184.050690001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>
      <c r="A23" s="6" t="s">
        <v>37</v>
      </c>
      <c r="B23" s="7">
        <f t="shared" ref="B23:M26" si="3">+B5-B16</f>
        <v>717373</v>
      </c>
      <c r="C23" s="7">
        <f t="shared" si="3"/>
        <v>1921015.3639999996</v>
      </c>
      <c r="D23" s="7">
        <f t="shared" si="3"/>
        <v>2445921.8925200002</v>
      </c>
      <c r="E23" s="7">
        <f t="shared" si="3"/>
        <v>2551631.9673800003</v>
      </c>
      <c r="F23" s="7">
        <f t="shared" si="3"/>
        <v>1597253.6097199998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21519882.033490002</v>
      </c>
      <c r="O23" s="29"/>
    </row>
    <row r="24" spans="1:16" s="6" customFormat="1">
      <c r="A24" s="6" t="s">
        <v>37</v>
      </c>
      <c r="B24" s="7">
        <f t="shared" si="3"/>
        <v>122669</v>
      </c>
      <c r="C24" s="7">
        <f t="shared" si="3"/>
        <v>91110</v>
      </c>
      <c r="D24" s="7">
        <f t="shared" si="3"/>
        <v>348679</v>
      </c>
      <c r="E24" s="7">
        <f t="shared" si="3"/>
        <v>123444</v>
      </c>
      <c r="F24" s="7">
        <f t="shared" si="3"/>
        <v>160988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1721642</v>
      </c>
      <c r="O24" s="29"/>
    </row>
    <row r="25" spans="1:16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2012125.3639999996</v>
      </c>
      <c r="D27" s="12">
        <f t="shared" si="4"/>
        <v>2794600.8925200002</v>
      </c>
      <c r="E27" s="12">
        <f t="shared" si="4"/>
        <v>2675075.9673800003</v>
      </c>
      <c r="F27" s="12">
        <f t="shared" si="4"/>
        <v>1758241.6097199998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23241524.033490002</v>
      </c>
      <c r="O27" s="29"/>
      <c r="P27" s="29">
        <f>+N27</f>
        <v>23241524.033490002</v>
      </c>
    </row>
    <row r="28" spans="1:16" s="6" customFormat="1" ht="14.45" customHeight="1">
      <c r="B28" s="73">
        <f>+B27/B9</f>
        <v>0.51549601737871109</v>
      </c>
      <c r="C28" s="73">
        <f t="shared" ref="C28:N28" si="5">+C27/C9</f>
        <v>0.44412542866541799</v>
      </c>
      <c r="D28" s="73">
        <f t="shared" si="5"/>
        <v>0.62885553754245649</v>
      </c>
      <c r="E28" s="73">
        <f t="shared" si="5"/>
        <v>0.67356534819643565</v>
      </c>
      <c r="F28" s="73">
        <f t="shared" si="5"/>
        <v>0.67208178869497959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0.59444722395106731</v>
      </c>
    </row>
    <row r="29" spans="1:16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>
      <c r="A30" s="6" t="s">
        <v>93</v>
      </c>
      <c r="B30" s="49">
        <v>599577</v>
      </c>
      <c r="C30" s="53">
        <v>666216.08803130465</v>
      </c>
      <c r="D30" s="53">
        <v>783959.86009330465</v>
      </c>
      <c r="E30" s="53">
        <v>904980.62775222072</v>
      </c>
      <c r="F30" s="53">
        <v>686895.29853070469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8653240.0463038106</v>
      </c>
      <c r="O30" s="29"/>
    </row>
    <row r="31" spans="1:16" s="6" customFormat="1">
      <c r="A31" s="6" t="s">
        <v>42</v>
      </c>
      <c r="B31" s="49">
        <v>243836</v>
      </c>
      <c r="C31" s="53">
        <v>219345.29484042991</v>
      </c>
      <c r="D31" s="53">
        <v>214302.05097862822</v>
      </c>
      <c r="E31" s="53">
        <v>243606.38590891552</v>
      </c>
      <c r="F31" s="53">
        <v>204442.60669276689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2630847.8488886501</v>
      </c>
      <c r="O31" s="29"/>
    </row>
    <row r="32" spans="1:16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885561.38287173456</v>
      </c>
      <c r="D34" s="12">
        <f t="shared" si="6"/>
        <v>998261.91107193287</v>
      </c>
      <c r="E34" s="12">
        <f t="shared" si="6"/>
        <v>1148587.0136611362</v>
      </c>
      <c r="F34" s="12">
        <f t="shared" si="6"/>
        <v>891337.90522347158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11284087.895192461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1312659</v>
      </c>
      <c r="C37" s="53">
        <v>1518855.3128717344</v>
      </c>
      <c r="D37" s="53">
        <v>1582930.4110719329</v>
      </c>
      <c r="E37" s="53">
        <v>1774889.2836611362</v>
      </c>
      <c r="F37" s="53">
        <v>1438729.6452234716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18133725.857861072</v>
      </c>
      <c r="O37" s="29"/>
    </row>
    <row r="38" spans="1:16" s="6" customFormat="1">
      <c r="A38" s="6" t="s">
        <v>46</v>
      </c>
      <c r="B38" s="7">
        <f>-B34</f>
        <v>-843413</v>
      </c>
      <c r="C38" s="7">
        <f t="shared" ref="C38:M38" si="7">-C34</f>
        <v>-885561.38287173456</v>
      </c>
      <c r="D38" s="7">
        <f t="shared" si="7"/>
        <v>-998261.91107193287</v>
      </c>
      <c r="E38" s="7">
        <f t="shared" si="7"/>
        <v>-1148587.0136611362</v>
      </c>
      <c r="F38" s="7">
        <f t="shared" si="7"/>
        <v>-891337.90522347158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-11284087.895192457</v>
      </c>
      <c r="O38" s="29"/>
    </row>
    <row r="39" spans="1:16" s="6" customFormat="1">
      <c r="A39" s="6" t="s">
        <v>47</v>
      </c>
      <c r="B39" s="72">
        <v>-77862</v>
      </c>
      <c r="C39" s="72">
        <v>-77645</v>
      </c>
      <c r="D39" s="72">
        <v>-79726</v>
      </c>
      <c r="E39" s="72">
        <v>-83801</v>
      </c>
      <c r="F39" s="72">
        <v>-83801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-999594</v>
      </c>
      <c r="O39" s="88"/>
      <c r="P39" s="42"/>
    </row>
    <row r="40" spans="1:16" s="6" customFormat="1">
      <c r="A40" s="6" t="s">
        <v>124</v>
      </c>
      <c r="B40" s="53">
        <v>-8600</v>
      </c>
      <c r="C40" s="53">
        <v>-8593</v>
      </c>
      <c r="D40" s="53">
        <v>-8593</v>
      </c>
      <c r="E40" s="53">
        <v>-8593</v>
      </c>
      <c r="F40" s="53">
        <v>-8593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-105106</v>
      </c>
      <c r="O40" s="88"/>
      <c r="P40" s="58"/>
    </row>
    <row r="41" spans="1:16" s="6" customFormat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-1248100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542805.92999999982</v>
      </c>
      <c r="D42" s="12">
        <f t="shared" si="8"/>
        <v>492099.5</v>
      </c>
      <c r="E42" s="12">
        <f t="shared" si="8"/>
        <v>529658.27</v>
      </c>
      <c r="F42" s="12">
        <f t="shared" si="8"/>
        <v>450747.74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5601537.9626686145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49">
        <v>313331</v>
      </c>
      <c r="C44" s="53">
        <v>587569</v>
      </c>
      <c r="D44" s="53">
        <v>299598</v>
      </c>
      <c r="E44" s="53">
        <v>401721</v>
      </c>
      <c r="F44" s="53">
        <v>399609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4766147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587569</v>
      </c>
      <c r="D46" s="12">
        <f t="shared" ref="D46:N46" si="9">SUM(D44:D45)</f>
        <v>299598</v>
      </c>
      <c r="E46" s="12">
        <f t="shared" si="9"/>
        <v>401721</v>
      </c>
      <c r="F46" s="12">
        <f t="shared" si="9"/>
        <v>399609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4766147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4534344.9695117343</v>
      </c>
      <c r="D48" s="19">
        <f t="shared" si="10"/>
        <v>3439305.8573019328</v>
      </c>
      <c r="E48" s="19">
        <f t="shared" si="10"/>
        <v>3376406.924941136</v>
      </c>
      <c r="F48" s="19">
        <f t="shared" si="10"/>
        <v>2599565.5969434716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37507956.908551075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-3810.9488717345521</v>
      </c>
      <c r="D50" s="12">
        <f t="shared" si="11"/>
        <v>1004641.4814480674</v>
      </c>
      <c r="E50" s="12">
        <f t="shared" si="11"/>
        <v>595109.68371886434</v>
      </c>
      <c r="F50" s="12">
        <f t="shared" si="11"/>
        <v>16546.964496528264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1591942.1756289313</v>
      </c>
      <c r="O50" s="7"/>
      <c r="P50" s="25">
        <f>+N50</f>
        <v>1591942.1756289313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343842.17562893126</v>
      </c>
    </row>
    <row r="53" spans="1:26" s="6" customFormat="1">
      <c r="A53" s="6" t="s">
        <v>55</v>
      </c>
      <c r="B53" s="10">
        <v>17969</v>
      </c>
      <c r="C53" s="10">
        <v>148200</v>
      </c>
      <c r="D53" s="10">
        <v>195000</v>
      </c>
      <c r="E53" s="10">
        <v>95000</v>
      </c>
      <c r="F53" s="10">
        <v>35000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693169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-25000</v>
      </c>
      <c r="D56" s="7">
        <v>-20000</v>
      </c>
      <c r="E56" s="7">
        <v>-25000</v>
      </c>
      <c r="F56" s="7">
        <v>-25000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-269346</v>
      </c>
      <c r="O56" s="7"/>
    </row>
    <row r="57" spans="1:26" s="6" customFormat="1">
      <c r="A57" s="6" t="s">
        <v>59</v>
      </c>
      <c r="B57" s="22">
        <v>-29008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-304008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98200</v>
      </c>
      <c r="D58" s="19">
        <f t="shared" si="12"/>
        <v>150000</v>
      </c>
      <c r="E58" s="19">
        <f t="shared" si="12"/>
        <v>45000</v>
      </c>
      <c r="F58" s="19">
        <f t="shared" si="12"/>
        <v>75000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635672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4632544.9695117343</v>
      </c>
      <c r="D61" s="19">
        <f t="shared" si="13"/>
        <v>3589305.8573019328</v>
      </c>
      <c r="E61" s="19">
        <f t="shared" si="13"/>
        <v>3421406.924941136</v>
      </c>
      <c r="F61" s="19">
        <f t="shared" si="13"/>
        <v>2674565.5969434716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38143628.908551075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-102010.94887173455</v>
      </c>
      <c r="D62" s="14">
        <f t="shared" si="14"/>
        <v>854641.48144806735</v>
      </c>
      <c r="E62" s="14">
        <f t="shared" si="14"/>
        <v>550109.68371886434</v>
      </c>
      <c r="F62" s="14">
        <f t="shared" si="14"/>
        <v>-58453.035503471736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956270.17562892288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-1195627.9488717346</v>
      </c>
      <c r="D63" s="12">
        <f t="shared" si="15"/>
        <v>-340986.4674236672</v>
      </c>
      <c r="E63" s="12">
        <f t="shared" si="15"/>
        <v>209123.21629519714</v>
      </c>
      <c r="F63" s="12">
        <f t="shared" si="15"/>
        <v>150670.1807917254</v>
      </c>
      <c r="G63" s="12">
        <f t="shared" si="15"/>
        <v>143688.43219482992</v>
      </c>
      <c r="H63" s="12">
        <f t="shared" si="15"/>
        <v>312212.85960548557</v>
      </c>
      <c r="I63" s="12">
        <f t="shared" si="15"/>
        <v>811620.75982791279</v>
      </c>
      <c r="J63" s="12">
        <f t="shared" si="15"/>
        <v>1467732.5099272192</v>
      </c>
      <c r="K63" s="12">
        <f t="shared" si="15"/>
        <v>1598858.8363301759</v>
      </c>
      <c r="L63" s="12">
        <f t="shared" si="15"/>
        <v>1838221.8146650852</v>
      </c>
      <c r="M63" s="12">
        <f t="shared" si="15"/>
        <v>956270.17562893126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12403319.051128265</v>
      </c>
      <c r="D64" s="12">
        <f t="shared" si="16"/>
        <v>13257960.532576334</v>
      </c>
      <c r="E64" s="12">
        <f t="shared" si="16"/>
        <v>13808070.216295198</v>
      </c>
      <c r="F64" s="12">
        <f t="shared" si="16"/>
        <v>13749617.180791724</v>
      </c>
      <c r="G64" s="12">
        <f t="shared" si="16"/>
        <v>13742635.432194829</v>
      </c>
      <c r="H64" s="12">
        <f t="shared" si="16"/>
        <v>13911159.859605486</v>
      </c>
      <c r="I64" s="12">
        <f t="shared" si="16"/>
        <v>14410567.759827912</v>
      </c>
      <c r="J64" s="12">
        <f t="shared" si="16"/>
        <v>15066679.509927219</v>
      </c>
      <c r="K64" s="12">
        <f t="shared" si="16"/>
        <v>15197805.836330175</v>
      </c>
      <c r="L64" s="12">
        <f t="shared" si="16"/>
        <v>15437168.814665085</v>
      </c>
      <c r="M64" s="12">
        <f t="shared" si="16"/>
        <v>14555217.17562893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14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1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M72" si="18">+B62-B67</f>
        <v>169857.9897115808</v>
      </c>
      <c r="C72" s="31">
        <f t="shared" si="18"/>
        <v>0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ref="B73:N74" si="19">+B63-B68</f>
        <v>169857.9897115808</v>
      </c>
      <c r="C73" s="31">
        <f t="shared" si="19"/>
        <v>169857.9897115808</v>
      </c>
      <c r="D73" s="31">
        <f t="shared" si="19"/>
        <v>169857.9897115808</v>
      </c>
      <c r="E73" s="31">
        <f t="shared" si="19"/>
        <v>169857.9897115808</v>
      </c>
      <c r="F73" s="31">
        <f t="shared" si="19"/>
        <v>169857.9897115808</v>
      </c>
      <c r="G73" s="31">
        <f t="shared" si="19"/>
        <v>169857.9897115808</v>
      </c>
      <c r="H73" s="31">
        <f t="shared" si="19"/>
        <v>169857.9897115808</v>
      </c>
      <c r="I73" s="31">
        <f t="shared" si="19"/>
        <v>169857.9897115808</v>
      </c>
      <c r="J73" s="31">
        <f t="shared" si="19"/>
        <v>169857.9897115808</v>
      </c>
      <c r="K73" s="31">
        <f t="shared" si="19"/>
        <v>169857.9897115808</v>
      </c>
      <c r="L73" s="31">
        <f t="shared" si="19"/>
        <v>169857.9897115808</v>
      </c>
      <c r="M73" s="31">
        <f t="shared" si="19"/>
        <v>169857.9897115808</v>
      </c>
      <c r="N73" s="16">
        <f t="shared" si="19"/>
        <v>0</v>
      </c>
    </row>
    <row r="74" spans="1:15">
      <c r="A74" s="1" t="s">
        <v>65</v>
      </c>
      <c r="B74" s="16">
        <f t="shared" si="19"/>
        <v>-412182</v>
      </c>
      <c r="C74" s="16">
        <f t="shared" si="19"/>
        <v>-390380.94887173548</v>
      </c>
      <c r="D74" s="16">
        <f t="shared" si="19"/>
        <v>-683894.46742366627</v>
      </c>
      <c r="E74" s="16">
        <f t="shared" si="19"/>
        <v>-716940.78370480239</v>
      </c>
      <c r="F74" s="16">
        <f t="shared" si="19"/>
        <v>-649541.81920827553</v>
      </c>
      <c r="G74" s="16">
        <f t="shared" si="19"/>
        <v>-618833.56780517101</v>
      </c>
      <c r="H74" s="16">
        <f t="shared" si="19"/>
        <v>-550978.14039451443</v>
      </c>
      <c r="I74" s="16">
        <f t="shared" si="19"/>
        <v>-833988.24017208815</v>
      </c>
      <c r="J74" s="16">
        <f t="shared" si="19"/>
        <v>-513218.49007278122</v>
      </c>
      <c r="K74" s="16">
        <f t="shared" si="19"/>
        <v>-750535.1636698246</v>
      </c>
      <c r="L74" s="16">
        <f t="shared" si="19"/>
        <v>-621393.1853349153</v>
      </c>
      <c r="M74" s="16">
        <f t="shared" si="19"/>
        <v>-443764.82437106967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-109346</v>
      </c>
    </row>
    <row r="85" spans="6:8">
      <c r="F85" s="2">
        <f>SUM(B57:F57)</f>
        <v>-129008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 xml:space="preserve">&amp;CCash Flow - FY2019/2020
July 2019
</oddFooter>
  </headerFooter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1:Z85"/>
  <sheetViews>
    <sheetView showGridLines="0" zoomScale="80" zoomScaleNormal="80" workbookViewId="0">
      <selection activeCell="C57" sqref="C57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127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90">
        <v>43679</v>
      </c>
      <c r="D3" s="11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idden="1">
      <c r="A5" s="6" t="s">
        <v>28</v>
      </c>
      <c r="B5" s="49">
        <v>1506911</v>
      </c>
      <c r="C5" s="53">
        <v>4218296</v>
      </c>
      <c r="D5" s="53">
        <v>4095268.3387500001</v>
      </c>
      <c r="E5" s="53">
        <v>3848072.6086600004</v>
      </c>
      <c r="F5" s="53">
        <v>2455124.5614399998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37154938.063540004</v>
      </c>
      <c r="O5" s="29"/>
    </row>
    <row r="6" spans="1:16" s="6" customFormat="1" hidden="1">
      <c r="A6" s="6" t="s">
        <v>29</v>
      </c>
      <c r="B6" s="49">
        <v>122669</v>
      </c>
      <c r="C6" s="53">
        <v>65308</v>
      </c>
      <c r="D6" s="53">
        <v>348679</v>
      </c>
      <c r="E6" s="53">
        <v>123444</v>
      </c>
      <c r="F6" s="53">
        <v>160988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1695840</v>
      </c>
      <c r="O6" s="29"/>
    </row>
    <row r="7" spans="1:16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4443947.3387500001</v>
      </c>
      <c r="E9" s="12">
        <f t="shared" si="0"/>
        <v>3971516.6086600004</v>
      </c>
      <c r="F9" s="12">
        <f t="shared" si="0"/>
        <v>2616112.5614399998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38850778.063540004</v>
      </c>
      <c r="O9" s="29"/>
      <c r="P9" s="29">
        <f>+N9</f>
        <v>38850778.063540004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2421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4443947.3387500001</v>
      </c>
      <c r="E13" s="14">
        <f t="shared" si="1"/>
        <v>3971516.6086600004</v>
      </c>
      <c r="F13" s="14">
        <f t="shared" si="1"/>
        <v>2616112.5614399998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38853199.063540004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idden="1">
      <c r="A16" s="6" t="s">
        <v>34</v>
      </c>
      <c r="B16" s="49">
        <v>789538</v>
      </c>
      <c r="C16" s="53">
        <v>2542832</v>
      </c>
      <c r="D16" s="53">
        <v>1649346.4462299999</v>
      </c>
      <c r="E16" s="53">
        <v>1296440.6412800001</v>
      </c>
      <c r="F16" s="53">
        <v>857870.95172000001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15880607.39405</v>
      </c>
      <c r="O16" s="29"/>
      <c r="P16" s="7">
        <f>-N16</f>
        <v>-15880607.39405</v>
      </c>
    </row>
    <row r="17" spans="1:16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1649346.4462299999</v>
      </c>
      <c r="E20" s="12">
        <f t="shared" si="2"/>
        <v>1296440.6412800001</v>
      </c>
      <c r="F20" s="12">
        <f t="shared" si="2"/>
        <v>857870.95172000001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15880607.39405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 hidden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2445921.8925200002</v>
      </c>
      <c r="E23" s="7">
        <f t="shared" si="3"/>
        <v>2551631.9673800003</v>
      </c>
      <c r="F23" s="7">
        <f t="shared" si="3"/>
        <v>1597253.6097199998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21274330.669490006</v>
      </c>
      <c r="O23" s="29"/>
    </row>
    <row r="24" spans="1:16" s="6" customFormat="1" hidden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348679</v>
      </c>
      <c r="E24" s="7">
        <f t="shared" si="3"/>
        <v>123444</v>
      </c>
      <c r="F24" s="7">
        <f t="shared" si="3"/>
        <v>160988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1695840</v>
      </c>
      <c r="O24" s="29"/>
    </row>
    <row r="25" spans="1:16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2794600.8925200002</v>
      </c>
      <c r="E27" s="12">
        <f t="shared" si="4"/>
        <v>2675075.9673800003</v>
      </c>
      <c r="F27" s="12">
        <f t="shared" si="4"/>
        <v>1758241.6097199998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22970170.669490006</v>
      </c>
      <c r="O27" s="29"/>
      <c r="P27" s="29">
        <f>+N27</f>
        <v>22970170.669490006</v>
      </c>
    </row>
    <row r="28" spans="1:16" s="6" customFormat="1" ht="14.4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0.62885553754245649</v>
      </c>
      <c r="E28" s="73">
        <f t="shared" si="5"/>
        <v>0.67356534819643565</v>
      </c>
      <c r="F28" s="73">
        <f t="shared" si="5"/>
        <v>0.67208178869497959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0.59124094328104715</v>
      </c>
    </row>
    <row r="29" spans="1:16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 hidden="1">
      <c r="A30" s="6" t="s">
        <v>93</v>
      </c>
      <c r="B30" s="49">
        <v>599577</v>
      </c>
      <c r="C30" s="53">
        <v>671079</v>
      </c>
      <c r="D30" s="53">
        <v>783959.86009330465</v>
      </c>
      <c r="E30" s="53">
        <v>904980.62775222072</v>
      </c>
      <c r="F30" s="53">
        <v>686895.29853070469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8658102.9582725056</v>
      </c>
      <c r="O30" s="29"/>
    </row>
    <row r="31" spans="1:16" s="6" customFormat="1" hidden="1">
      <c r="A31" s="6" t="s">
        <v>42</v>
      </c>
      <c r="B31" s="49">
        <v>243836</v>
      </c>
      <c r="C31" s="53">
        <v>217946</v>
      </c>
      <c r="D31" s="53">
        <v>214302.05097862822</v>
      </c>
      <c r="E31" s="53">
        <v>243606.38590891552</v>
      </c>
      <c r="F31" s="53">
        <v>204442.60669276689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2629448.5540482202</v>
      </c>
      <c r="O31" s="29"/>
    </row>
    <row r="32" spans="1:16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998261.91107193287</v>
      </c>
      <c r="E34" s="12">
        <f t="shared" si="6"/>
        <v>1148587.0136611362</v>
      </c>
      <c r="F34" s="12">
        <f t="shared" si="6"/>
        <v>891337.90522347158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11287551.512320725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1312659</v>
      </c>
      <c r="C37" s="53">
        <v>1350844</v>
      </c>
      <c r="D37" s="53">
        <v>1582930.4110719329</v>
      </c>
      <c r="E37" s="53">
        <v>1774889.2836611362</v>
      </c>
      <c r="F37" s="53">
        <v>1438729.6452234716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17965714.544989333</v>
      </c>
      <c r="O37" s="29"/>
    </row>
    <row r="38" spans="1:16" s="6" customFormat="1" hidden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-998261.91107193287</v>
      </c>
      <c r="E38" s="7">
        <f t="shared" si="7"/>
        <v>-1148587.0136611362</v>
      </c>
      <c r="F38" s="7">
        <f t="shared" si="7"/>
        <v>-891337.90522347158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-11287551.512320723</v>
      </c>
      <c r="O38" s="29"/>
    </row>
    <row r="39" spans="1:16" s="6" customFormat="1" hidden="1">
      <c r="A39" s="6" t="s">
        <v>47</v>
      </c>
      <c r="B39" s="72">
        <v>-77862</v>
      </c>
      <c r="C39" s="72">
        <v>-77862</v>
      </c>
      <c r="D39" s="72">
        <v>-79726</v>
      </c>
      <c r="E39" s="72">
        <v>-83801</v>
      </c>
      <c r="F39" s="72">
        <v>-83801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-999811</v>
      </c>
      <c r="O39" s="88"/>
      <c r="P39" s="42"/>
    </row>
    <row r="40" spans="1:16" s="6" customFormat="1" hidden="1">
      <c r="A40" s="6" t="s">
        <v>124</v>
      </c>
      <c r="B40" s="53">
        <v>-8600</v>
      </c>
      <c r="C40" s="53">
        <v>-8600</v>
      </c>
      <c r="D40" s="53">
        <v>-8593</v>
      </c>
      <c r="E40" s="53">
        <v>-8593</v>
      </c>
      <c r="F40" s="53">
        <v>-8593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-105113</v>
      </c>
      <c r="O40" s="88"/>
      <c r="P40" s="58"/>
    </row>
    <row r="41" spans="1:16" s="6" customFormat="1" hidden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-1248324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492099.5</v>
      </c>
      <c r="E42" s="12">
        <f t="shared" si="8"/>
        <v>529658.27</v>
      </c>
      <c r="F42" s="12">
        <f t="shared" si="8"/>
        <v>450747.74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5429839.0326686092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313331</v>
      </c>
      <c r="C44" s="53">
        <v>400498</v>
      </c>
      <c r="D44" s="53">
        <v>299598</v>
      </c>
      <c r="E44" s="53">
        <v>401721</v>
      </c>
      <c r="F44" s="53">
        <v>399609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4579076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299598</v>
      </c>
      <c r="E46" s="12">
        <f t="shared" si="9"/>
        <v>401721</v>
      </c>
      <c r="F46" s="12">
        <f t="shared" si="9"/>
        <v>399609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4579076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3439305.8573019328</v>
      </c>
      <c r="E48" s="19">
        <f t="shared" si="10"/>
        <v>3376406.924941136</v>
      </c>
      <c r="F48" s="19">
        <f t="shared" si="10"/>
        <v>2599565.5969434716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37177073.939039335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1004641.4814480674</v>
      </c>
      <c r="E50" s="12">
        <f t="shared" si="11"/>
        <v>595109.68371886434</v>
      </c>
      <c r="F50" s="12">
        <f t="shared" si="11"/>
        <v>16546.964496528264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1676125.1245006658</v>
      </c>
      <c r="O50" s="7"/>
      <c r="P50" s="25">
        <f>+N50</f>
        <v>1676125.1245006658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427801.12450066581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195000</v>
      </c>
      <c r="E53" s="10">
        <v>95000</v>
      </c>
      <c r="F53" s="10">
        <v>35000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592102.55000000005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-15057</v>
      </c>
      <c r="D56" s="7">
        <v>-20000</v>
      </c>
      <c r="E56" s="7">
        <v>-25000</v>
      </c>
      <c r="F56" s="7">
        <v>-25000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-259403</v>
      </c>
      <c r="O56" s="7"/>
    </row>
    <row r="57" spans="1:26" s="6" customFormat="1">
      <c r="A57" s="6" t="s">
        <v>59</v>
      </c>
      <c r="B57" s="22">
        <v>-29008</v>
      </c>
      <c r="C57" s="22">
        <v>209614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-69394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150000</v>
      </c>
      <c r="E58" s="19">
        <f t="shared" si="12"/>
        <v>45000</v>
      </c>
      <c r="F58" s="19">
        <f t="shared" si="12"/>
        <v>75000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779162.55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3589305.8573019328</v>
      </c>
      <c r="E61" s="19">
        <f t="shared" si="13"/>
        <v>3421406.924941136</v>
      </c>
      <c r="F61" s="19">
        <f t="shared" si="13"/>
        <v>2674565.5969434716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37956236.489039332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854641.48144806735</v>
      </c>
      <c r="E62" s="14">
        <f t="shared" si="14"/>
        <v>550109.68371886434</v>
      </c>
      <c r="F62" s="14">
        <f t="shared" si="14"/>
        <v>-58453.035503471736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896962.57450067252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-400294.06855193246</v>
      </c>
      <c r="E63" s="12">
        <f t="shared" si="15"/>
        <v>149815.61516693188</v>
      </c>
      <c r="F63" s="12">
        <f t="shared" si="15"/>
        <v>91362.579663460143</v>
      </c>
      <c r="G63" s="12">
        <f t="shared" si="15"/>
        <v>84380.831066564657</v>
      </c>
      <c r="H63" s="12">
        <f t="shared" si="15"/>
        <v>252905.25847722031</v>
      </c>
      <c r="I63" s="12">
        <f t="shared" si="15"/>
        <v>752313.15869964752</v>
      </c>
      <c r="J63" s="12">
        <f t="shared" si="15"/>
        <v>1408424.908798954</v>
      </c>
      <c r="K63" s="12">
        <f t="shared" si="15"/>
        <v>1539551.2352019106</v>
      </c>
      <c r="L63" s="12">
        <f t="shared" si="15"/>
        <v>1778914.2135368199</v>
      </c>
      <c r="M63" s="12">
        <f t="shared" si="15"/>
        <v>896962.574500666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13198652.931448068</v>
      </c>
      <c r="E64" s="12">
        <f t="shared" si="16"/>
        <v>13748762.615166932</v>
      </c>
      <c r="F64" s="12">
        <f t="shared" si="16"/>
        <v>13690309.579663459</v>
      </c>
      <c r="G64" s="12">
        <f t="shared" si="16"/>
        <v>13683327.831066564</v>
      </c>
      <c r="H64" s="12">
        <f t="shared" si="16"/>
        <v>13851852.25847722</v>
      </c>
      <c r="I64" s="12">
        <f t="shared" si="16"/>
        <v>14351260.158699647</v>
      </c>
      <c r="J64" s="12">
        <f t="shared" si="16"/>
        <v>15007371.908798954</v>
      </c>
      <c r="K64" s="12">
        <f t="shared" si="16"/>
        <v>15138498.23520191</v>
      </c>
      <c r="L64" s="12">
        <f t="shared" si="16"/>
        <v>15377861.213536819</v>
      </c>
      <c r="M64" s="12">
        <f t="shared" si="16"/>
        <v>14495909.574500665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110550.38858331554</v>
      </c>
      <c r="E73" s="31">
        <f t="shared" si="18"/>
        <v>110550.38858331554</v>
      </c>
      <c r="F73" s="31">
        <f t="shared" si="18"/>
        <v>110550.38858331554</v>
      </c>
      <c r="G73" s="31">
        <f t="shared" si="18"/>
        <v>110550.38858331554</v>
      </c>
      <c r="H73" s="31">
        <f t="shared" si="18"/>
        <v>110550.38858331554</v>
      </c>
      <c r="I73" s="31">
        <f t="shared" si="18"/>
        <v>110550.38858331554</v>
      </c>
      <c r="J73" s="31">
        <f t="shared" si="18"/>
        <v>110550.38858331554</v>
      </c>
      <c r="K73" s="31">
        <f t="shared" si="18"/>
        <v>110550.38858331554</v>
      </c>
      <c r="L73" s="31">
        <f t="shared" si="18"/>
        <v>110550.38858331554</v>
      </c>
      <c r="M73" s="31">
        <f t="shared" si="18"/>
        <v>110550.38858331554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-449688.55000000075</v>
      </c>
      <c r="D74" s="16">
        <f t="shared" si="18"/>
        <v>-743202.06855193153</v>
      </c>
      <c r="E74" s="16">
        <f t="shared" si="18"/>
        <v>-776248.38483306766</v>
      </c>
      <c r="F74" s="16">
        <f t="shared" si="18"/>
        <v>-708849.42033654079</v>
      </c>
      <c r="G74" s="16">
        <f t="shared" si="18"/>
        <v>-678141.16893343627</v>
      </c>
      <c r="H74" s="16">
        <f t="shared" si="18"/>
        <v>-610285.74152277969</v>
      </c>
      <c r="I74" s="16">
        <f t="shared" si="18"/>
        <v>-893295.84130035341</v>
      </c>
      <c r="J74" s="16">
        <f t="shared" si="18"/>
        <v>-572526.09120104648</v>
      </c>
      <c r="K74" s="16">
        <f t="shared" si="18"/>
        <v>-809842.76479808986</v>
      </c>
      <c r="L74" s="16">
        <f t="shared" si="18"/>
        <v>-680700.78646318056</v>
      </c>
      <c r="M74" s="16">
        <f t="shared" si="18"/>
        <v>-503072.42549933493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-99403</v>
      </c>
    </row>
    <row r="85" spans="6:8">
      <c r="F85" s="2">
        <f>SUM(B57:F57)</f>
        <v>105606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FY2019/2020
Aug 2019</oddFooter>
  </headerFooter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1:Z85"/>
  <sheetViews>
    <sheetView showGridLines="0" topLeftCell="A49" zoomScale="90" zoomScaleNormal="90" workbookViewId="0">
      <selection activeCell="C57" sqref="C57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128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24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90">
        <v>43679</v>
      </c>
      <c r="D3" s="90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idden="1">
      <c r="A5" s="6" t="s">
        <v>28</v>
      </c>
      <c r="B5" s="49">
        <v>1506911</v>
      </c>
      <c r="C5" s="53">
        <v>4218296</v>
      </c>
      <c r="D5" s="53">
        <v>4008767</v>
      </c>
      <c r="E5" s="53">
        <v>3848072.6086600004</v>
      </c>
      <c r="F5" s="53">
        <v>2455124.5614399998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37068436.724790007</v>
      </c>
      <c r="O5" s="29"/>
    </row>
    <row r="6" spans="1:16" s="6" customFormat="1" hidden="1">
      <c r="A6" s="6" t="s">
        <v>29</v>
      </c>
      <c r="B6" s="49">
        <v>122669</v>
      </c>
      <c r="C6" s="53">
        <v>65308</v>
      </c>
      <c r="D6" s="53">
        <v>368424</v>
      </c>
      <c r="E6" s="53">
        <v>123444</v>
      </c>
      <c r="F6" s="53">
        <v>160988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1715585</v>
      </c>
      <c r="O6" s="29"/>
    </row>
    <row r="7" spans="1:16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3971516.6086600004</v>
      </c>
      <c r="F9" s="12">
        <f t="shared" si="0"/>
        <v>2616112.5614399998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38784021.724790007</v>
      </c>
      <c r="O9" s="29"/>
      <c r="P9" s="29">
        <f>+N9</f>
        <v>38784021.724790007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2829.4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3971516.6086600004</v>
      </c>
      <c r="F13" s="14">
        <f t="shared" si="1"/>
        <v>2616112.5614399998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38786851.124790005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idden="1">
      <c r="A16" s="6" t="s">
        <v>34</v>
      </c>
      <c r="B16" s="49">
        <v>789538</v>
      </c>
      <c r="C16" s="53">
        <v>2542832</v>
      </c>
      <c r="D16" s="53">
        <v>1670912</v>
      </c>
      <c r="E16" s="53">
        <v>1296440.6412800001</v>
      </c>
      <c r="F16" s="53">
        <v>857870.95172000001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15902172.94782</v>
      </c>
      <c r="O16" s="29"/>
      <c r="P16" s="7">
        <f>-N16</f>
        <v>-15902172.94782</v>
      </c>
    </row>
    <row r="17" spans="1:16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1296440.6412800001</v>
      </c>
      <c r="F20" s="12">
        <f t="shared" si="2"/>
        <v>857870.95172000001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15902172.94782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 hidden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2337855</v>
      </c>
      <c r="E23" s="7">
        <f t="shared" si="3"/>
        <v>2551631.9673800003</v>
      </c>
      <c r="F23" s="7">
        <f t="shared" si="3"/>
        <v>1597253.6097199998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21166263.776970003</v>
      </c>
      <c r="O23" s="29"/>
    </row>
    <row r="24" spans="1:16" s="6" customFormat="1" hidden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368424</v>
      </c>
      <c r="E24" s="7">
        <f t="shared" si="3"/>
        <v>123444</v>
      </c>
      <c r="F24" s="7">
        <f t="shared" si="3"/>
        <v>160988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1715585</v>
      </c>
      <c r="O24" s="29"/>
    </row>
    <row r="25" spans="1:16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2675075.9673800003</v>
      </c>
      <c r="F27" s="12">
        <f t="shared" si="4"/>
        <v>1758241.6097199998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22881848.776970003</v>
      </c>
      <c r="O27" s="29"/>
      <c r="P27" s="29">
        <f>+N27</f>
        <v>22881848.776970003</v>
      </c>
    </row>
    <row r="28" spans="1:16" s="6" customFormat="1" ht="14.4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0.67356534819643565</v>
      </c>
      <c r="F28" s="73">
        <f t="shared" si="5"/>
        <v>0.67208178869497959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0.58998133147043808</v>
      </c>
    </row>
    <row r="29" spans="1:16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 hidden="1">
      <c r="A30" s="6" t="s">
        <v>93</v>
      </c>
      <c r="B30" s="49">
        <v>599577</v>
      </c>
      <c r="C30" s="53">
        <v>671079</v>
      </c>
      <c r="D30" s="53">
        <v>793811</v>
      </c>
      <c r="E30" s="53">
        <v>904980.62775222072</v>
      </c>
      <c r="F30" s="53">
        <v>686895.29853070469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8667954.0981792007</v>
      </c>
      <c r="O30" s="29"/>
    </row>
    <row r="31" spans="1:16" s="6" customFormat="1" hidden="1">
      <c r="A31" s="6" t="s">
        <v>42</v>
      </c>
      <c r="B31" s="49">
        <v>243836</v>
      </c>
      <c r="C31" s="53">
        <v>217946</v>
      </c>
      <c r="D31" s="53">
        <v>239113</v>
      </c>
      <c r="E31" s="53">
        <v>243606.38590891552</v>
      </c>
      <c r="F31" s="53">
        <v>204442.60669276689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2654259.5030695917</v>
      </c>
      <c r="O31" s="29"/>
    </row>
    <row r="32" spans="1:16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1148587.0136611362</v>
      </c>
      <c r="F34" s="12">
        <f t="shared" si="6"/>
        <v>891337.90522347158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11322213.601248793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1312659</v>
      </c>
      <c r="C37" s="53">
        <v>1350844</v>
      </c>
      <c r="D37" s="53">
        <v>1621977</v>
      </c>
      <c r="E37" s="53">
        <v>1774889.2836611362</v>
      </c>
      <c r="F37" s="53">
        <v>1438729.6452234716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18004761.133917402</v>
      </c>
      <c r="O37" s="29"/>
    </row>
    <row r="38" spans="1:16" s="6" customFormat="1" hidden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-1032924</v>
      </c>
      <c r="E38" s="7">
        <f t="shared" si="7"/>
        <v>-1148587.0136611362</v>
      </c>
      <c r="F38" s="7">
        <f t="shared" si="7"/>
        <v>-891337.90522347158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-11322213.60124879</v>
      </c>
      <c r="O38" s="29"/>
    </row>
    <row r="39" spans="1:16" s="6" customFormat="1" hidden="1">
      <c r="A39" s="6" t="s">
        <v>47</v>
      </c>
      <c r="B39" s="72">
        <v>-77862</v>
      </c>
      <c r="C39" s="72">
        <v>-77862</v>
      </c>
      <c r="D39" s="72">
        <v>-77862</v>
      </c>
      <c r="E39" s="72">
        <v>-83801</v>
      </c>
      <c r="F39" s="72">
        <v>-83801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-997947</v>
      </c>
      <c r="O39" s="88"/>
      <c r="P39" s="42"/>
    </row>
    <row r="40" spans="1:16" s="6" customFormat="1" hidden="1">
      <c r="A40" s="6" t="s">
        <v>124</v>
      </c>
      <c r="B40" s="53">
        <v>-8600</v>
      </c>
      <c r="C40" s="53">
        <v>-8600</v>
      </c>
      <c r="D40" s="53">
        <v>-8600</v>
      </c>
      <c r="E40" s="53">
        <v>-8593</v>
      </c>
      <c r="F40" s="53">
        <v>-8593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-105120</v>
      </c>
      <c r="O40" s="88"/>
      <c r="P40" s="58"/>
    </row>
    <row r="41" spans="1:16" s="6" customFormat="1" hidden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-1246467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529658.27</v>
      </c>
      <c r="F42" s="12">
        <f t="shared" si="8"/>
        <v>450747.74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5436080.5326686129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313331</v>
      </c>
      <c r="C44" s="53">
        <v>400498</v>
      </c>
      <c r="D44" s="53">
        <v>331729</v>
      </c>
      <c r="E44" s="53">
        <v>401721</v>
      </c>
      <c r="F44" s="53">
        <v>399609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4611207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401721</v>
      </c>
      <c r="F46" s="12">
        <f t="shared" si="9"/>
        <v>399609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4611207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3376406.924941136</v>
      </c>
      <c r="F48" s="19">
        <f t="shared" si="10"/>
        <v>2599565.5969434716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37271674.081737407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595109.68371886434</v>
      </c>
      <c r="F50" s="12">
        <f t="shared" si="11"/>
        <v>16546.964496528264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1515177.0430525988</v>
      </c>
      <c r="O50" s="7"/>
      <c r="P50" s="25">
        <f>+N50</f>
        <v>1515177.0430525988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268710.04305259883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95000</v>
      </c>
      <c r="F53" s="10">
        <v>35000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476373.96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-25000</v>
      </c>
      <c r="F56" s="7">
        <v>-25000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-258945</v>
      </c>
      <c r="O56" s="7"/>
    </row>
    <row r="57" spans="1:26" s="6" customFormat="1">
      <c r="A57" s="6" t="s">
        <v>59</v>
      </c>
      <c r="B57" s="22">
        <v>-29008</v>
      </c>
      <c r="C57" s="22">
        <v>209614</v>
      </c>
      <c r="D57" s="22">
        <v>-83076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-127470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45000</v>
      </c>
      <c r="F58" s="19">
        <f t="shared" si="12"/>
        <v>75000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605815.96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3421406.924941136</v>
      </c>
      <c r="F61" s="19">
        <f t="shared" si="13"/>
        <v>2674565.5969434716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37877490.041737407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550109.68371886434</v>
      </c>
      <c r="F62" s="14">
        <f t="shared" si="14"/>
        <v>-58453.035503471736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909361.08305259794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162214.12371886475</v>
      </c>
      <c r="F63" s="12">
        <f t="shared" si="15"/>
        <v>103761.08821539301</v>
      </c>
      <c r="G63" s="12">
        <f t="shared" si="15"/>
        <v>96779.339618497528</v>
      </c>
      <c r="H63" s="12">
        <f t="shared" si="15"/>
        <v>265303.76702915318</v>
      </c>
      <c r="I63" s="12">
        <f t="shared" si="15"/>
        <v>764711.66725158039</v>
      </c>
      <c r="J63" s="12">
        <f t="shared" si="15"/>
        <v>1420823.4173508869</v>
      </c>
      <c r="K63" s="12">
        <f t="shared" si="15"/>
        <v>1551949.7437538435</v>
      </c>
      <c r="L63" s="12">
        <f t="shared" si="15"/>
        <v>1791312.7220887528</v>
      </c>
      <c r="M63" s="12">
        <f t="shared" si="15"/>
        <v>909361.08305259887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13761161.123718865</v>
      </c>
      <c r="F64" s="12">
        <f t="shared" si="16"/>
        <v>13702708.088215392</v>
      </c>
      <c r="G64" s="12">
        <f t="shared" si="16"/>
        <v>13695726.339618497</v>
      </c>
      <c r="H64" s="12">
        <f t="shared" si="16"/>
        <v>13864250.767029153</v>
      </c>
      <c r="I64" s="12">
        <f t="shared" si="16"/>
        <v>14363658.667251579</v>
      </c>
      <c r="J64" s="12">
        <f t="shared" si="16"/>
        <v>15019770.417350886</v>
      </c>
      <c r="K64" s="12">
        <f t="shared" si="16"/>
        <v>15150896.743753843</v>
      </c>
      <c r="L64" s="12">
        <f t="shared" si="16"/>
        <v>15390259.722088752</v>
      </c>
      <c r="M64" s="12">
        <f t="shared" si="16"/>
        <v>14508308.083052598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16">
        <f t="shared" si="18"/>
        <v>12398.508551932871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110550.38858331554</v>
      </c>
      <c r="D73" s="16">
        <f t="shared" si="18"/>
        <v>122948.89713524841</v>
      </c>
      <c r="E73" s="31">
        <f t="shared" si="18"/>
        <v>122948.89713524841</v>
      </c>
      <c r="F73" s="31">
        <f t="shared" si="18"/>
        <v>122948.89713524841</v>
      </c>
      <c r="G73" s="31">
        <f t="shared" si="18"/>
        <v>122948.89713524841</v>
      </c>
      <c r="H73" s="31">
        <f t="shared" si="18"/>
        <v>122948.89713524841</v>
      </c>
      <c r="I73" s="31">
        <f t="shared" si="18"/>
        <v>122948.89713524841</v>
      </c>
      <c r="J73" s="31">
        <f t="shared" si="18"/>
        <v>122948.89713524841</v>
      </c>
      <c r="K73" s="31">
        <f t="shared" si="18"/>
        <v>122948.89713524841</v>
      </c>
      <c r="L73" s="31">
        <f t="shared" si="18"/>
        <v>122948.89713524841</v>
      </c>
      <c r="M73" s="31">
        <f t="shared" si="18"/>
        <v>122948.89713524841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-449688.55000000075</v>
      </c>
      <c r="D74" s="16">
        <f t="shared" si="18"/>
        <v>-730803.55999999866</v>
      </c>
      <c r="E74" s="16">
        <f t="shared" si="18"/>
        <v>-763849.87628113478</v>
      </c>
      <c r="F74" s="16">
        <f t="shared" si="18"/>
        <v>-696450.91178460792</v>
      </c>
      <c r="G74" s="16">
        <f t="shared" si="18"/>
        <v>-665742.6603815034</v>
      </c>
      <c r="H74" s="16">
        <f t="shared" si="18"/>
        <v>-597887.23297084682</v>
      </c>
      <c r="I74" s="16">
        <f t="shared" si="18"/>
        <v>-880897.33274842054</v>
      </c>
      <c r="J74" s="16">
        <f t="shared" si="18"/>
        <v>-560127.58264911361</v>
      </c>
      <c r="K74" s="16">
        <f t="shared" si="18"/>
        <v>-797444.25624615699</v>
      </c>
      <c r="L74" s="16">
        <f t="shared" si="18"/>
        <v>-668302.27791124769</v>
      </c>
      <c r="M74" s="16">
        <f t="shared" si="18"/>
        <v>-490673.91694740206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-98945</v>
      </c>
    </row>
    <row r="85" spans="6:8">
      <c r="F85" s="2">
        <f>SUM(B57:F57)</f>
        <v>47530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FY2019/2020
September 2019</oddFooter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1:Z85"/>
  <sheetViews>
    <sheetView showGridLines="0" zoomScale="90" zoomScaleNormal="90" workbookViewId="0">
      <selection activeCell="C57" sqref="C57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129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90">
        <v>43679</v>
      </c>
      <c r="D3" s="90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idden="1">
      <c r="A5" s="6" t="s">
        <v>28</v>
      </c>
      <c r="B5" s="49">
        <v>1506911</v>
      </c>
      <c r="C5" s="53">
        <v>4218296</v>
      </c>
      <c r="D5" s="53">
        <v>4008767</v>
      </c>
      <c r="E5" s="53">
        <v>3723428</v>
      </c>
      <c r="F5" s="53">
        <v>2455124.5614399998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36943792.116130002</v>
      </c>
      <c r="O5" s="29"/>
    </row>
    <row r="6" spans="1:16" s="6" customFormat="1" hidden="1">
      <c r="A6" s="6" t="s">
        <v>29</v>
      </c>
      <c r="B6" s="49">
        <v>122669</v>
      </c>
      <c r="C6" s="53">
        <v>65308</v>
      </c>
      <c r="D6" s="53">
        <v>368424</v>
      </c>
      <c r="E6" s="53">
        <v>265657</v>
      </c>
      <c r="F6" s="53">
        <v>160988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1857798</v>
      </c>
      <c r="O6" s="29"/>
    </row>
    <row r="7" spans="1:16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2616112.5614399998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38801590.116130002</v>
      </c>
      <c r="O9" s="29"/>
      <c r="P9" s="29">
        <f>+N9</f>
        <v>38801590.116130002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/>
      <c r="G11" s="7"/>
      <c r="H11" s="7"/>
      <c r="I11" s="7"/>
      <c r="J11" s="7"/>
      <c r="K11" s="7"/>
      <c r="L11" s="7"/>
      <c r="M11" s="7"/>
      <c r="N11" s="7">
        <f>SUM(B11:M11)</f>
        <v>2602.4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2616112.5614399998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38804192.51613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t="1.5" customHeigh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t="1.5" hidden="1" customHeight="1">
      <c r="A16" s="6" t="s">
        <v>34</v>
      </c>
      <c r="B16" s="49">
        <v>789538</v>
      </c>
      <c r="C16" s="53">
        <v>2542832</v>
      </c>
      <c r="D16" s="53">
        <v>1670912</v>
      </c>
      <c r="E16" s="53">
        <v>1241006</v>
      </c>
      <c r="F16" s="53">
        <v>857870.95172000001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15846738.306540001</v>
      </c>
      <c r="O16" s="29"/>
      <c r="P16" s="7">
        <f>-N16</f>
        <v>-15846738.306540001</v>
      </c>
    </row>
    <row r="17" spans="1:16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857870.95172000001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15846738.306540001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t="3" customHeigh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 hidden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2337855</v>
      </c>
      <c r="E23" s="7">
        <f t="shared" si="3"/>
        <v>2482422</v>
      </c>
      <c r="F23" s="7">
        <f t="shared" si="3"/>
        <v>1597253.6097199998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21097053.809590004</v>
      </c>
      <c r="O23" s="29"/>
    </row>
    <row r="24" spans="1:16" s="6" customFormat="1" hidden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368424</v>
      </c>
      <c r="E24" s="7">
        <f t="shared" si="3"/>
        <v>265657</v>
      </c>
      <c r="F24" s="7">
        <f t="shared" si="3"/>
        <v>160988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1857798</v>
      </c>
      <c r="O24" s="29"/>
    </row>
    <row r="25" spans="1:16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1758241.6097199998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22954851.809590004</v>
      </c>
      <c r="O27" s="29"/>
      <c r="P27" s="29">
        <f>+N27</f>
        <v>22954851.809590004</v>
      </c>
    </row>
    <row r="28" spans="1:16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0.67208178869497959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0.59159564700539335</v>
      </c>
    </row>
    <row r="29" spans="1:16" s="6" customFormat="1" ht="3" customHeigh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 hidden="1">
      <c r="A30" s="6" t="s">
        <v>93</v>
      </c>
      <c r="B30" s="49">
        <v>599577</v>
      </c>
      <c r="C30" s="53">
        <v>671079</v>
      </c>
      <c r="D30" s="53">
        <v>793811</v>
      </c>
      <c r="E30" s="53">
        <v>957117</v>
      </c>
      <c r="F30" s="53">
        <v>686895.29853070469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8720090.4704269804</v>
      </c>
      <c r="O30" s="29"/>
    </row>
    <row r="31" spans="1:16" s="6" customFormat="1" hidden="1">
      <c r="A31" s="6" t="s">
        <v>42</v>
      </c>
      <c r="B31" s="49">
        <v>243836</v>
      </c>
      <c r="C31" s="53">
        <v>217946</v>
      </c>
      <c r="D31" s="53">
        <v>239113</v>
      </c>
      <c r="E31" s="53">
        <v>257850</v>
      </c>
      <c r="F31" s="53">
        <v>204442.60669276689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2668503.117160676</v>
      </c>
      <c r="O31" s="29"/>
    </row>
    <row r="32" spans="1:16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891337.90522347158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11388593.587587656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t="3" customHeigh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1312659</v>
      </c>
      <c r="C37" s="53">
        <v>1350844</v>
      </c>
      <c r="D37" s="53">
        <v>1621977</v>
      </c>
      <c r="E37" s="53">
        <v>1862721</v>
      </c>
      <c r="F37" s="53">
        <v>1438729.6452234716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18092592.850256268</v>
      </c>
      <c r="O37" s="29"/>
    </row>
    <row r="38" spans="1:16" s="6" customFormat="1" hidden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-1032924</v>
      </c>
      <c r="E38" s="7">
        <f t="shared" si="7"/>
        <v>-1214967</v>
      </c>
      <c r="F38" s="7">
        <f t="shared" si="7"/>
        <v>-891337.90522347158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-11388593.587587655</v>
      </c>
      <c r="O38" s="29"/>
    </row>
    <row r="39" spans="1:16" s="6" customFormat="1" hidden="1">
      <c r="A39" s="6" t="s">
        <v>47</v>
      </c>
      <c r="B39" s="72">
        <v>-77862</v>
      </c>
      <c r="C39" s="72">
        <v>-77862</v>
      </c>
      <c r="D39" s="72">
        <v>-77862</v>
      </c>
      <c r="E39" s="72">
        <v>-77862</v>
      </c>
      <c r="F39" s="72">
        <v>-83801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-992008</v>
      </c>
      <c r="O39" s="88"/>
      <c r="P39" s="42"/>
    </row>
    <row r="40" spans="1:16" s="6" customFormat="1" hidden="1">
      <c r="A40" s="6" t="s">
        <v>124</v>
      </c>
      <c r="B40" s="53">
        <v>-8600</v>
      </c>
      <c r="C40" s="53">
        <v>-8600</v>
      </c>
      <c r="D40" s="53">
        <v>-8600</v>
      </c>
      <c r="E40" s="53">
        <v>-8600</v>
      </c>
      <c r="F40" s="53">
        <v>-8593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-105127</v>
      </c>
      <c r="O40" s="88"/>
      <c r="P40" s="58"/>
    </row>
    <row r="41" spans="1:16" s="6" customFormat="1" hidden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-1240535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450747.74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5463464.2626686133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t="3" customHeight="1">
      <c r="A44" s="13" t="s">
        <v>50</v>
      </c>
      <c r="B44" s="53">
        <v>313331</v>
      </c>
      <c r="C44" s="53">
        <v>400498</v>
      </c>
      <c r="D44" s="53">
        <v>331729</v>
      </c>
      <c r="E44" s="53">
        <v>309099</v>
      </c>
      <c r="F44" s="53">
        <v>399609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4518585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399609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4518585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 t="shared" si="10"/>
        <v>2599565.5969434716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37217381.156796277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 t="shared" si="11"/>
        <v>16546.964496528264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1586811.3593337345</v>
      </c>
      <c r="O50" s="7"/>
      <c r="P50" s="25">
        <f>+N50</f>
        <v>1586811.3593337345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346276.35933373449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35000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402267.48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-14850</v>
      </c>
      <c r="D56" s="7">
        <v>-19542</v>
      </c>
      <c r="E56" s="7">
        <v>-13668</v>
      </c>
      <c r="F56" s="7">
        <v>-25000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-247406</v>
      </c>
      <c r="O56" s="7"/>
    </row>
    <row r="57" spans="1:26" s="6" customFormat="1">
      <c r="A57" s="6" t="s">
        <v>59</v>
      </c>
      <c r="B57" s="22">
        <v>-29008</v>
      </c>
      <c r="C57" s="22">
        <v>209614</v>
      </c>
      <c r="D57" s="22">
        <v>-83076</v>
      </c>
      <c r="E57" s="91">
        <v>-215833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-318303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241897.55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75000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352415.48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4445359.55</v>
      </c>
      <c r="D61" s="19">
        <f t="shared" si="13"/>
        <v>3510559.41</v>
      </c>
      <c r="E61" s="19">
        <f t="shared" si="13"/>
        <v>3113506.52</v>
      </c>
      <c r="F61" s="19">
        <f t="shared" si="13"/>
        <v>2674565.5969434716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37569796.636796273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-161525.54999999981</v>
      </c>
      <c r="D62" s="14">
        <f t="shared" si="14"/>
        <v>867039.99000000022</v>
      </c>
      <c r="E62" s="14">
        <f t="shared" si="14"/>
        <v>875351.48</v>
      </c>
      <c r="F62" s="14">
        <f t="shared" si="14"/>
        <v>-58453.035503471736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1234395.8793337271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-1255142.5499999998</v>
      </c>
      <c r="D63" s="12">
        <f t="shared" si="15"/>
        <v>-388102.55999999959</v>
      </c>
      <c r="E63" s="12">
        <f t="shared" si="15"/>
        <v>487248.92000000039</v>
      </c>
      <c r="F63" s="12">
        <f t="shared" si="15"/>
        <v>428795.88449652866</v>
      </c>
      <c r="G63" s="12">
        <f t="shared" si="15"/>
        <v>421814.13589963317</v>
      </c>
      <c r="H63" s="12">
        <f t="shared" si="15"/>
        <v>590338.56331028882</v>
      </c>
      <c r="I63" s="12">
        <f t="shared" si="15"/>
        <v>1089746.463532716</v>
      </c>
      <c r="J63" s="12">
        <f t="shared" si="15"/>
        <v>1745858.2136320225</v>
      </c>
      <c r="K63" s="12">
        <f t="shared" si="15"/>
        <v>1876984.5400349791</v>
      </c>
      <c r="L63" s="12">
        <f t="shared" si="15"/>
        <v>2116347.5183698884</v>
      </c>
      <c r="M63" s="12">
        <f t="shared" si="15"/>
        <v>1234395.8793337345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12343804.449999999</v>
      </c>
      <c r="D64" s="12">
        <f t="shared" si="16"/>
        <v>13210844.440000001</v>
      </c>
      <c r="E64" s="12">
        <f t="shared" si="16"/>
        <v>14086195.92</v>
      </c>
      <c r="F64" s="12">
        <f t="shared" si="16"/>
        <v>14027742.884496529</v>
      </c>
      <c r="G64" s="12">
        <f t="shared" si="16"/>
        <v>14020761.135899633</v>
      </c>
      <c r="H64" s="12">
        <f t="shared" si="16"/>
        <v>14189285.563310288</v>
      </c>
      <c r="I64" s="12">
        <f t="shared" si="16"/>
        <v>14688693.463532716</v>
      </c>
      <c r="J64" s="12">
        <f t="shared" si="16"/>
        <v>15344805.213632023</v>
      </c>
      <c r="K64" s="12">
        <f t="shared" si="16"/>
        <v>15475931.54003498</v>
      </c>
      <c r="L64" s="12">
        <f t="shared" si="16"/>
        <v>15715294.518369889</v>
      </c>
      <c r="M64" s="12">
        <f t="shared" si="16"/>
        <v>14833342.879333735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-59514.601128265262</v>
      </c>
      <c r="D72" s="16">
        <f t="shared" si="18"/>
        <v>12398.508551932871</v>
      </c>
      <c r="E72" s="31">
        <f t="shared" si="18"/>
        <v>325241.79628113564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110343.38858331554</v>
      </c>
      <c r="D73" s="16">
        <f t="shared" si="18"/>
        <v>122741.89713524841</v>
      </c>
      <c r="E73" s="31">
        <f t="shared" si="18"/>
        <v>447983.69341638405</v>
      </c>
      <c r="F73" s="31">
        <f t="shared" si="18"/>
        <v>447983.69341638405</v>
      </c>
      <c r="G73" s="31">
        <f t="shared" si="18"/>
        <v>447983.69341638405</v>
      </c>
      <c r="H73" s="31">
        <f t="shared" si="18"/>
        <v>447983.69341638405</v>
      </c>
      <c r="I73" s="31">
        <f t="shared" si="18"/>
        <v>447983.69341638405</v>
      </c>
      <c r="J73" s="31">
        <f t="shared" si="18"/>
        <v>447983.69341638405</v>
      </c>
      <c r="K73" s="31">
        <f t="shared" si="18"/>
        <v>447983.69341638405</v>
      </c>
      <c r="L73" s="31">
        <f t="shared" si="18"/>
        <v>447983.69341638405</v>
      </c>
      <c r="M73" s="31">
        <f t="shared" si="18"/>
        <v>447983.69341638405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-449895.55000000075</v>
      </c>
      <c r="D74" s="16">
        <f t="shared" si="18"/>
        <v>-731010.55999999866</v>
      </c>
      <c r="E74" s="16">
        <f t="shared" si="18"/>
        <v>-438815.08000000007</v>
      </c>
      <c r="F74" s="16">
        <f t="shared" si="18"/>
        <v>-371416.11550347134</v>
      </c>
      <c r="G74" s="16">
        <f t="shared" si="18"/>
        <v>-340707.86410036683</v>
      </c>
      <c r="H74" s="16">
        <f t="shared" si="18"/>
        <v>-272852.43668971211</v>
      </c>
      <c r="I74" s="16">
        <f t="shared" si="18"/>
        <v>-555862.53646728396</v>
      </c>
      <c r="J74" s="16">
        <f t="shared" si="18"/>
        <v>-235092.78636797704</v>
      </c>
      <c r="K74" s="16">
        <f t="shared" si="18"/>
        <v>-472409.45996502042</v>
      </c>
      <c r="L74" s="16">
        <f t="shared" si="18"/>
        <v>-343267.48163011111</v>
      </c>
      <c r="M74" s="16">
        <f t="shared" si="18"/>
        <v>-165639.12066626549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-87406</v>
      </c>
    </row>
    <row r="85" spans="6:8">
      <c r="F85" s="2">
        <f>SUM(B57:F57)</f>
        <v>-143303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FY2019/2020
October 2019</oddFooter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1:Z85"/>
  <sheetViews>
    <sheetView showGridLines="0" topLeftCell="A43" zoomScale="90" zoomScaleNormal="90" workbookViewId="0">
      <selection activeCell="F62" sqref="F62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130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90">
        <v>43679</v>
      </c>
      <c r="D3" s="90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>
      <c r="A5" s="6" t="s">
        <v>28</v>
      </c>
      <c r="B5" s="49">
        <v>1506911</v>
      </c>
      <c r="C5" s="53">
        <v>4218296</v>
      </c>
      <c r="D5" s="53">
        <v>4008767</v>
      </c>
      <c r="E5" s="53">
        <v>3723428</v>
      </c>
      <c r="F5" s="53">
        <v>2637007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37125674.554690003</v>
      </c>
      <c r="O5" s="29"/>
    </row>
    <row r="6" spans="1:16" s="6" customFormat="1">
      <c r="A6" s="6" t="s">
        <v>29</v>
      </c>
      <c r="B6" s="49">
        <v>122669</v>
      </c>
      <c r="C6" s="53">
        <v>65308</v>
      </c>
      <c r="D6" s="53">
        <v>368424</v>
      </c>
      <c r="E6" s="53">
        <v>265657</v>
      </c>
      <c r="F6" s="53">
        <v>90828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1787638</v>
      </c>
      <c r="O6" s="29"/>
    </row>
    <row r="7" spans="1:16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38913312.554690003</v>
      </c>
      <c r="O9" s="29"/>
      <c r="P9" s="29">
        <f>+N9</f>
        <v>38913312.554690003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/>
      <c r="H11" s="7"/>
      <c r="I11" s="7"/>
      <c r="J11" s="7"/>
      <c r="K11" s="7"/>
      <c r="L11" s="7"/>
      <c r="M11" s="7"/>
      <c r="N11" s="7">
        <f>SUM(B11:M11)</f>
        <v>2827.4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38916139.954690002</v>
      </c>
      <c r="O13" s="29"/>
    </row>
    <row r="14" spans="1:16" s="6" customFormat="1" ht="21" customHeight="1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t="17.25" customHeigh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t="12" customHeight="1">
      <c r="A16" s="6" t="s">
        <v>34</v>
      </c>
      <c r="B16" s="49">
        <v>789538</v>
      </c>
      <c r="C16" s="53">
        <v>2542832</v>
      </c>
      <c r="D16" s="53">
        <v>1670912</v>
      </c>
      <c r="E16" s="53">
        <v>1241006</v>
      </c>
      <c r="F16" s="53">
        <v>943426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15932293.35482</v>
      </c>
      <c r="O16" s="29"/>
      <c r="P16" s="7">
        <f>-N16</f>
        <v>-15932293.35482</v>
      </c>
    </row>
    <row r="17" spans="1:16" s="6" customFormat="1" ht="20.25" customHeigh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t="26.25" customHeigh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t="12" customHeigh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15932293.35482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t="3" customHeigh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2337855</v>
      </c>
      <c r="E23" s="7">
        <f t="shared" si="3"/>
        <v>2482422</v>
      </c>
      <c r="F23" s="7">
        <f t="shared" si="3"/>
        <v>1693581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21193381.199870005</v>
      </c>
      <c r="O23" s="29"/>
    </row>
    <row r="24" spans="1:16" s="6" customFormat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368424</v>
      </c>
      <c r="E24" s="7">
        <f t="shared" si="3"/>
        <v>265657</v>
      </c>
      <c r="F24" s="7">
        <f t="shared" si="3"/>
        <v>90828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1787638</v>
      </c>
      <c r="O24" s="29"/>
    </row>
    <row r="25" spans="1:16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22981019.199870005</v>
      </c>
      <c r="O27" s="29"/>
      <c r="P27" s="29">
        <f>+N27</f>
        <v>22981019.199870005</v>
      </c>
    </row>
    <row r="28" spans="1:16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0.5905695940835608</v>
      </c>
    </row>
    <row r="29" spans="1:16" s="6" customFormat="1" ht="3" customHeigh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>
      <c r="A30" s="6" t="s">
        <v>93</v>
      </c>
      <c r="B30" s="49">
        <v>599577</v>
      </c>
      <c r="C30" s="53">
        <v>671079</v>
      </c>
      <c r="D30" s="53">
        <v>793811</v>
      </c>
      <c r="E30" s="53">
        <v>957117</v>
      </c>
      <c r="F30" s="53">
        <v>689782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8722977.1718962751</v>
      </c>
      <c r="O30" s="29"/>
    </row>
    <row r="31" spans="1:16" s="6" customFormat="1">
      <c r="A31" s="6" t="s">
        <v>42</v>
      </c>
      <c r="B31" s="49">
        <v>243836</v>
      </c>
      <c r="C31" s="53">
        <v>217946</v>
      </c>
      <c r="D31" s="53">
        <v>239113</v>
      </c>
      <c r="E31" s="53">
        <v>257850</v>
      </c>
      <c r="F31" s="53">
        <v>223271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2687331.5104679093</v>
      </c>
      <c r="O31" s="29"/>
    </row>
    <row r="32" spans="1:16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t="13.5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11410308.682364184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t="3" customHeigh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1312659</v>
      </c>
      <c r="C37" s="53">
        <v>1350844</v>
      </c>
      <c r="D37" s="53">
        <v>1621977</v>
      </c>
      <c r="E37" s="53">
        <v>1862721</v>
      </c>
      <c r="F37" s="53">
        <v>1464546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18118409.205032796</v>
      </c>
      <c r="O37" s="29"/>
    </row>
    <row r="38" spans="1:16" s="6" customFormat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-1032924</v>
      </c>
      <c r="E38" s="7">
        <f t="shared" si="7"/>
        <v>-1214967</v>
      </c>
      <c r="F38" s="7">
        <f t="shared" si="7"/>
        <v>-913053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-11410308.682364183</v>
      </c>
      <c r="O38" s="29"/>
    </row>
    <row r="39" spans="1:16" s="6" customFormat="1">
      <c r="A39" s="6" t="s">
        <v>47</v>
      </c>
      <c r="B39" s="72">
        <v>-77862</v>
      </c>
      <c r="C39" s="72">
        <v>-77862</v>
      </c>
      <c r="D39" s="72">
        <v>-77862</v>
      </c>
      <c r="E39" s="72">
        <v>-77862</v>
      </c>
      <c r="F39" s="72">
        <v>-77862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-986069</v>
      </c>
      <c r="O39" s="88"/>
      <c r="P39" s="42"/>
    </row>
    <row r="40" spans="1:16" s="6" customFormat="1">
      <c r="A40" s="6" t="s">
        <v>124</v>
      </c>
      <c r="B40" s="53">
        <v>-8600</v>
      </c>
      <c r="C40" s="53">
        <v>-8600</v>
      </c>
      <c r="D40" s="53">
        <v>-8600</v>
      </c>
      <c r="E40" s="53">
        <v>-8600</v>
      </c>
      <c r="F40" s="53">
        <v>-8600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-105134</v>
      </c>
      <c r="O40" s="88"/>
      <c r="P40" s="58"/>
    </row>
    <row r="41" spans="1:16" s="6" customFormat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-1234603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5473497.5226686131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t="16.5" customHeight="1">
      <c r="A44" s="13" t="s">
        <v>50</v>
      </c>
      <c r="B44" s="53">
        <v>313331</v>
      </c>
      <c r="C44" s="53">
        <v>400498</v>
      </c>
      <c r="D44" s="53">
        <v>331729</v>
      </c>
      <c r="E44" s="53">
        <v>309099</v>
      </c>
      <c r="F44" s="53">
        <v>349633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4468609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4468609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37284708.559852801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1631431.3948372062</v>
      </c>
      <c r="O50" s="7"/>
      <c r="P50" s="25">
        <f>+N50</f>
        <v>1631431.3948372062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396828.39483720623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367267.48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-14850</v>
      </c>
      <c r="D56" s="7">
        <v>-19439</v>
      </c>
      <c r="E56" s="7">
        <v>13319</v>
      </c>
      <c r="F56" s="7">
        <v>-12737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-208053</v>
      </c>
      <c r="O56" s="7"/>
    </row>
    <row r="57" spans="1:26" s="6" customFormat="1">
      <c r="A57" s="6" t="s">
        <v>59</v>
      </c>
      <c r="B57" s="22">
        <v>-29008</v>
      </c>
      <c r="C57" s="22">
        <v>209614</v>
      </c>
      <c r="D57" s="22">
        <v>-83076</v>
      </c>
      <c r="E57" s="22">
        <v>-215833</v>
      </c>
      <c r="F57" s="91">
        <v>-198902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-492205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241897.55</v>
      </c>
      <c r="D58" s="19">
        <f t="shared" si="12"/>
        <v>-23243.589999999997</v>
      </c>
      <c r="E58" s="19">
        <f t="shared" si="12"/>
        <v>-181620.47999999998</v>
      </c>
      <c r="F58" s="19">
        <f t="shared" si="12"/>
        <v>-121639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182866.47999999998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4445359.55</v>
      </c>
      <c r="D61" s="19">
        <f t="shared" si="13"/>
        <v>3510662.41</v>
      </c>
      <c r="E61" s="19">
        <f t="shared" si="13"/>
        <v>3140493.52</v>
      </c>
      <c r="F61" s="19">
        <f>+F58+F48</f>
        <v>2545254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37467575.039852798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-161525.54999999981</v>
      </c>
      <c r="D62" s="14">
        <f t="shared" si="14"/>
        <v>866936.99000000022</v>
      </c>
      <c r="E62" s="14">
        <f t="shared" si="14"/>
        <v>848364.48</v>
      </c>
      <c r="F62" s="14">
        <f>+F13-F61</f>
        <v>182806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1448564.9148372039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-1255142.5499999998</v>
      </c>
      <c r="D63" s="12">
        <f t="shared" si="15"/>
        <v>-388205.55999999959</v>
      </c>
      <c r="E63" s="12">
        <f t="shared" si="15"/>
        <v>460158.92000000039</v>
      </c>
      <c r="F63" s="12">
        <f t="shared" si="15"/>
        <v>642964.92000000039</v>
      </c>
      <c r="G63" s="12">
        <f t="shared" si="15"/>
        <v>635983.17140310491</v>
      </c>
      <c r="H63" s="12">
        <f t="shared" si="15"/>
        <v>804507.59881376056</v>
      </c>
      <c r="I63" s="12">
        <f t="shared" si="15"/>
        <v>1303915.4990361878</v>
      </c>
      <c r="J63" s="12">
        <f t="shared" si="15"/>
        <v>1960027.2491354942</v>
      </c>
      <c r="K63" s="12">
        <f t="shared" si="15"/>
        <v>2091153.5755384509</v>
      </c>
      <c r="L63" s="12">
        <f t="shared" si="15"/>
        <v>2330516.5538733602</v>
      </c>
      <c r="M63" s="12">
        <f t="shared" si="15"/>
        <v>1448564.9148372062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12343804.449999999</v>
      </c>
      <c r="D64" s="12">
        <f t="shared" si="16"/>
        <v>13210741.440000001</v>
      </c>
      <c r="E64" s="12">
        <f t="shared" si="16"/>
        <v>14059105.92</v>
      </c>
      <c r="F64" s="12">
        <f>+$B$60+F63</f>
        <v>14241911.92</v>
      </c>
      <c r="G64" s="12">
        <f t="shared" si="16"/>
        <v>14234930.171403104</v>
      </c>
      <c r="H64" s="12">
        <f t="shared" si="16"/>
        <v>14403454.598813761</v>
      </c>
      <c r="I64" s="12">
        <f t="shared" si="16"/>
        <v>14902862.499036187</v>
      </c>
      <c r="J64" s="12">
        <f t="shared" si="16"/>
        <v>15558974.249135494</v>
      </c>
      <c r="K64" s="12">
        <f t="shared" si="16"/>
        <v>15690100.575538451</v>
      </c>
      <c r="L64" s="12">
        <f t="shared" si="16"/>
        <v>15929463.55387336</v>
      </c>
      <c r="M64" s="12">
        <f t="shared" si="16"/>
        <v>15047511.914837206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-59514.601128265262</v>
      </c>
      <c r="D72" s="16">
        <f t="shared" si="18"/>
        <v>12295.508551932871</v>
      </c>
      <c r="E72" s="31">
        <f t="shared" si="18"/>
        <v>298254.79628113564</v>
      </c>
      <c r="F72" s="31">
        <f t="shared" si="18"/>
        <v>241259.03550347174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110343.38858331554</v>
      </c>
      <c r="D73" s="16">
        <f t="shared" si="18"/>
        <v>122638.89713524841</v>
      </c>
      <c r="E73" s="31">
        <f t="shared" si="18"/>
        <v>420893.69341638405</v>
      </c>
      <c r="F73" s="31">
        <f t="shared" si="18"/>
        <v>662152.72891985578</v>
      </c>
      <c r="G73" s="31">
        <f t="shared" si="18"/>
        <v>662152.72891985578</v>
      </c>
      <c r="H73" s="31">
        <f t="shared" si="18"/>
        <v>662152.72891985578</v>
      </c>
      <c r="I73" s="31">
        <f t="shared" si="18"/>
        <v>662152.72891985578</v>
      </c>
      <c r="J73" s="31">
        <f t="shared" si="18"/>
        <v>662152.72891985578</v>
      </c>
      <c r="K73" s="31">
        <f t="shared" si="18"/>
        <v>662152.72891985578</v>
      </c>
      <c r="L73" s="31">
        <f t="shared" si="18"/>
        <v>662152.72891985578</v>
      </c>
      <c r="M73" s="31">
        <f t="shared" si="18"/>
        <v>662152.72891985578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-449895.55000000075</v>
      </c>
      <c r="D74" s="16">
        <f t="shared" si="18"/>
        <v>-731113.55999999866</v>
      </c>
      <c r="E74" s="16">
        <f t="shared" si="18"/>
        <v>-465905.08000000007</v>
      </c>
      <c r="F74" s="16">
        <f t="shared" si="18"/>
        <v>-157247.08000000007</v>
      </c>
      <c r="G74" s="16">
        <f t="shared" si="18"/>
        <v>-126538.82859689556</v>
      </c>
      <c r="H74" s="16">
        <f t="shared" si="18"/>
        <v>-58683.401186238974</v>
      </c>
      <c r="I74" s="16">
        <f t="shared" si="18"/>
        <v>-341693.50096381269</v>
      </c>
      <c r="J74" s="16">
        <f t="shared" si="18"/>
        <v>-20923.750864505768</v>
      </c>
      <c r="K74" s="16">
        <f t="shared" si="18"/>
        <v>-258240.42446154915</v>
      </c>
      <c r="L74" s="16">
        <f t="shared" si="18"/>
        <v>-129098.44612663984</v>
      </c>
      <c r="M74" s="16">
        <f t="shared" si="18"/>
        <v>48529.914837205783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-48053</v>
      </c>
    </row>
    <row r="85" spans="6:8">
      <c r="F85" s="2">
        <f>SUM(B57:F57)</f>
        <v>-317205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FY2019/2020
November 2019</oddFooter>
  </headerFooter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3A00-D0D1-4230-ADE2-FE643AABD515}">
  <sheetPr>
    <tabColor rgb="FF92D050"/>
    <pageSetUpPr fitToPage="1"/>
  </sheetPr>
  <dimension ref="A1:U88"/>
  <sheetViews>
    <sheetView showGridLines="0" tabSelected="1" zoomScaleNormal="100" workbookViewId="0"/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  <col min="15" max="15" width="11.28515625" bestFit="1" customWidth="1"/>
  </cols>
  <sheetData>
    <row r="1" spans="1:14" ht="13.5" thickBot="1">
      <c r="A1" s="46" t="s">
        <v>145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76</v>
      </c>
      <c r="E2" s="92" t="s">
        <v>76</v>
      </c>
      <c r="F2" s="92" t="s">
        <v>76</v>
      </c>
      <c r="G2" s="92" t="s">
        <v>76</v>
      </c>
      <c r="H2" s="92" t="s">
        <v>76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44378</v>
      </c>
      <c r="C3" s="95">
        <v>44409</v>
      </c>
      <c r="D3" s="95">
        <v>44440</v>
      </c>
      <c r="E3" s="94">
        <v>44470</v>
      </c>
      <c r="F3" s="94">
        <v>44501</v>
      </c>
      <c r="G3" s="95">
        <v>44531</v>
      </c>
      <c r="H3" s="94">
        <v>44562</v>
      </c>
      <c r="I3" s="94">
        <v>44593</v>
      </c>
      <c r="J3" s="94">
        <v>44621</v>
      </c>
      <c r="K3" s="94">
        <v>44652</v>
      </c>
      <c r="L3" s="94">
        <v>44682</v>
      </c>
      <c r="M3" s="94">
        <v>44713</v>
      </c>
      <c r="N3" s="94" t="s">
        <v>146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6" customFormat="1" ht="13.5" hidden="1" customHeight="1" outlineLevel="1">
      <c r="A5" s="100" t="s">
        <v>28</v>
      </c>
      <c r="B5" s="101">
        <v>504149</v>
      </c>
      <c r="C5" s="101">
        <v>2488533</v>
      </c>
      <c r="D5" s="101">
        <v>2385376</v>
      </c>
      <c r="E5" s="101">
        <v>2154714</v>
      </c>
      <c r="F5" s="101">
        <v>1334132</v>
      </c>
      <c r="G5" s="101">
        <v>1508153</v>
      </c>
      <c r="H5" s="101">
        <v>2849041</v>
      </c>
      <c r="I5" s="101">
        <v>2310646</v>
      </c>
      <c r="J5" s="101">
        <v>2063199</v>
      </c>
      <c r="K5" s="101">
        <v>2160785</v>
      </c>
      <c r="L5" s="101">
        <v>1696220</v>
      </c>
      <c r="M5" s="101">
        <v>528176</v>
      </c>
      <c r="N5" s="102">
        <f>SUM(B5:M5)</f>
        <v>21983124</v>
      </c>
    </row>
    <row r="6" spans="1:14" s="6" customFormat="1" ht="12.75" hidden="1" customHeight="1" outlineLevel="1">
      <c r="A6" s="100" t="s">
        <v>29</v>
      </c>
      <c r="B6" s="101">
        <v>42598</v>
      </c>
      <c r="C6" s="101">
        <v>159548</v>
      </c>
      <c r="D6" s="101">
        <v>186071.5</v>
      </c>
      <c r="E6" s="101">
        <v>32962</v>
      </c>
      <c r="F6" s="101">
        <v>55076</v>
      </c>
      <c r="G6" s="101">
        <v>68970</v>
      </c>
      <c r="H6" s="101">
        <v>77882.92</v>
      </c>
      <c r="I6" s="101">
        <v>253055.12</v>
      </c>
      <c r="J6" s="101">
        <v>86917.09</v>
      </c>
      <c r="K6" s="101">
        <v>65935.13</v>
      </c>
      <c r="L6" s="101">
        <v>335103.49</v>
      </c>
      <c r="M6" s="101">
        <v>236500</v>
      </c>
      <c r="N6" s="103">
        <f>SUM(B6:M6)</f>
        <v>1600619.25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546747</v>
      </c>
      <c r="C9" s="12">
        <f t="shared" si="0"/>
        <v>2648081</v>
      </c>
      <c r="D9" s="12">
        <f t="shared" si="0"/>
        <v>2571447.5</v>
      </c>
      <c r="E9" s="12">
        <f t="shared" si="0"/>
        <v>2187676</v>
      </c>
      <c r="F9" s="12">
        <f t="shared" si="0"/>
        <v>1389208</v>
      </c>
      <c r="G9" s="12">
        <f t="shared" si="0"/>
        <v>1577123</v>
      </c>
      <c r="H9" s="12">
        <f t="shared" si="0"/>
        <v>2926923.92</v>
      </c>
      <c r="I9" s="12">
        <f t="shared" si="0"/>
        <v>2563701.12</v>
      </c>
      <c r="J9" s="12">
        <f t="shared" si="0"/>
        <v>2150116.09</v>
      </c>
      <c r="K9" s="12">
        <f t="shared" si="0"/>
        <v>2226720.13</v>
      </c>
      <c r="L9" s="12">
        <f t="shared" si="0"/>
        <v>2031323.49</v>
      </c>
      <c r="M9" s="12">
        <f t="shared" si="0"/>
        <v>764676</v>
      </c>
      <c r="N9" s="12">
        <f t="shared" si="0"/>
        <v>23583743.25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546747</v>
      </c>
      <c r="C13" s="14">
        <f>C9+C11</f>
        <v>2648081</v>
      </c>
      <c r="D13" s="14">
        <f t="shared" si="1"/>
        <v>2571447.5</v>
      </c>
      <c r="E13" s="14">
        <f t="shared" si="1"/>
        <v>2187676</v>
      </c>
      <c r="F13" s="14">
        <f t="shared" si="1"/>
        <v>1389208</v>
      </c>
      <c r="G13" s="14">
        <f t="shared" si="1"/>
        <v>1577123</v>
      </c>
      <c r="H13" s="14">
        <f t="shared" si="1"/>
        <v>2926923.92</v>
      </c>
      <c r="I13" s="14">
        <f t="shared" si="1"/>
        <v>2563701.12</v>
      </c>
      <c r="J13" s="14">
        <f t="shared" si="1"/>
        <v>2150116.09</v>
      </c>
      <c r="K13" s="14">
        <f t="shared" si="1"/>
        <v>2226720.13</v>
      </c>
      <c r="L13" s="14">
        <f t="shared" si="1"/>
        <v>2031323.49</v>
      </c>
      <c r="M13" s="14">
        <f t="shared" si="1"/>
        <v>764676</v>
      </c>
      <c r="N13" s="14">
        <f t="shared" si="1"/>
        <v>23583743.25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idden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231981</v>
      </c>
      <c r="C16" s="101">
        <v>1476722</v>
      </c>
      <c r="D16" s="101">
        <v>1085215</v>
      </c>
      <c r="E16" s="101">
        <v>733882</v>
      </c>
      <c r="F16" s="101">
        <v>495048</v>
      </c>
      <c r="G16" s="101">
        <v>564114</v>
      </c>
      <c r="H16" s="101">
        <v>1675649</v>
      </c>
      <c r="I16" s="101">
        <v>865778</v>
      </c>
      <c r="J16" s="101">
        <v>720357</v>
      </c>
      <c r="K16" s="101">
        <v>807534</v>
      </c>
      <c r="L16" s="101">
        <v>804888</v>
      </c>
      <c r="M16" s="101">
        <v>279546</v>
      </c>
      <c r="N16" s="103">
        <f>SUM(B16:M16)</f>
        <v>9740714</v>
      </c>
    </row>
    <row r="17" spans="1:14" s="6" customFormat="1" hidden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idden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231981</v>
      </c>
      <c r="C20" s="12">
        <f t="shared" si="2"/>
        <v>1476722</v>
      </c>
      <c r="D20" s="12">
        <f t="shared" si="2"/>
        <v>1085215</v>
      </c>
      <c r="E20" s="12">
        <f t="shared" si="2"/>
        <v>733882</v>
      </c>
      <c r="F20" s="12">
        <f t="shared" si="2"/>
        <v>495048</v>
      </c>
      <c r="G20" s="12">
        <f t="shared" si="2"/>
        <v>564114</v>
      </c>
      <c r="H20" s="12">
        <f t="shared" si="2"/>
        <v>1675649</v>
      </c>
      <c r="I20" s="12">
        <f t="shared" si="2"/>
        <v>865778</v>
      </c>
      <c r="J20" s="12">
        <f t="shared" si="2"/>
        <v>720357</v>
      </c>
      <c r="K20" s="12">
        <f t="shared" si="2"/>
        <v>807534</v>
      </c>
      <c r="L20" s="12">
        <f t="shared" si="2"/>
        <v>804888</v>
      </c>
      <c r="M20" s="12">
        <f t="shared" si="2"/>
        <v>279546</v>
      </c>
      <c r="N20" s="12">
        <f t="shared" si="2"/>
        <v>9740714</v>
      </c>
    </row>
    <row r="21" spans="1:14" s="6" customFormat="1" ht="13.5" hidden="1" customHeight="1" outlineLevel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4" s="6" customFormat="1" ht="17.25" hidden="1" customHeight="1" outlineLevel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s="6" customFormat="1" hidden="1" outlineLevel="1">
      <c r="A23" s="6" t="s">
        <v>37</v>
      </c>
      <c r="B23" s="7">
        <f t="shared" ref="B23:M26" si="3">+B5-B16</f>
        <v>272168</v>
      </c>
      <c r="C23" s="7">
        <f t="shared" si="3"/>
        <v>1011811</v>
      </c>
      <c r="D23" s="7">
        <f t="shared" si="3"/>
        <v>1300161</v>
      </c>
      <c r="E23" s="7">
        <f t="shared" si="3"/>
        <v>1420832</v>
      </c>
      <c r="F23" s="7">
        <f t="shared" si="3"/>
        <v>839084</v>
      </c>
      <c r="G23" s="7">
        <f t="shared" si="3"/>
        <v>944039</v>
      </c>
      <c r="H23" s="7">
        <f>+H5-H16</f>
        <v>1173392</v>
      </c>
      <c r="I23" s="7">
        <f t="shared" si="3"/>
        <v>1444868</v>
      </c>
      <c r="J23" s="7">
        <f t="shared" si="3"/>
        <v>1342842</v>
      </c>
      <c r="K23" s="7">
        <f t="shared" si="3"/>
        <v>1353251</v>
      </c>
      <c r="L23" s="7">
        <f t="shared" si="3"/>
        <v>891332</v>
      </c>
      <c r="M23" s="7">
        <f t="shared" si="3"/>
        <v>248630</v>
      </c>
      <c r="N23" s="7">
        <f>SUM(B23:M23)</f>
        <v>12242410</v>
      </c>
    </row>
    <row r="24" spans="1:14" s="6" customFormat="1" hidden="1" outlineLevel="1">
      <c r="A24" s="6" t="s">
        <v>37</v>
      </c>
      <c r="B24" s="7">
        <f t="shared" si="3"/>
        <v>42598</v>
      </c>
      <c r="C24" s="7">
        <f t="shared" si="3"/>
        <v>159548</v>
      </c>
      <c r="D24" s="7">
        <f t="shared" si="3"/>
        <v>186071.5</v>
      </c>
      <c r="E24" s="7">
        <f t="shared" si="3"/>
        <v>32962</v>
      </c>
      <c r="F24" s="7">
        <f t="shared" si="3"/>
        <v>55076</v>
      </c>
      <c r="G24" s="7">
        <f t="shared" si="3"/>
        <v>68970</v>
      </c>
      <c r="H24" s="7">
        <f>+H6-H17</f>
        <v>77882.92</v>
      </c>
      <c r="I24" s="7">
        <f t="shared" si="3"/>
        <v>253055.12</v>
      </c>
      <c r="J24" s="7">
        <f t="shared" si="3"/>
        <v>86917.09</v>
      </c>
      <c r="K24" s="7">
        <f t="shared" si="3"/>
        <v>65935.13</v>
      </c>
      <c r="L24" s="7">
        <f t="shared" si="3"/>
        <v>335103.49</v>
      </c>
      <c r="M24" s="7">
        <f t="shared" si="3"/>
        <v>236500</v>
      </c>
      <c r="N24" s="7">
        <f>SUM(B24:M24)</f>
        <v>1600619.25</v>
      </c>
    </row>
    <row r="25" spans="1:14" s="6" customFormat="1" hidden="1" outlineLevel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14" s="6" customFormat="1" hidden="1" outlineLevel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314766</v>
      </c>
      <c r="C27" s="12">
        <f t="shared" si="4"/>
        <v>1171359</v>
      </c>
      <c r="D27" s="12">
        <f t="shared" si="4"/>
        <v>1486232.5</v>
      </c>
      <c r="E27" s="12">
        <f t="shared" si="4"/>
        <v>1453794</v>
      </c>
      <c r="F27" s="12">
        <f t="shared" si="4"/>
        <v>894160</v>
      </c>
      <c r="G27" s="12">
        <f t="shared" si="4"/>
        <v>1013009</v>
      </c>
      <c r="H27" s="12">
        <f>SUM(H23:H26)</f>
        <v>1251274.92</v>
      </c>
      <c r="I27" s="12">
        <f t="shared" si="4"/>
        <v>1697923.12</v>
      </c>
      <c r="J27" s="12">
        <f t="shared" si="4"/>
        <v>1429759.09</v>
      </c>
      <c r="K27" s="12">
        <f t="shared" si="4"/>
        <v>1419186.13</v>
      </c>
      <c r="L27" s="12">
        <f t="shared" si="4"/>
        <v>1226435.49</v>
      </c>
      <c r="M27" s="12">
        <f>SUM(M23:M26)</f>
        <v>485130</v>
      </c>
      <c r="N27" s="12">
        <f t="shared" si="4"/>
        <v>13843029.25</v>
      </c>
    </row>
    <row r="28" spans="1:14" s="6" customFormat="1" ht="14.25" customHeight="1">
      <c r="B28" s="73">
        <f>IFERROR(+B27/B9, 0)</f>
        <v>0.57570686258909509</v>
      </c>
      <c r="C28" s="73">
        <f t="shared" ref="C28:M28" si="5">IFERROR(+C27/C9, 0)</f>
        <v>0.44234258695258943</v>
      </c>
      <c r="D28" s="73">
        <f t="shared" si="5"/>
        <v>0.57797505101698554</v>
      </c>
      <c r="E28" s="73">
        <f t="shared" si="5"/>
        <v>0.66453807602222636</v>
      </c>
      <c r="F28" s="73">
        <f t="shared" si="5"/>
        <v>0.64364731559276944</v>
      </c>
      <c r="G28" s="73">
        <f t="shared" si="5"/>
        <v>0.64231451827156161</v>
      </c>
      <c r="H28" s="73">
        <f t="shared" si="5"/>
        <v>0.42750510576988277</v>
      </c>
      <c r="I28" s="73">
        <f t="shared" si="5"/>
        <v>0.66229370762220519</v>
      </c>
      <c r="J28" s="73">
        <f t="shared" si="5"/>
        <v>0.66496832271042638</v>
      </c>
      <c r="K28" s="73">
        <f t="shared" si="5"/>
        <v>0.63734373749071016</v>
      </c>
      <c r="L28" s="73">
        <f t="shared" si="5"/>
        <v>0.60376178193065644</v>
      </c>
      <c r="M28" s="73">
        <f t="shared" si="5"/>
        <v>0.63442556062959998</v>
      </c>
      <c r="N28" s="73">
        <f t="shared" ref="N28" si="6">+N27/N9</f>
        <v>0.58697336988690296</v>
      </c>
    </row>
    <row r="29" spans="1:14" s="6" customFormat="1" hidden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348553</v>
      </c>
      <c r="C30" s="101">
        <v>417207</v>
      </c>
      <c r="D30" s="101">
        <v>558185.38806217699</v>
      </c>
      <c r="E30" s="101">
        <v>657742.37470079784</v>
      </c>
      <c r="F30" s="101">
        <v>495564.75130063813</v>
      </c>
      <c r="G30" s="101">
        <v>499865.4108406381</v>
      </c>
      <c r="H30" s="101">
        <v>657236.3099157979</v>
      </c>
      <c r="I30" s="101">
        <v>577638.58578563808</v>
      </c>
      <c r="J30" s="101">
        <v>560236.72752563818</v>
      </c>
      <c r="K30" s="101">
        <v>659701.17391579773</v>
      </c>
      <c r="L30" s="101">
        <v>473668.86290563812</v>
      </c>
      <c r="M30" s="101">
        <v>358700.97955063812</v>
      </c>
      <c r="N30" s="103">
        <f>SUM(B30:M30)</f>
        <v>6264300.5645033997</v>
      </c>
    </row>
    <row r="31" spans="1:14" s="6" customFormat="1" hidden="1" outlineLevel="1">
      <c r="A31" s="100" t="s">
        <v>42</v>
      </c>
      <c r="B31" s="101">
        <v>146522</v>
      </c>
      <c r="C31" s="101">
        <v>161129</v>
      </c>
      <c r="D31" s="101">
        <v>192151.24210421875</v>
      </c>
      <c r="E31" s="101">
        <v>225310.04921261402</v>
      </c>
      <c r="F31" s="101">
        <v>184416.08599735648</v>
      </c>
      <c r="G31" s="101">
        <v>183507.88379629469</v>
      </c>
      <c r="H31" s="101">
        <v>223479.91882540099</v>
      </c>
      <c r="I31" s="101">
        <v>194840.64955674118</v>
      </c>
      <c r="J31" s="101">
        <v>192841.58364501339</v>
      </c>
      <c r="K31" s="101">
        <v>227142.44528939298</v>
      </c>
      <c r="L31" s="101">
        <v>186120.15636425081</v>
      </c>
      <c r="M31" s="101">
        <v>178852.28590155178</v>
      </c>
      <c r="N31" s="103">
        <f>SUM(B31:M31)</f>
        <v>2296313.3006928349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495075</v>
      </c>
      <c r="C34" s="12">
        <f t="shared" si="7"/>
        <v>578336</v>
      </c>
      <c r="D34" s="12">
        <f t="shared" si="7"/>
        <v>750336.6301663958</v>
      </c>
      <c r="E34" s="12">
        <f t="shared" si="7"/>
        <v>883052.4239134118</v>
      </c>
      <c r="F34" s="12">
        <f t="shared" si="7"/>
        <v>679980.83729799464</v>
      </c>
      <c r="G34" s="12">
        <f t="shared" si="7"/>
        <v>683373.29463693278</v>
      </c>
      <c r="H34" s="12">
        <f t="shared" si="7"/>
        <v>880716.22874119889</v>
      </c>
      <c r="I34" s="12">
        <f t="shared" si="7"/>
        <v>772479.23534237919</v>
      </c>
      <c r="J34" s="12">
        <f t="shared" si="7"/>
        <v>753078.31117065158</v>
      </c>
      <c r="K34" s="12">
        <f t="shared" si="7"/>
        <v>886843.61920519068</v>
      </c>
      <c r="L34" s="12">
        <f t="shared" si="7"/>
        <v>659789.01926988899</v>
      </c>
      <c r="M34" s="12">
        <f t="shared" si="7"/>
        <v>537553.26545218984</v>
      </c>
      <c r="N34" s="12">
        <f t="shared" si="7"/>
        <v>8560613.8651962355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878489</v>
      </c>
      <c r="C37" s="101">
        <v>921451</v>
      </c>
      <c r="D37" s="101">
        <v>1136394.1301663958</v>
      </c>
      <c r="E37" s="101">
        <v>1337000.9239134118</v>
      </c>
      <c r="F37" s="101">
        <v>1034157.3372979946</v>
      </c>
      <c r="G37" s="108">
        <v>1036659.2946369328</v>
      </c>
      <c r="H37" s="108">
        <v>1240836.7287411988</v>
      </c>
      <c r="I37" s="108">
        <v>1195430.2353423792</v>
      </c>
      <c r="J37" s="108">
        <v>1139370.5611706516</v>
      </c>
      <c r="K37" s="108">
        <v>1280451.8692051908</v>
      </c>
      <c r="L37" s="101">
        <v>991100.01926988899</v>
      </c>
      <c r="M37" s="101">
        <v>793229.76545218984</v>
      </c>
      <c r="N37" s="103">
        <f>SUM(B37:M37)</f>
        <v>12984570.865196235</v>
      </c>
    </row>
    <row r="38" spans="1:14" s="6" customFormat="1" ht="12.75" hidden="1" customHeight="1" outlineLevel="1">
      <c r="A38" s="6" t="s">
        <v>46</v>
      </c>
      <c r="B38" s="7">
        <f>-B34</f>
        <v>-495075</v>
      </c>
      <c r="C38" s="7">
        <f t="shared" ref="C38:M38" si="8">-C34</f>
        <v>-578336</v>
      </c>
      <c r="D38" s="7">
        <f t="shared" si="8"/>
        <v>-750336.6301663958</v>
      </c>
      <c r="E38" s="7">
        <f t="shared" si="8"/>
        <v>-883052.4239134118</v>
      </c>
      <c r="F38" s="7">
        <f t="shared" si="8"/>
        <v>-679980.83729799464</v>
      </c>
      <c r="G38" s="7">
        <f t="shared" si="8"/>
        <v>-683373.29463693278</v>
      </c>
      <c r="H38" s="7">
        <f>-H34</f>
        <v>-880716.22874119889</v>
      </c>
      <c r="I38" s="7">
        <f t="shared" si="8"/>
        <v>-772479.23534237919</v>
      </c>
      <c r="J38" s="7">
        <f t="shared" si="8"/>
        <v>-753078.31117065158</v>
      </c>
      <c r="K38" s="7">
        <f t="shared" si="8"/>
        <v>-886843.61920519068</v>
      </c>
      <c r="L38" s="7">
        <f t="shared" si="8"/>
        <v>-659789.01926988899</v>
      </c>
      <c r="M38" s="7">
        <f t="shared" si="8"/>
        <v>-537553.26545218984</v>
      </c>
      <c r="N38" s="7">
        <f>SUM(B38:M38)</f>
        <v>-8560613.8651962336</v>
      </c>
    </row>
    <row r="39" spans="1:14" s="6" customFormat="1" ht="12.75" hidden="1" customHeight="1" outlineLevel="1">
      <c r="A39" s="100" t="s">
        <v>47</v>
      </c>
      <c r="B39" s="109">
        <v>-71723</v>
      </c>
      <c r="C39" s="109">
        <v>-71723</v>
      </c>
      <c r="D39" s="109">
        <v>-71002</v>
      </c>
      <c r="E39" s="109">
        <v>-70087</v>
      </c>
      <c r="F39" s="109">
        <v>-70087</v>
      </c>
      <c r="G39" s="109">
        <v>-70087</v>
      </c>
      <c r="H39" s="109">
        <v>-67822</v>
      </c>
      <c r="I39" s="109">
        <v>-67012</v>
      </c>
      <c r="J39" s="109">
        <v>-66437</v>
      </c>
      <c r="K39" s="109">
        <v>-55277</v>
      </c>
      <c r="L39" s="109">
        <v>-55277</v>
      </c>
      <c r="M39" s="109">
        <v>-55119</v>
      </c>
      <c r="N39" s="103">
        <f>SUM(B39:M39)</f>
        <v>-791653</v>
      </c>
    </row>
    <row r="40" spans="1:14" s="6" customFormat="1" ht="12.75" hidden="1" customHeight="1" outlineLevel="1">
      <c r="A40" s="100" t="s">
        <v>124</v>
      </c>
      <c r="B40" s="101">
        <v>-6972</v>
      </c>
      <c r="C40" s="101">
        <v>-6972</v>
      </c>
      <c r="D40" s="101">
        <v>-6930</v>
      </c>
      <c r="E40" s="101">
        <v>-3973</v>
      </c>
      <c r="F40" s="101">
        <v>-3973</v>
      </c>
      <c r="G40" s="101">
        <v>-3973</v>
      </c>
      <c r="H40" s="101">
        <v>-3973</v>
      </c>
      <c r="I40" s="101">
        <v>-3973</v>
      </c>
      <c r="J40" s="101">
        <v>-2414</v>
      </c>
      <c r="K40" s="101">
        <v>-2414</v>
      </c>
      <c r="L40" s="101">
        <v>-2414</v>
      </c>
      <c r="M40" s="101">
        <v>-1960</v>
      </c>
      <c r="N40" s="103">
        <f>SUM(B40:M40)</f>
        <v>-49941</v>
      </c>
    </row>
    <row r="41" spans="1:14" s="6" customFormat="1" ht="12.75" hidden="1" customHeight="1" outlineLevel="1">
      <c r="A41" s="100" t="s">
        <v>48</v>
      </c>
      <c r="B41" s="110">
        <v>-6570</v>
      </c>
      <c r="C41" s="110">
        <v>-7120</v>
      </c>
      <c r="D41" s="110">
        <v>-6400</v>
      </c>
      <c r="E41" s="110">
        <v>-5690</v>
      </c>
      <c r="F41" s="110">
        <v>-5730</v>
      </c>
      <c r="G41" s="110">
        <v>-9440</v>
      </c>
      <c r="H41" s="110">
        <v>-6070</v>
      </c>
      <c r="I41" s="110">
        <v>-5690</v>
      </c>
      <c r="J41" s="110">
        <v>-5440</v>
      </c>
      <c r="K41" s="110">
        <v>-6200</v>
      </c>
      <c r="L41" s="110">
        <v>-7200</v>
      </c>
      <c r="M41" s="110">
        <v>-19650</v>
      </c>
      <c r="N41" s="104">
        <f>SUM(B41:M41)</f>
        <v>-91200</v>
      </c>
    </row>
    <row r="42" spans="1:14" s="6" customFormat="1" collapsed="1">
      <c r="A42" s="13" t="s">
        <v>49</v>
      </c>
      <c r="B42" s="12">
        <f t="shared" ref="B42:N42" si="9">SUM(B37:B41)</f>
        <v>298149</v>
      </c>
      <c r="C42" s="12">
        <f t="shared" si="9"/>
        <v>257300</v>
      </c>
      <c r="D42" s="12">
        <f t="shared" si="9"/>
        <v>301725.5</v>
      </c>
      <c r="E42" s="12">
        <f t="shared" si="9"/>
        <v>374198.5</v>
      </c>
      <c r="F42" s="12">
        <f t="shared" si="9"/>
        <v>274386.5</v>
      </c>
      <c r="G42" s="12">
        <f t="shared" si="9"/>
        <v>269786</v>
      </c>
      <c r="H42" s="12">
        <f t="shared" si="9"/>
        <v>282255.49999999988</v>
      </c>
      <c r="I42" s="12">
        <f t="shared" si="9"/>
        <v>346276</v>
      </c>
      <c r="J42" s="12">
        <f t="shared" si="9"/>
        <v>312001.25</v>
      </c>
      <c r="K42" s="12">
        <f t="shared" si="9"/>
        <v>329717.25000000012</v>
      </c>
      <c r="L42" s="12">
        <f t="shared" si="9"/>
        <v>266420</v>
      </c>
      <c r="M42" s="12">
        <f t="shared" si="9"/>
        <v>178947.5</v>
      </c>
      <c r="N42" s="12">
        <f t="shared" si="9"/>
        <v>3491163.0000000019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idden="1" outlineLevel="1">
      <c r="A44" s="105" t="s">
        <v>50</v>
      </c>
      <c r="B44" s="110">
        <v>232915</v>
      </c>
      <c r="C44" s="111">
        <v>214291</v>
      </c>
      <c r="D44" s="111">
        <v>244377</v>
      </c>
      <c r="E44" s="111">
        <v>290563</v>
      </c>
      <c r="F44" s="111">
        <v>255318</v>
      </c>
      <c r="G44" s="111">
        <v>240599</v>
      </c>
      <c r="H44" s="111">
        <v>308228</v>
      </c>
      <c r="I44" s="111">
        <v>238187</v>
      </c>
      <c r="J44" s="111">
        <v>243410</v>
      </c>
      <c r="K44" s="111">
        <v>289111</v>
      </c>
      <c r="L44" s="111">
        <v>230229</v>
      </c>
      <c r="M44" s="111">
        <v>219389</v>
      </c>
      <c r="N44" s="126">
        <f>SUM(B44:M44)</f>
        <v>3006617</v>
      </c>
    </row>
    <row r="45" spans="1:14" s="6" customFormat="1" hidden="1" outlineLevel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</row>
    <row r="46" spans="1:14" collapsed="1">
      <c r="A46" s="1" t="s">
        <v>50</v>
      </c>
      <c r="B46" s="12">
        <f>SUM(B44:B45)</f>
        <v>232915</v>
      </c>
      <c r="C46" s="12">
        <f>SUM(C44:C45)</f>
        <v>214291</v>
      </c>
      <c r="D46" s="12">
        <f t="shared" ref="D46:N46" si="10">SUM(D44:D45)</f>
        <v>244377</v>
      </c>
      <c r="E46" s="12">
        <f t="shared" si="10"/>
        <v>290563</v>
      </c>
      <c r="F46" s="12">
        <f t="shared" si="10"/>
        <v>255318</v>
      </c>
      <c r="G46" s="12">
        <f t="shared" si="10"/>
        <v>240599</v>
      </c>
      <c r="H46" s="12">
        <f t="shared" si="10"/>
        <v>308228</v>
      </c>
      <c r="I46" s="12">
        <f t="shared" si="10"/>
        <v>238187</v>
      </c>
      <c r="J46" s="12">
        <f t="shared" si="10"/>
        <v>243410</v>
      </c>
      <c r="K46" s="12">
        <f t="shared" si="10"/>
        <v>289111</v>
      </c>
      <c r="L46" s="12">
        <f t="shared" si="10"/>
        <v>230229</v>
      </c>
      <c r="M46" s="12">
        <f t="shared" si="10"/>
        <v>219389</v>
      </c>
      <c r="N46" s="12">
        <f t="shared" si="10"/>
        <v>3006617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>+B20+B34+B42+B46</f>
        <v>1258120</v>
      </c>
      <c r="C48" s="19">
        <f t="shared" ref="C48:N48" si="11">+C20+C34+C42+C46</f>
        <v>2526649</v>
      </c>
      <c r="D48" s="19">
        <f t="shared" si="11"/>
        <v>2381654.1301663956</v>
      </c>
      <c r="E48" s="19">
        <f t="shared" si="11"/>
        <v>2281695.9239134118</v>
      </c>
      <c r="F48" s="19">
        <f>+F20+F34+F42+F46</f>
        <v>1704733.3372979946</v>
      </c>
      <c r="G48" s="19">
        <f t="shared" si="11"/>
        <v>1757872.2946369327</v>
      </c>
      <c r="H48" s="19">
        <f t="shared" si="11"/>
        <v>3146848.7287411988</v>
      </c>
      <c r="I48" s="19">
        <f t="shared" si="11"/>
        <v>2222720.2353423792</v>
      </c>
      <c r="J48" s="19">
        <f t="shared" si="11"/>
        <v>2028846.5611706516</v>
      </c>
      <c r="K48" s="19">
        <f t="shared" si="11"/>
        <v>2313205.8692051908</v>
      </c>
      <c r="L48" s="19">
        <f t="shared" si="11"/>
        <v>1961326.019269889</v>
      </c>
      <c r="M48" s="19">
        <f t="shared" si="11"/>
        <v>1215435.7654521898</v>
      </c>
      <c r="N48" s="19">
        <f t="shared" si="11"/>
        <v>24799107.865196235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-711373</v>
      </c>
      <c r="C50" s="12">
        <f t="shared" si="12"/>
        <v>121432</v>
      </c>
      <c r="D50" s="12">
        <f t="shared" si="12"/>
        <v>189793.36983360443</v>
      </c>
      <c r="E50" s="12">
        <f t="shared" si="12"/>
        <v>-94019.923913411796</v>
      </c>
      <c r="F50" s="12">
        <f>+F13-F48</f>
        <v>-315525.33729799464</v>
      </c>
      <c r="G50" s="12">
        <f t="shared" si="12"/>
        <v>-180749.29463693267</v>
      </c>
      <c r="H50" s="12">
        <f>+H13-H48</f>
        <v>-219924.80874119885</v>
      </c>
      <c r="I50" s="12">
        <f t="shared" si="12"/>
        <v>340980.88465762092</v>
      </c>
      <c r="J50" s="12">
        <f t="shared" si="12"/>
        <v>121269.52882934827</v>
      </c>
      <c r="K50" s="12">
        <f t="shared" si="12"/>
        <v>-86485.739205190912</v>
      </c>
      <c r="L50" s="12">
        <f t="shared" si="12"/>
        <v>69997.470730111003</v>
      </c>
      <c r="M50" s="12">
        <f t="shared" si="12"/>
        <v>-450759.76545218984</v>
      </c>
      <c r="N50" s="12">
        <f>SUM(B50:M50)</f>
        <v>-1215364.6151962341</v>
      </c>
      <c r="O50" s="2">
        <f>+N50-N39-N40</f>
        <v>-373770.61519623408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2233</v>
      </c>
      <c r="C53" s="10">
        <v>31890</v>
      </c>
      <c r="D53" s="10"/>
      <c r="E53" s="10"/>
      <c r="F53" s="10"/>
      <c r="G53" s="10"/>
      <c r="H53" s="23">
        <v>58000</v>
      </c>
      <c r="I53" s="10">
        <v>125000</v>
      </c>
      <c r="J53" s="10"/>
      <c r="K53" s="10"/>
      <c r="L53" s="10"/>
      <c r="M53" s="10">
        <v>130000</v>
      </c>
      <c r="N53" s="10">
        <f t="shared" ref="N53:N60" si="13">SUM(B53:M53)</f>
        <v>347123</v>
      </c>
      <c r="U53" s="40"/>
    </row>
    <row r="54" spans="1:21" s="6" customFormat="1">
      <c r="A54" s="6" t="s">
        <v>96</v>
      </c>
      <c r="B54" s="10"/>
      <c r="C54" s="10"/>
      <c r="D54" s="10"/>
      <c r="E54" s="10"/>
      <c r="F54" s="10">
        <v>100000</v>
      </c>
      <c r="G54" s="10"/>
      <c r="H54" s="10"/>
      <c r="I54" s="10"/>
      <c r="J54" s="10"/>
      <c r="K54" s="10"/>
      <c r="L54" s="10"/>
      <c r="M54" s="10"/>
      <c r="N54" s="10">
        <f t="shared" si="13"/>
        <v>100000</v>
      </c>
    </row>
    <row r="55" spans="1:21" s="6" customFormat="1">
      <c r="A55" s="6" t="s">
        <v>111</v>
      </c>
      <c r="B55" s="10">
        <v>426370</v>
      </c>
      <c r="C55" s="10"/>
      <c r="D55" s="10"/>
      <c r="E55" s="10"/>
      <c r="F55" s="10"/>
      <c r="G55" s="10"/>
      <c r="H55" s="10">
        <v>500000</v>
      </c>
      <c r="I55" s="10"/>
      <c r="J55" s="10"/>
      <c r="K55" s="10"/>
      <c r="L55" s="10"/>
      <c r="M55" s="10"/>
      <c r="N55" s="10">
        <f t="shared" si="13"/>
        <v>926370</v>
      </c>
    </row>
    <row r="56" spans="1:21" s="6" customFormat="1">
      <c r="A56" s="128" t="s">
        <v>142</v>
      </c>
      <c r="B56" s="10"/>
      <c r="C56" s="10"/>
      <c r="D56" s="10"/>
      <c r="E56" s="10"/>
      <c r="F56" s="10"/>
      <c r="G56" s="10"/>
      <c r="H56" s="10"/>
      <c r="I56" s="10"/>
      <c r="J56" s="10"/>
      <c r="K56" s="10">
        <v>222000</v>
      </c>
      <c r="L56" s="10"/>
      <c r="M56" s="10"/>
      <c r="N56" s="10">
        <f>SUM(B56:M56)</f>
        <v>222000</v>
      </c>
    </row>
    <row r="57" spans="1:21" s="6" customFormat="1">
      <c r="A57" s="37" t="s">
        <v>144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>
        <f t="shared" si="13"/>
        <v>0</v>
      </c>
    </row>
    <row r="58" spans="1:21" s="6" customFormat="1">
      <c r="A58" s="128" t="s">
        <v>148</v>
      </c>
      <c r="B58" s="10"/>
      <c r="C58" s="10"/>
      <c r="D58" s="10"/>
      <c r="E58" s="10"/>
      <c r="F58" s="10"/>
      <c r="G58" s="10"/>
      <c r="H58" s="10"/>
      <c r="I58" s="10"/>
      <c r="J58" s="10"/>
      <c r="K58" s="10">
        <v>1000000</v>
      </c>
      <c r="L58" s="10"/>
      <c r="M58" s="10"/>
      <c r="N58" s="10">
        <f t="shared" si="13"/>
        <v>1000000</v>
      </c>
    </row>
    <row r="59" spans="1:21" s="6" customFormat="1">
      <c r="A59" s="37" t="s">
        <v>58</v>
      </c>
      <c r="B59" s="7">
        <v>-10182</v>
      </c>
      <c r="C59" s="7">
        <v>-12034</v>
      </c>
      <c r="D59" s="7">
        <v>-20000</v>
      </c>
      <c r="E59" s="7">
        <v>-15000</v>
      </c>
      <c r="F59" s="7">
        <v>-15000</v>
      </c>
      <c r="G59" s="7">
        <v>-20000</v>
      </c>
      <c r="H59" s="7">
        <v>-15000</v>
      </c>
      <c r="I59" s="7">
        <v>-15000</v>
      </c>
      <c r="J59" s="7">
        <v>-20000</v>
      </c>
      <c r="K59" s="7">
        <v>-15000</v>
      </c>
      <c r="L59" s="7">
        <v>-15000</v>
      </c>
      <c r="M59" s="7">
        <v>-20000</v>
      </c>
      <c r="N59" s="10">
        <f t="shared" si="13"/>
        <v>-192216</v>
      </c>
    </row>
    <row r="60" spans="1:21" s="6" customFormat="1">
      <c r="A60" s="6" t="s">
        <v>134</v>
      </c>
      <c r="B60" s="22">
        <v>-18122</v>
      </c>
      <c r="C60" s="7">
        <v>-134737</v>
      </c>
      <c r="D60" s="7">
        <v>-15000</v>
      </c>
      <c r="E60" s="7">
        <v>-15000</v>
      </c>
      <c r="F60" s="7">
        <v>-15000</v>
      </c>
      <c r="G60" s="7">
        <v>-15000</v>
      </c>
      <c r="H60" s="7">
        <v>-15000</v>
      </c>
      <c r="I60" s="7">
        <v>-15000</v>
      </c>
      <c r="J60" s="7">
        <v>-15000</v>
      </c>
      <c r="K60" s="7">
        <v>-15000</v>
      </c>
      <c r="L60" s="7">
        <v>-15000</v>
      </c>
      <c r="M60" s="7">
        <v>-15000</v>
      </c>
      <c r="N60" s="22">
        <f t="shared" si="13"/>
        <v>-302859</v>
      </c>
    </row>
    <row r="61" spans="1:21" s="6" customFormat="1">
      <c r="A61" s="13" t="s">
        <v>60</v>
      </c>
      <c r="B61" s="19">
        <f t="shared" ref="B61:N61" si="14">SUM(B53:B60)</f>
        <v>400299</v>
      </c>
      <c r="C61" s="19">
        <f t="shared" si="14"/>
        <v>-114881</v>
      </c>
      <c r="D61" s="19">
        <f t="shared" si="14"/>
        <v>-35000</v>
      </c>
      <c r="E61" s="19">
        <f t="shared" si="14"/>
        <v>-30000</v>
      </c>
      <c r="F61" s="19">
        <f t="shared" si="14"/>
        <v>70000</v>
      </c>
      <c r="G61" s="19">
        <f t="shared" si="14"/>
        <v>-35000</v>
      </c>
      <c r="H61" s="19">
        <f t="shared" si="14"/>
        <v>528000</v>
      </c>
      <c r="I61" s="19">
        <f t="shared" si="14"/>
        <v>95000</v>
      </c>
      <c r="J61" s="19">
        <f t="shared" si="14"/>
        <v>-35000</v>
      </c>
      <c r="K61" s="19">
        <f t="shared" si="14"/>
        <v>1192000</v>
      </c>
      <c r="L61" s="19">
        <f t="shared" si="14"/>
        <v>-30000</v>
      </c>
      <c r="M61" s="19">
        <f t="shared" si="14"/>
        <v>95000</v>
      </c>
      <c r="N61" s="19">
        <f t="shared" si="14"/>
        <v>2100418</v>
      </c>
      <c r="O61" s="10">
        <f>+N9-N20-N37-N46-N59-N60</f>
        <v>-1653083.6151962355</v>
      </c>
    </row>
    <row r="62" spans="1:2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21">
      <c r="A63" s="1" t="s">
        <v>61</v>
      </c>
      <c r="B63" s="12">
        <v>15416167</v>
      </c>
      <c r="C63" s="7"/>
      <c r="D63" s="7"/>
      <c r="E63" s="7"/>
      <c r="F63" s="7"/>
      <c r="G63" s="7"/>
      <c r="H63" s="7" t="s">
        <v>38</v>
      </c>
      <c r="I63" s="7"/>
      <c r="J63" s="7"/>
      <c r="K63" s="7"/>
      <c r="L63" s="6"/>
      <c r="M63" s="6"/>
      <c r="N63" s="6"/>
    </row>
    <row r="64" spans="1:21">
      <c r="A64" s="13" t="s">
        <v>62</v>
      </c>
      <c r="B64" s="19">
        <f t="shared" ref="B64:N64" si="15">+B61+B48</f>
        <v>1658419</v>
      </c>
      <c r="C64" s="19">
        <f>+C61+C48</f>
        <v>2411768</v>
      </c>
      <c r="D64" s="19">
        <f t="shared" si="15"/>
        <v>2346654.1301663956</v>
      </c>
      <c r="E64" s="19">
        <f t="shared" si="15"/>
        <v>2251695.9239134118</v>
      </c>
      <c r="F64" s="19">
        <f t="shared" si="15"/>
        <v>1774733.3372979946</v>
      </c>
      <c r="G64" s="19">
        <f t="shared" si="15"/>
        <v>1722872.2946369327</v>
      </c>
      <c r="H64" s="19">
        <f t="shared" si="15"/>
        <v>3674848.7287411988</v>
      </c>
      <c r="I64" s="19">
        <f t="shared" si="15"/>
        <v>2317720.2353423792</v>
      </c>
      <c r="J64" s="19">
        <f t="shared" si="15"/>
        <v>1993846.5611706516</v>
      </c>
      <c r="K64" s="19">
        <f t="shared" si="15"/>
        <v>3505205.8692051908</v>
      </c>
      <c r="L64" s="19">
        <f t="shared" si="15"/>
        <v>1931326.019269889</v>
      </c>
      <c r="M64" s="19">
        <f t="shared" si="15"/>
        <v>1310435.7654521898</v>
      </c>
      <c r="N64" s="19">
        <f t="shared" si="15"/>
        <v>26899525.865196235</v>
      </c>
    </row>
    <row r="65" spans="1:14" ht="13.5" thickBot="1">
      <c r="A65" s="13" t="s">
        <v>63</v>
      </c>
      <c r="B65" s="14">
        <f t="shared" ref="B65:M65" si="16">+B13-B64</f>
        <v>-1111672</v>
      </c>
      <c r="C65" s="14">
        <f t="shared" si="16"/>
        <v>236313</v>
      </c>
      <c r="D65" s="14">
        <f t="shared" si="16"/>
        <v>224793.36983360443</v>
      </c>
      <c r="E65" s="14">
        <f t="shared" si="16"/>
        <v>-64019.923913411796</v>
      </c>
      <c r="F65" s="14">
        <f t="shared" si="16"/>
        <v>-385525.33729799464</v>
      </c>
      <c r="G65" s="14">
        <f t="shared" si="16"/>
        <v>-145749.29463693267</v>
      </c>
      <c r="H65" s="14">
        <f t="shared" si="16"/>
        <v>-747924.80874119885</v>
      </c>
      <c r="I65" s="14">
        <f t="shared" si="16"/>
        <v>245980.88465762092</v>
      </c>
      <c r="J65" s="14">
        <f t="shared" si="16"/>
        <v>156269.52882934827</v>
      </c>
      <c r="K65" s="14">
        <f t="shared" si="16"/>
        <v>-1278485.7392051909</v>
      </c>
      <c r="L65" s="14">
        <f t="shared" si="16"/>
        <v>99997.470730111003</v>
      </c>
      <c r="M65" s="14">
        <f t="shared" si="16"/>
        <v>-545759.76545218984</v>
      </c>
      <c r="N65" s="14">
        <f>+N13-N64</f>
        <v>-3315782.6151962355</v>
      </c>
    </row>
    <row r="66" spans="1:14" s="6" customFormat="1" ht="13.5" thickTop="1">
      <c r="A66" s="13" t="s">
        <v>64</v>
      </c>
      <c r="B66" s="12">
        <f>+B65</f>
        <v>-1111672</v>
      </c>
      <c r="C66" s="12">
        <f t="shared" ref="C66:M66" si="17">B66+C65</f>
        <v>-875359</v>
      </c>
      <c r="D66" s="12">
        <f t="shared" si="17"/>
        <v>-650565.63016639557</v>
      </c>
      <c r="E66" s="12">
        <f t="shared" si="17"/>
        <v>-714585.55407980736</v>
      </c>
      <c r="F66" s="12">
        <f t="shared" si="17"/>
        <v>-1100110.891377802</v>
      </c>
      <c r="G66" s="12">
        <f t="shared" si="17"/>
        <v>-1245860.1860147347</v>
      </c>
      <c r="H66" s="12">
        <f t="shared" si="17"/>
        <v>-1993784.9947559335</v>
      </c>
      <c r="I66" s="12">
        <f>H66+I65</f>
        <v>-1747804.1100983126</v>
      </c>
      <c r="J66" s="12">
        <f t="shared" si="17"/>
        <v>-1591534.5812689643</v>
      </c>
      <c r="K66" s="12">
        <f t="shared" si="17"/>
        <v>-2870020.3204741552</v>
      </c>
      <c r="L66" s="12">
        <f t="shared" si="17"/>
        <v>-2770022.8497440442</v>
      </c>
      <c r="M66" s="12">
        <f t="shared" si="17"/>
        <v>-3315782.6151962341</v>
      </c>
      <c r="N66" s="12"/>
    </row>
    <row r="67" spans="1:14">
      <c r="A67" s="13" t="s">
        <v>65</v>
      </c>
      <c r="B67" s="12">
        <f t="shared" ref="B67:M67" si="18">+$B$63+B66</f>
        <v>14304495</v>
      </c>
      <c r="C67" s="12">
        <f t="shared" si="18"/>
        <v>14540808</v>
      </c>
      <c r="D67" s="12">
        <f t="shared" si="18"/>
        <v>14765601.369833604</v>
      </c>
      <c r="E67" s="12">
        <f t="shared" si="18"/>
        <v>14701581.445920192</v>
      </c>
      <c r="F67" s="12">
        <f>+$B$63+F66</f>
        <v>14316056.108622197</v>
      </c>
      <c r="G67" s="12">
        <f t="shared" si="18"/>
        <v>14170306.813985266</v>
      </c>
      <c r="H67" s="12">
        <f t="shared" si="18"/>
        <v>13422382.005244067</v>
      </c>
      <c r="I67" s="12">
        <f t="shared" si="18"/>
        <v>13668362.889901686</v>
      </c>
      <c r="J67" s="12">
        <f t="shared" si="18"/>
        <v>13824632.418731036</v>
      </c>
      <c r="K67" s="12">
        <f t="shared" si="18"/>
        <v>12546146.679525845</v>
      </c>
      <c r="L67" s="12">
        <f t="shared" si="18"/>
        <v>12646144.150255956</v>
      </c>
      <c r="M67" s="12">
        <f t="shared" si="18"/>
        <v>12100384.384803766</v>
      </c>
      <c r="N67" s="12"/>
    </row>
    <row r="68" spans="1:14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6"/>
      <c r="M68" s="6"/>
      <c r="N68" s="6"/>
    </row>
    <row r="69" spans="1:14" s="6" customFormat="1">
      <c r="A69" s="112" t="s">
        <v>147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4"/>
    </row>
    <row r="70" spans="1:14" ht="13.5" thickBot="1">
      <c r="A70" s="115" t="s">
        <v>67</v>
      </c>
      <c r="B70" s="30">
        <v>-1020652.139816873</v>
      </c>
      <c r="C70" s="30">
        <v>60372.648550655227</v>
      </c>
      <c r="D70" s="30">
        <v>224793.36983360443</v>
      </c>
      <c r="E70" s="30">
        <v>-64019.923913411796</v>
      </c>
      <c r="F70" s="30">
        <v>-385525.33729799464</v>
      </c>
      <c r="G70" s="30">
        <v>-145749.29463693267</v>
      </c>
      <c r="H70" s="30">
        <v>-747924.80874119885</v>
      </c>
      <c r="I70" s="30">
        <v>245980.88465762092</v>
      </c>
      <c r="J70" s="30">
        <v>156269.52882934827</v>
      </c>
      <c r="K70" s="30">
        <v>-1278485.7392051909</v>
      </c>
      <c r="L70" s="30">
        <v>99997.470730111003</v>
      </c>
      <c r="M70" s="30">
        <v>-545759.76545218984</v>
      </c>
      <c r="N70" s="124"/>
    </row>
    <row r="71" spans="1:14" ht="13.5" thickTop="1">
      <c r="A71" s="115" t="s">
        <v>64</v>
      </c>
      <c r="B71" s="31">
        <f>+B70</f>
        <v>-1020652.139816873</v>
      </c>
      <c r="C71" s="31">
        <f t="shared" ref="C71:M71" si="19">+B71+C70</f>
        <v>-960279.49126621778</v>
      </c>
      <c r="D71" s="31">
        <f t="shared" si="19"/>
        <v>-735486.12143261335</v>
      </c>
      <c r="E71" s="31">
        <f t="shared" si="19"/>
        <v>-799506.04534602514</v>
      </c>
      <c r="F71" s="31">
        <f t="shared" si="19"/>
        <v>-1185031.3826440198</v>
      </c>
      <c r="G71" s="31">
        <f t="shared" si="19"/>
        <v>-1330780.6772809525</v>
      </c>
      <c r="H71" s="31">
        <f t="shared" si="19"/>
        <v>-2078705.4860221513</v>
      </c>
      <c r="I71" s="31">
        <f t="shared" si="19"/>
        <v>-1832724.6013645304</v>
      </c>
      <c r="J71" s="31">
        <f t="shared" si="19"/>
        <v>-1676455.0725351821</v>
      </c>
      <c r="K71" s="31">
        <f t="shared" si="19"/>
        <v>-2954940.8117403733</v>
      </c>
      <c r="L71" s="31">
        <f t="shared" si="19"/>
        <v>-2854943.3410102623</v>
      </c>
      <c r="M71" s="31">
        <f t="shared" si="19"/>
        <v>-3400703.1064624521</v>
      </c>
      <c r="N71" s="125"/>
    </row>
    <row r="72" spans="1:14">
      <c r="A72" s="115" t="s">
        <v>65</v>
      </c>
      <c r="B72" s="16">
        <f>+B63+B71</f>
        <v>14395514.860183127</v>
      </c>
      <c r="C72" s="16">
        <f>+B72+C70</f>
        <v>14455887.508733783</v>
      </c>
      <c r="D72" s="16">
        <f t="shared" ref="D72:M72" si="20">+C72+D70</f>
        <v>14680680.878567386</v>
      </c>
      <c r="E72" s="16">
        <f t="shared" si="20"/>
        <v>14616660.954653975</v>
      </c>
      <c r="F72" s="16">
        <f t="shared" si="20"/>
        <v>14231135.61735598</v>
      </c>
      <c r="G72" s="16">
        <f t="shared" si="20"/>
        <v>14085386.322719047</v>
      </c>
      <c r="H72" s="16">
        <f t="shared" si="20"/>
        <v>13337461.513977848</v>
      </c>
      <c r="I72" s="16">
        <f t="shared" si="20"/>
        <v>13583442.398635469</v>
      </c>
      <c r="J72" s="16">
        <f t="shared" si="20"/>
        <v>13739711.927464817</v>
      </c>
      <c r="K72" s="16">
        <f t="shared" si="20"/>
        <v>12461226.188259626</v>
      </c>
      <c r="L72" s="16">
        <f t="shared" si="20"/>
        <v>12561223.658989737</v>
      </c>
      <c r="M72" s="16">
        <f t="shared" si="20"/>
        <v>12015463.893537547</v>
      </c>
      <c r="N72" s="116"/>
    </row>
    <row r="73" spans="1:14">
      <c r="A73" s="117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118"/>
    </row>
    <row r="74" spans="1:14">
      <c r="A74" s="119" t="s">
        <v>68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20"/>
    </row>
    <row r="75" spans="1:14">
      <c r="A75" s="115" t="s">
        <v>63</v>
      </c>
      <c r="B75" s="31">
        <f t="shared" ref="B75:M77" si="21">+B65-B70</f>
        <v>-91019.860183126992</v>
      </c>
      <c r="C75" s="31">
        <f t="shared" si="21"/>
        <v>175940.35144934477</v>
      </c>
      <c r="D75" s="31">
        <f t="shared" si="21"/>
        <v>0</v>
      </c>
      <c r="E75" s="31">
        <f t="shared" si="21"/>
        <v>0</v>
      </c>
      <c r="F75" s="31">
        <f t="shared" si="21"/>
        <v>0</v>
      </c>
      <c r="G75" s="31">
        <f t="shared" si="21"/>
        <v>0</v>
      </c>
      <c r="H75" s="31">
        <f t="shared" si="21"/>
        <v>0</v>
      </c>
      <c r="I75" s="31">
        <f t="shared" si="21"/>
        <v>0</v>
      </c>
      <c r="J75" s="31">
        <f t="shared" si="21"/>
        <v>0</v>
      </c>
      <c r="K75" s="31">
        <f t="shared" si="21"/>
        <v>0</v>
      </c>
      <c r="L75" s="31">
        <f t="shared" si="21"/>
        <v>0</v>
      </c>
      <c r="M75" s="31">
        <f t="shared" si="21"/>
        <v>0</v>
      </c>
      <c r="N75" s="125"/>
    </row>
    <row r="76" spans="1:14" s="6" customFormat="1">
      <c r="A76" s="115" t="s">
        <v>64</v>
      </c>
      <c r="B76" s="31">
        <f t="shared" si="21"/>
        <v>-91019.860183126992</v>
      </c>
      <c r="C76" s="31">
        <f t="shared" si="21"/>
        <v>84920.491266217781</v>
      </c>
      <c r="D76" s="31">
        <f t="shared" si="21"/>
        <v>84920.491266217781</v>
      </c>
      <c r="E76" s="31">
        <f t="shared" si="21"/>
        <v>84920.491266217781</v>
      </c>
      <c r="F76" s="31">
        <f t="shared" si="21"/>
        <v>84920.491266217781</v>
      </c>
      <c r="G76" s="31">
        <f t="shared" si="21"/>
        <v>84920.491266217781</v>
      </c>
      <c r="H76" s="31">
        <f t="shared" si="21"/>
        <v>84920.491266217781</v>
      </c>
      <c r="I76" s="31">
        <f t="shared" si="21"/>
        <v>84920.491266217781</v>
      </c>
      <c r="J76" s="31">
        <f t="shared" si="21"/>
        <v>84920.491266217781</v>
      </c>
      <c r="K76" s="31">
        <f t="shared" si="21"/>
        <v>84920.491266218014</v>
      </c>
      <c r="L76" s="31">
        <f t="shared" si="21"/>
        <v>84920.491266218014</v>
      </c>
      <c r="M76" s="31">
        <f t="shared" si="21"/>
        <v>84920.491266218014</v>
      </c>
      <c r="N76" s="125">
        <f>+N66-N71</f>
        <v>0</v>
      </c>
    </row>
    <row r="77" spans="1:14">
      <c r="A77" s="121" t="s">
        <v>65</v>
      </c>
      <c r="B77" s="122">
        <f t="shared" si="21"/>
        <v>-91019.860183127224</v>
      </c>
      <c r="C77" s="122">
        <f t="shared" si="21"/>
        <v>84920.491266217083</v>
      </c>
      <c r="D77" s="122">
        <f t="shared" si="21"/>
        <v>84920.491266217083</v>
      </c>
      <c r="E77" s="122">
        <f t="shared" si="21"/>
        <v>84920.491266217083</v>
      </c>
      <c r="F77" s="122">
        <f>+F67-F72</f>
        <v>84920.491266217083</v>
      </c>
      <c r="G77" s="122">
        <f t="shared" si="21"/>
        <v>84920.491266218945</v>
      </c>
      <c r="H77" s="122">
        <f t="shared" si="21"/>
        <v>84920.491266218945</v>
      </c>
      <c r="I77" s="122">
        <f t="shared" si="21"/>
        <v>84920.491266217083</v>
      </c>
      <c r="J77" s="122">
        <f t="shared" si="21"/>
        <v>84920.491266218945</v>
      </c>
      <c r="K77" s="122">
        <f t="shared" si="21"/>
        <v>84920.491266218945</v>
      </c>
      <c r="L77" s="122">
        <f t="shared" si="21"/>
        <v>84920.491266218945</v>
      </c>
      <c r="M77" s="122">
        <f t="shared" si="21"/>
        <v>84920.491266218945</v>
      </c>
      <c r="N77" s="123"/>
    </row>
    <row r="78" spans="1:14">
      <c r="B78" s="6"/>
      <c r="C78" s="6"/>
      <c r="E78" s="6"/>
      <c r="F78" s="6"/>
      <c r="H78" s="6"/>
      <c r="I78" s="6"/>
      <c r="J78" s="6"/>
      <c r="K78" s="6"/>
      <c r="L78" s="6"/>
      <c r="M78" s="6"/>
      <c r="N78" s="6"/>
    </row>
    <row r="79" spans="1:14">
      <c r="A79" s="1"/>
      <c r="B79" s="4"/>
      <c r="C79" s="8"/>
      <c r="D79" s="8"/>
      <c r="E79" s="8"/>
      <c r="F79" s="8"/>
      <c r="G79" s="96"/>
      <c r="H79" s="97"/>
      <c r="I79" s="5"/>
      <c r="J79" s="96"/>
      <c r="K79" s="96"/>
      <c r="L79" s="5"/>
    </row>
    <row r="80" spans="1:14">
      <c r="A80" s="1"/>
      <c r="B80" s="4"/>
      <c r="C80" s="8"/>
      <c r="D80" s="8"/>
      <c r="E80" s="8"/>
      <c r="F80" s="8"/>
      <c r="G80" s="96"/>
      <c r="H80" s="98"/>
      <c r="I80" s="99"/>
      <c r="J80" s="98"/>
      <c r="K80" s="98"/>
      <c r="L80" s="5"/>
    </row>
    <row r="81" spans="1:14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4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25"/>
    </row>
    <row r="83" spans="1:14">
      <c r="D83"/>
      <c r="E83" s="6"/>
      <c r="J83" s="6"/>
      <c r="K83" s="6"/>
    </row>
    <row r="87" spans="1:14">
      <c r="D87"/>
      <c r="F87" s="2"/>
    </row>
    <row r="88" spans="1:14">
      <c r="D88"/>
      <c r="F88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D845-2920-4E12-8BC2-AB219E744EB9}">
  <sheetPr>
    <tabColor rgb="FF92D050"/>
    <pageSetUpPr fitToPage="1"/>
  </sheetPr>
  <dimension ref="A1:U88"/>
  <sheetViews>
    <sheetView showGridLines="0" zoomScaleNormal="100" workbookViewId="0"/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  <col min="15" max="15" width="11.28515625" bestFit="1" customWidth="1"/>
  </cols>
  <sheetData>
    <row r="1" spans="1:14" ht="13.5" thickBot="1">
      <c r="A1" s="46" t="s">
        <v>145</v>
      </c>
      <c r="E1" s="6"/>
      <c r="F1" s="6"/>
      <c r="J1" s="6"/>
      <c r="K1" s="6"/>
      <c r="N1" s="3"/>
    </row>
    <row r="2" spans="1:14">
      <c r="B2" s="92" t="s">
        <v>24</v>
      </c>
      <c r="C2" s="92" t="s">
        <v>76</v>
      </c>
      <c r="D2" s="92" t="s">
        <v>76</v>
      </c>
      <c r="E2" s="92" t="s">
        <v>76</v>
      </c>
      <c r="F2" s="92" t="s">
        <v>76</v>
      </c>
      <c r="G2" s="92" t="s">
        <v>76</v>
      </c>
      <c r="H2" s="92" t="s">
        <v>76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44378</v>
      </c>
      <c r="C3" s="95">
        <v>44409</v>
      </c>
      <c r="D3" s="95">
        <v>44440</v>
      </c>
      <c r="E3" s="94">
        <v>44470</v>
      </c>
      <c r="F3" s="94">
        <v>44501</v>
      </c>
      <c r="G3" s="95">
        <v>44531</v>
      </c>
      <c r="H3" s="94">
        <v>44562</v>
      </c>
      <c r="I3" s="94">
        <v>44593</v>
      </c>
      <c r="J3" s="94">
        <v>44621</v>
      </c>
      <c r="K3" s="94">
        <v>44652</v>
      </c>
      <c r="L3" s="94">
        <v>44682</v>
      </c>
      <c r="M3" s="94">
        <v>44713</v>
      </c>
      <c r="N3" s="94" t="s">
        <v>146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6" customFormat="1" ht="13.5" hidden="1" customHeight="1" outlineLevel="1">
      <c r="A5" s="100" t="s">
        <v>28</v>
      </c>
      <c r="B5" s="101">
        <v>504149</v>
      </c>
      <c r="C5" s="101">
        <v>3635703</v>
      </c>
      <c r="D5" s="101">
        <v>2385376</v>
      </c>
      <c r="E5" s="101">
        <v>2154714</v>
      </c>
      <c r="F5" s="101">
        <v>1334132</v>
      </c>
      <c r="G5" s="101">
        <v>1508153</v>
      </c>
      <c r="H5" s="101">
        <v>2849041</v>
      </c>
      <c r="I5" s="101">
        <v>2310646</v>
      </c>
      <c r="J5" s="101">
        <v>2063199</v>
      </c>
      <c r="K5" s="101">
        <v>2160785</v>
      </c>
      <c r="L5" s="101">
        <v>1696220</v>
      </c>
      <c r="M5" s="101">
        <v>528176</v>
      </c>
      <c r="N5" s="102">
        <f>SUM(B5:M5)</f>
        <v>23130294</v>
      </c>
    </row>
    <row r="6" spans="1:14" s="6" customFormat="1" ht="12.75" hidden="1" customHeight="1" outlineLevel="1">
      <c r="A6" s="100" t="s">
        <v>29</v>
      </c>
      <c r="B6" s="101">
        <v>42598</v>
      </c>
      <c r="C6" s="101">
        <v>59155</v>
      </c>
      <c r="D6" s="101">
        <v>186071.5</v>
      </c>
      <c r="E6" s="101">
        <v>32962</v>
      </c>
      <c r="F6" s="101">
        <v>55076</v>
      </c>
      <c r="G6" s="101">
        <v>68970</v>
      </c>
      <c r="H6" s="101">
        <v>77882.92</v>
      </c>
      <c r="I6" s="101">
        <v>253055.12</v>
      </c>
      <c r="J6" s="101">
        <v>86917.09</v>
      </c>
      <c r="K6" s="101">
        <v>65935.13</v>
      </c>
      <c r="L6" s="101">
        <v>335103.49</v>
      </c>
      <c r="M6" s="101">
        <v>236500</v>
      </c>
      <c r="N6" s="103">
        <f>SUM(B6:M6)</f>
        <v>1500226.25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546747</v>
      </c>
      <c r="C9" s="12">
        <f t="shared" si="0"/>
        <v>3694858</v>
      </c>
      <c r="D9" s="12">
        <f t="shared" si="0"/>
        <v>2571447.5</v>
      </c>
      <c r="E9" s="12">
        <f t="shared" si="0"/>
        <v>2187676</v>
      </c>
      <c r="F9" s="12">
        <f t="shared" si="0"/>
        <v>1389208</v>
      </c>
      <c r="G9" s="12">
        <f t="shared" si="0"/>
        <v>1577123</v>
      </c>
      <c r="H9" s="12">
        <f t="shared" si="0"/>
        <v>2926923.92</v>
      </c>
      <c r="I9" s="12">
        <f t="shared" si="0"/>
        <v>2563701.12</v>
      </c>
      <c r="J9" s="12">
        <f t="shared" si="0"/>
        <v>2150116.09</v>
      </c>
      <c r="K9" s="12">
        <f t="shared" si="0"/>
        <v>2226720.13</v>
      </c>
      <c r="L9" s="12">
        <f t="shared" si="0"/>
        <v>2031323.49</v>
      </c>
      <c r="M9" s="12">
        <f t="shared" si="0"/>
        <v>764676</v>
      </c>
      <c r="N9" s="12">
        <f t="shared" si="0"/>
        <v>24630520.25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546747</v>
      </c>
      <c r="C13" s="14">
        <f>C9+C11</f>
        <v>3694858</v>
      </c>
      <c r="D13" s="14">
        <f t="shared" si="1"/>
        <v>2571447.5</v>
      </c>
      <c r="E13" s="14">
        <f t="shared" si="1"/>
        <v>2187676</v>
      </c>
      <c r="F13" s="14">
        <f t="shared" si="1"/>
        <v>1389208</v>
      </c>
      <c r="G13" s="14">
        <f t="shared" si="1"/>
        <v>1577123</v>
      </c>
      <c r="H13" s="14">
        <f t="shared" si="1"/>
        <v>2926923.92</v>
      </c>
      <c r="I13" s="14">
        <f t="shared" si="1"/>
        <v>2563701.12</v>
      </c>
      <c r="J13" s="14">
        <f t="shared" si="1"/>
        <v>2150116.09</v>
      </c>
      <c r="K13" s="14">
        <f t="shared" si="1"/>
        <v>2226720.13</v>
      </c>
      <c r="L13" s="14">
        <f t="shared" si="1"/>
        <v>2031323.49</v>
      </c>
      <c r="M13" s="14">
        <f t="shared" si="1"/>
        <v>764676</v>
      </c>
      <c r="N13" s="14">
        <f t="shared" si="1"/>
        <v>24630520.25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idden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231981</v>
      </c>
      <c r="C16" s="101">
        <v>2359455</v>
      </c>
      <c r="D16" s="101">
        <v>1085215</v>
      </c>
      <c r="E16" s="101">
        <v>733882</v>
      </c>
      <c r="F16" s="101">
        <v>495048</v>
      </c>
      <c r="G16" s="101">
        <v>564114</v>
      </c>
      <c r="H16" s="101">
        <v>1675649</v>
      </c>
      <c r="I16" s="101">
        <v>865778</v>
      </c>
      <c r="J16" s="101">
        <v>720357</v>
      </c>
      <c r="K16" s="101">
        <v>807534</v>
      </c>
      <c r="L16" s="101">
        <v>804888</v>
      </c>
      <c r="M16" s="101">
        <v>279546</v>
      </c>
      <c r="N16" s="103">
        <f>SUM(B16:M16)</f>
        <v>10623447</v>
      </c>
    </row>
    <row r="17" spans="1:14" s="6" customFormat="1" hidden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idden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231981</v>
      </c>
      <c r="C20" s="12">
        <f t="shared" si="2"/>
        <v>2359455</v>
      </c>
      <c r="D20" s="12">
        <f t="shared" si="2"/>
        <v>1085215</v>
      </c>
      <c r="E20" s="12">
        <f t="shared" si="2"/>
        <v>733882</v>
      </c>
      <c r="F20" s="12">
        <f t="shared" si="2"/>
        <v>495048</v>
      </c>
      <c r="G20" s="12">
        <f t="shared" si="2"/>
        <v>564114</v>
      </c>
      <c r="H20" s="12">
        <f t="shared" si="2"/>
        <v>1675649</v>
      </c>
      <c r="I20" s="12">
        <f t="shared" si="2"/>
        <v>865778</v>
      </c>
      <c r="J20" s="12">
        <f t="shared" si="2"/>
        <v>720357</v>
      </c>
      <c r="K20" s="12">
        <f t="shared" si="2"/>
        <v>807534</v>
      </c>
      <c r="L20" s="12">
        <f t="shared" si="2"/>
        <v>804888</v>
      </c>
      <c r="M20" s="12">
        <f t="shared" si="2"/>
        <v>279546</v>
      </c>
      <c r="N20" s="12">
        <f t="shared" si="2"/>
        <v>10623447</v>
      </c>
    </row>
    <row r="21" spans="1:14" s="6" customFormat="1" ht="13.5" hidden="1" customHeight="1" outlineLevel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4" s="6" customFormat="1" ht="17.25" hidden="1" customHeight="1" outlineLevel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s="6" customFormat="1" hidden="1" outlineLevel="1">
      <c r="A23" s="6" t="s">
        <v>37</v>
      </c>
      <c r="B23" s="7">
        <f t="shared" ref="B23:M26" si="3">+B5-B16</f>
        <v>272168</v>
      </c>
      <c r="C23" s="7">
        <f t="shared" si="3"/>
        <v>1276248</v>
      </c>
      <c r="D23" s="7">
        <f t="shared" si="3"/>
        <v>1300161</v>
      </c>
      <c r="E23" s="7">
        <f t="shared" si="3"/>
        <v>1420832</v>
      </c>
      <c r="F23" s="7">
        <f t="shared" si="3"/>
        <v>839084</v>
      </c>
      <c r="G23" s="7">
        <f t="shared" si="3"/>
        <v>944039</v>
      </c>
      <c r="H23" s="7">
        <f>+H5-H16</f>
        <v>1173392</v>
      </c>
      <c r="I23" s="7">
        <f t="shared" si="3"/>
        <v>1444868</v>
      </c>
      <c r="J23" s="7">
        <f t="shared" si="3"/>
        <v>1342842</v>
      </c>
      <c r="K23" s="7">
        <f t="shared" si="3"/>
        <v>1353251</v>
      </c>
      <c r="L23" s="7">
        <f t="shared" si="3"/>
        <v>891332</v>
      </c>
      <c r="M23" s="7">
        <f t="shared" si="3"/>
        <v>248630</v>
      </c>
      <c r="N23" s="7">
        <f>SUM(B23:M23)</f>
        <v>12506847</v>
      </c>
    </row>
    <row r="24" spans="1:14" s="6" customFormat="1" hidden="1" outlineLevel="1">
      <c r="A24" s="6" t="s">
        <v>37</v>
      </c>
      <c r="B24" s="7">
        <f t="shared" si="3"/>
        <v>42598</v>
      </c>
      <c r="C24" s="7">
        <f t="shared" si="3"/>
        <v>59155</v>
      </c>
      <c r="D24" s="7">
        <f t="shared" si="3"/>
        <v>186071.5</v>
      </c>
      <c r="E24" s="7">
        <f t="shared" si="3"/>
        <v>32962</v>
      </c>
      <c r="F24" s="7">
        <f t="shared" si="3"/>
        <v>55076</v>
      </c>
      <c r="G24" s="7">
        <f t="shared" si="3"/>
        <v>68970</v>
      </c>
      <c r="H24" s="7">
        <f>+H6-H17</f>
        <v>77882.92</v>
      </c>
      <c r="I24" s="7">
        <f t="shared" si="3"/>
        <v>253055.12</v>
      </c>
      <c r="J24" s="7">
        <f t="shared" si="3"/>
        <v>86917.09</v>
      </c>
      <c r="K24" s="7">
        <f t="shared" si="3"/>
        <v>65935.13</v>
      </c>
      <c r="L24" s="7">
        <f t="shared" si="3"/>
        <v>335103.49</v>
      </c>
      <c r="M24" s="7">
        <f t="shared" si="3"/>
        <v>236500</v>
      </c>
      <c r="N24" s="7">
        <f>SUM(B24:M24)</f>
        <v>1500226.25</v>
      </c>
    </row>
    <row r="25" spans="1:14" s="6" customFormat="1" hidden="1" outlineLevel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14" s="6" customFormat="1" hidden="1" outlineLevel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314766</v>
      </c>
      <c r="C27" s="12">
        <f t="shared" si="4"/>
        <v>1335403</v>
      </c>
      <c r="D27" s="12">
        <f t="shared" si="4"/>
        <v>1486232.5</v>
      </c>
      <c r="E27" s="12">
        <f t="shared" si="4"/>
        <v>1453794</v>
      </c>
      <c r="F27" s="12">
        <f t="shared" si="4"/>
        <v>894160</v>
      </c>
      <c r="G27" s="12">
        <f t="shared" si="4"/>
        <v>1013009</v>
      </c>
      <c r="H27" s="12">
        <f>SUM(H23:H26)</f>
        <v>1251274.92</v>
      </c>
      <c r="I27" s="12">
        <f t="shared" si="4"/>
        <v>1697923.12</v>
      </c>
      <c r="J27" s="12">
        <f t="shared" si="4"/>
        <v>1429759.09</v>
      </c>
      <c r="K27" s="12">
        <f t="shared" si="4"/>
        <v>1419186.13</v>
      </c>
      <c r="L27" s="12">
        <f t="shared" si="4"/>
        <v>1226435.49</v>
      </c>
      <c r="M27" s="12">
        <f>SUM(M23:M26)</f>
        <v>485130</v>
      </c>
      <c r="N27" s="12">
        <f t="shared" si="4"/>
        <v>14007073.25</v>
      </c>
    </row>
    <row r="28" spans="1:14" s="6" customFormat="1" ht="14.25" customHeight="1">
      <c r="B28" s="73">
        <f>IFERROR(+B27/B9, 0)</f>
        <v>0.57570686258909509</v>
      </c>
      <c r="C28" s="73">
        <f t="shared" ref="C28:M28" si="5">IFERROR(+C27/C9, 0)</f>
        <v>0.36142200864011553</v>
      </c>
      <c r="D28" s="73">
        <f t="shared" si="5"/>
        <v>0.57797505101698554</v>
      </c>
      <c r="E28" s="73">
        <f t="shared" si="5"/>
        <v>0.66453807602222636</v>
      </c>
      <c r="F28" s="73">
        <f t="shared" si="5"/>
        <v>0.64364731559276944</v>
      </c>
      <c r="G28" s="73">
        <f t="shared" si="5"/>
        <v>0.64231451827156161</v>
      </c>
      <c r="H28" s="73">
        <f t="shared" si="5"/>
        <v>0.42750510576988277</v>
      </c>
      <c r="I28" s="73">
        <f t="shared" si="5"/>
        <v>0.66229370762220519</v>
      </c>
      <c r="J28" s="73">
        <f t="shared" si="5"/>
        <v>0.66496832271042638</v>
      </c>
      <c r="K28" s="73">
        <f t="shared" si="5"/>
        <v>0.63734373749071016</v>
      </c>
      <c r="L28" s="73">
        <f t="shared" si="5"/>
        <v>0.60376178193065644</v>
      </c>
      <c r="M28" s="73">
        <f t="shared" si="5"/>
        <v>0.63442556062959998</v>
      </c>
      <c r="N28" s="73">
        <f t="shared" ref="N28" si="6">+N27/N9</f>
        <v>0.56868767317247393</v>
      </c>
    </row>
    <row r="29" spans="1:14" s="6" customFormat="1" hidden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348553</v>
      </c>
      <c r="C30" s="101">
        <v>517368.85618371511</v>
      </c>
      <c r="D30" s="101">
        <v>558185.38806217699</v>
      </c>
      <c r="E30" s="101">
        <v>657742.37470079784</v>
      </c>
      <c r="F30" s="101">
        <v>495564.75130063813</v>
      </c>
      <c r="G30" s="101">
        <v>499865.4108406381</v>
      </c>
      <c r="H30" s="101">
        <v>657236.3099157979</v>
      </c>
      <c r="I30" s="101">
        <v>577638.58578563808</v>
      </c>
      <c r="J30" s="101">
        <v>560236.72752563818</v>
      </c>
      <c r="K30" s="101">
        <v>659701.17391579773</v>
      </c>
      <c r="L30" s="101">
        <v>473668.86290563812</v>
      </c>
      <c r="M30" s="101">
        <v>358700.97955063812</v>
      </c>
      <c r="N30" s="103">
        <f>SUM(B30:M30)</f>
        <v>6364462.4206871148</v>
      </c>
    </row>
    <row r="31" spans="1:14" s="6" customFormat="1" hidden="1" outlineLevel="1">
      <c r="A31" s="100" t="s">
        <v>42</v>
      </c>
      <c r="B31" s="101">
        <v>146522</v>
      </c>
      <c r="C31" s="101">
        <v>196246.2452656297</v>
      </c>
      <c r="D31" s="101">
        <v>192151.24210421875</v>
      </c>
      <c r="E31" s="101">
        <v>225310.04921261402</v>
      </c>
      <c r="F31" s="101">
        <v>184416.08599735648</v>
      </c>
      <c r="G31" s="101">
        <v>183507.88379629469</v>
      </c>
      <c r="H31" s="101">
        <v>223479.91882540099</v>
      </c>
      <c r="I31" s="101">
        <v>194840.64955674118</v>
      </c>
      <c r="J31" s="101">
        <v>192841.58364501339</v>
      </c>
      <c r="K31" s="101">
        <v>227142.44528939298</v>
      </c>
      <c r="L31" s="101">
        <v>186120.15636425081</v>
      </c>
      <c r="M31" s="101">
        <v>178852.28590155178</v>
      </c>
      <c r="N31" s="103">
        <f>SUM(B31:M31)</f>
        <v>2331430.5459584645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495075</v>
      </c>
      <c r="C34" s="12">
        <f t="shared" si="7"/>
        <v>713615.10144934477</v>
      </c>
      <c r="D34" s="12">
        <f t="shared" si="7"/>
        <v>750336.6301663958</v>
      </c>
      <c r="E34" s="12">
        <f t="shared" si="7"/>
        <v>883052.4239134118</v>
      </c>
      <c r="F34" s="12">
        <f t="shared" si="7"/>
        <v>679980.83729799464</v>
      </c>
      <c r="G34" s="12">
        <f t="shared" si="7"/>
        <v>683373.29463693278</v>
      </c>
      <c r="H34" s="12">
        <f t="shared" si="7"/>
        <v>880716.22874119889</v>
      </c>
      <c r="I34" s="12">
        <f t="shared" si="7"/>
        <v>772479.23534237919</v>
      </c>
      <c r="J34" s="12">
        <f t="shared" si="7"/>
        <v>753078.31117065158</v>
      </c>
      <c r="K34" s="12">
        <f t="shared" si="7"/>
        <v>886843.61920519068</v>
      </c>
      <c r="L34" s="12">
        <f t="shared" si="7"/>
        <v>659789.01926988899</v>
      </c>
      <c r="M34" s="12">
        <f t="shared" si="7"/>
        <v>537553.26545218984</v>
      </c>
      <c r="N34" s="12">
        <f t="shared" si="7"/>
        <v>8695892.9666455798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customHeight="1" outlineLevel="1">
      <c r="A37" s="100" t="s">
        <v>45</v>
      </c>
      <c r="B37" s="101">
        <v>878489</v>
      </c>
      <c r="C37" s="101">
        <v>1147668.3514493448</v>
      </c>
      <c r="D37" s="101">
        <v>1136394.1301663958</v>
      </c>
      <c r="E37" s="101">
        <v>1337000.9239134118</v>
      </c>
      <c r="F37" s="101">
        <v>1034157.3372979946</v>
      </c>
      <c r="G37" s="108">
        <v>1036659.2946369328</v>
      </c>
      <c r="H37" s="108">
        <v>1240836.7287411988</v>
      </c>
      <c r="I37" s="108">
        <v>1195430.2353423792</v>
      </c>
      <c r="J37" s="108">
        <v>1139370.5611706516</v>
      </c>
      <c r="K37" s="108">
        <v>1280451.8692051908</v>
      </c>
      <c r="L37" s="101">
        <v>991100.01926988899</v>
      </c>
      <c r="M37" s="101">
        <v>793229.76545218984</v>
      </c>
      <c r="N37" s="103">
        <f>SUM(B37:M37)</f>
        <v>13210788.21664558</v>
      </c>
    </row>
    <row r="38" spans="1:14" s="6" customFormat="1" ht="12.75" customHeight="1" outlineLevel="1">
      <c r="A38" s="6" t="s">
        <v>46</v>
      </c>
      <c r="B38" s="7">
        <f>-B34</f>
        <v>-495075</v>
      </c>
      <c r="C38" s="7">
        <f t="shared" ref="C38:M38" si="8">-C34</f>
        <v>-713615.10144934477</v>
      </c>
      <c r="D38" s="7">
        <f t="shared" si="8"/>
        <v>-750336.6301663958</v>
      </c>
      <c r="E38" s="7">
        <f t="shared" si="8"/>
        <v>-883052.4239134118</v>
      </c>
      <c r="F38" s="7">
        <f t="shared" si="8"/>
        <v>-679980.83729799464</v>
      </c>
      <c r="G38" s="7">
        <f t="shared" si="8"/>
        <v>-683373.29463693278</v>
      </c>
      <c r="H38" s="7">
        <f>-H34</f>
        <v>-880716.22874119889</v>
      </c>
      <c r="I38" s="7">
        <f t="shared" si="8"/>
        <v>-772479.23534237919</v>
      </c>
      <c r="J38" s="7">
        <f t="shared" si="8"/>
        <v>-753078.31117065158</v>
      </c>
      <c r="K38" s="7">
        <f t="shared" si="8"/>
        <v>-886843.61920519068</v>
      </c>
      <c r="L38" s="7">
        <f t="shared" si="8"/>
        <v>-659789.01926988899</v>
      </c>
      <c r="M38" s="7">
        <f t="shared" si="8"/>
        <v>-537553.26545218984</v>
      </c>
      <c r="N38" s="7">
        <f>SUM(B38:M38)</f>
        <v>-8695892.9666455798</v>
      </c>
    </row>
    <row r="39" spans="1:14" s="6" customFormat="1" ht="12.75" customHeight="1" outlineLevel="1">
      <c r="A39" s="100" t="s">
        <v>47</v>
      </c>
      <c r="B39" s="109">
        <v>-71723</v>
      </c>
      <c r="C39" s="109">
        <v>-71047</v>
      </c>
      <c r="D39" s="109">
        <v>-71002</v>
      </c>
      <c r="E39" s="109">
        <v>-70087</v>
      </c>
      <c r="F39" s="109">
        <v>-70087</v>
      </c>
      <c r="G39" s="109">
        <v>-70087</v>
      </c>
      <c r="H39" s="109">
        <v>-67822</v>
      </c>
      <c r="I39" s="109">
        <v>-67012</v>
      </c>
      <c r="J39" s="109">
        <v>-66437</v>
      </c>
      <c r="K39" s="109">
        <v>-55277</v>
      </c>
      <c r="L39" s="109">
        <v>-55277</v>
      </c>
      <c r="M39" s="109">
        <v>-55119</v>
      </c>
      <c r="N39" s="103">
        <f>SUM(B39:M39)</f>
        <v>-790977</v>
      </c>
    </row>
    <row r="40" spans="1:14" s="6" customFormat="1" ht="12.75" customHeight="1" outlineLevel="1">
      <c r="A40" s="100" t="s">
        <v>124</v>
      </c>
      <c r="B40" s="101">
        <v>-6972</v>
      </c>
      <c r="C40" s="101">
        <v>-6930</v>
      </c>
      <c r="D40" s="101">
        <v>-6930</v>
      </c>
      <c r="E40" s="101">
        <v>-3973</v>
      </c>
      <c r="F40" s="101">
        <v>-3973</v>
      </c>
      <c r="G40" s="101">
        <v>-3973</v>
      </c>
      <c r="H40" s="101">
        <v>-3973</v>
      </c>
      <c r="I40" s="101">
        <v>-3973</v>
      </c>
      <c r="J40" s="101">
        <v>-2414</v>
      </c>
      <c r="K40" s="101">
        <v>-2414</v>
      </c>
      <c r="L40" s="101">
        <v>-2414</v>
      </c>
      <c r="M40" s="101">
        <v>-1960</v>
      </c>
      <c r="N40" s="103">
        <f>SUM(B40:M40)</f>
        <v>-49899</v>
      </c>
    </row>
    <row r="41" spans="1:14" s="6" customFormat="1" ht="12.75" customHeight="1" outlineLevel="1">
      <c r="A41" s="100" t="s">
        <v>48</v>
      </c>
      <c r="B41" s="110">
        <v>-6570</v>
      </c>
      <c r="C41" s="110">
        <v>-7120</v>
      </c>
      <c r="D41" s="110">
        <v>-6400</v>
      </c>
      <c r="E41" s="110">
        <v>-5690</v>
      </c>
      <c r="F41" s="110">
        <v>-5730</v>
      </c>
      <c r="G41" s="110">
        <v>-9440</v>
      </c>
      <c r="H41" s="110">
        <v>-6070</v>
      </c>
      <c r="I41" s="110">
        <v>-5690</v>
      </c>
      <c r="J41" s="110">
        <v>-5440</v>
      </c>
      <c r="K41" s="110">
        <v>-6200</v>
      </c>
      <c r="L41" s="110">
        <v>-7200</v>
      </c>
      <c r="M41" s="110">
        <v>-19650</v>
      </c>
      <c r="N41" s="104">
        <f>SUM(B41:M41)</f>
        <v>-91200</v>
      </c>
    </row>
    <row r="42" spans="1:14" s="6" customFormat="1">
      <c r="A42" s="13" t="s">
        <v>49</v>
      </c>
      <c r="B42" s="12">
        <f t="shared" ref="B42:N42" si="9">SUM(B37:B41)</f>
        <v>298149</v>
      </c>
      <c r="C42" s="12">
        <f t="shared" si="9"/>
        <v>348956.25</v>
      </c>
      <c r="D42" s="12">
        <f t="shared" si="9"/>
        <v>301725.5</v>
      </c>
      <c r="E42" s="12">
        <f t="shared" si="9"/>
        <v>374198.5</v>
      </c>
      <c r="F42" s="12">
        <f t="shared" si="9"/>
        <v>274386.5</v>
      </c>
      <c r="G42" s="12">
        <f t="shared" si="9"/>
        <v>269786</v>
      </c>
      <c r="H42" s="12">
        <f t="shared" si="9"/>
        <v>282255.49999999988</v>
      </c>
      <c r="I42" s="12">
        <f t="shared" si="9"/>
        <v>346276</v>
      </c>
      <c r="J42" s="12">
        <f t="shared" si="9"/>
        <v>312001.25</v>
      </c>
      <c r="K42" s="12">
        <f t="shared" si="9"/>
        <v>329717.25000000012</v>
      </c>
      <c r="L42" s="12">
        <f t="shared" si="9"/>
        <v>266420</v>
      </c>
      <c r="M42" s="12">
        <f t="shared" si="9"/>
        <v>178947.5</v>
      </c>
      <c r="N42" s="12">
        <f t="shared" si="9"/>
        <v>3582819.25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outlineLevel="1">
      <c r="A44" s="105" t="s">
        <v>50</v>
      </c>
      <c r="B44" s="110">
        <v>232915</v>
      </c>
      <c r="C44" s="111">
        <v>242459</v>
      </c>
      <c r="D44" s="111">
        <v>244377</v>
      </c>
      <c r="E44" s="111">
        <v>290563</v>
      </c>
      <c r="F44" s="111">
        <v>255318</v>
      </c>
      <c r="G44" s="111">
        <v>240599</v>
      </c>
      <c r="H44" s="111">
        <v>308228</v>
      </c>
      <c r="I44" s="111">
        <v>238187</v>
      </c>
      <c r="J44" s="111">
        <v>243410</v>
      </c>
      <c r="K44" s="111">
        <v>289111</v>
      </c>
      <c r="L44" s="111">
        <v>230229</v>
      </c>
      <c r="M44" s="111">
        <v>219389</v>
      </c>
      <c r="N44" s="126">
        <f>SUM(B44:M44)</f>
        <v>3034785</v>
      </c>
    </row>
    <row r="45" spans="1:14" s="6" customFormat="1" outlineLevel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</row>
    <row r="46" spans="1:14">
      <c r="A46" s="1" t="s">
        <v>50</v>
      </c>
      <c r="B46" s="12">
        <f>SUM(B44:B45)</f>
        <v>232915</v>
      </c>
      <c r="C46" s="12">
        <f>SUM(C44:C45)</f>
        <v>242459</v>
      </c>
      <c r="D46" s="12">
        <f t="shared" ref="D46:N46" si="10">SUM(D44:D45)</f>
        <v>244377</v>
      </c>
      <c r="E46" s="12">
        <f t="shared" si="10"/>
        <v>290563</v>
      </c>
      <c r="F46" s="12">
        <f t="shared" si="10"/>
        <v>255318</v>
      </c>
      <c r="G46" s="12">
        <f t="shared" si="10"/>
        <v>240599</v>
      </c>
      <c r="H46" s="12">
        <f t="shared" si="10"/>
        <v>308228</v>
      </c>
      <c r="I46" s="12">
        <f t="shared" si="10"/>
        <v>238187</v>
      </c>
      <c r="J46" s="12">
        <f t="shared" si="10"/>
        <v>243410</v>
      </c>
      <c r="K46" s="12">
        <f t="shared" si="10"/>
        <v>289111</v>
      </c>
      <c r="L46" s="12">
        <f t="shared" si="10"/>
        <v>230229</v>
      </c>
      <c r="M46" s="12">
        <f t="shared" si="10"/>
        <v>219389</v>
      </c>
      <c r="N46" s="12">
        <f t="shared" si="10"/>
        <v>3034785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>+B20+B34+B42+B46</f>
        <v>1258120</v>
      </c>
      <c r="C48" s="19">
        <f t="shared" ref="C48:N48" si="11">+C20+C34+C42+C46</f>
        <v>3664485.3514493448</v>
      </c>
      <c r="D48" s="19">
        <f t="shared" si="11"/>
        <v>2381654.1301663956</v>
      </c>
      <c r="E48" s="19">
        <f t="shared" si="11"/>
        <v>2281695.9239134118</v>
      </c>
      <c r="F48" s="19">
        <f>+F20+F34+F42+F46</f>
        <v>1704733.3372979946</v>
      </c>
      <c r="G48" s="19">
        <f t="shared" si="11"/>
        <v>1757872.2946369327</v>
      </c>
      <c r="H48" s="19">
        <f t="shared" si="11"/>
        <v>3146848.7287411988</v>
      </c>
      <c r="I48" s="19">
        <f t="shared" si="11"/>
        <v>2222720.2353423792</v>
      </c>
      <c r="J48" s="19">
        <f t="shared" si="11"/>
        <v>2028846.5611706516</v>
      </c>
      <c r="K48" s="19">
        <f t="shared" si="11"/>
        <v>2313205.8692051908</v>
      </c>
      <c r="L48" s="19">
        <f t="shared" si="11"/>
        <v>1961326.019269889</v>
      </c>
      <c r="M48" s="19">
        <f t="shared" si="11"/>
        <v>1215435.7654521898</v>
      </c>
      <c r="N48" s="19">
        <f t="shared" si="11"/>
        <v>25936944.21664558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-711373</v>
      </c>
      <c r="C50" s="12">
        <f t="shared" si="12"/>
        <v>30372.648550655227</v>
      </c>
      <c r="D50" s="12">
        <f t="shared" si="12"/>
        <v>189793.36983360443</v>
      </c>
      <c r="E50" s="12">
        <f t="shared" si="12"/>
        <v>-94019.923913411796</v>
      </c>
      <c r="F50" s="12">
        <f>+F13-F48</f>
        <v>-315525.33729799464</v>
      </c>
      <c r="G50" s="12">
        <f t="shared" si="12"/>
        <v>-180749.29463693267</v>
      </c>
      <c r="H50" s="12">
        <f>+H13-H48</f>
        <v>-219924.80874119885</v>
      </c>
      <c r="I50" s="12">
        <f t="shared" si="12"/>
        <v>340980.88465762092</v>
      </c>
      <c r="J50" s="12">
        <f t="shared" si="12"/>
        <v>121269.52882934827</v>
      </c>
      <c r="K50" s="12">
        <f t="shared" si="12"/>
        <v>-86485.739205190912</v>
      </c>
      <c r="L50" s="12">
        <f t="shared" si="12"/>
        <v>69997.470730111003</v>
      </c>
      <c r="M50" s="12">
        <f t="shared" si="12"/>
        <v>-450759.76545218984</v>
      </c>
      <c r="N50" s="12">
        <f>SUM(B50:M50)</f>
        <v>-1306423.9666455789</v>
      </c>
      <c r="O50" s="2">
        <f>+N50-N39-N40</f>
        <v>-465547.96664557885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2233</v>
      </c>
      <c r="C53" s="10"/>
      <c r="D53" s="10"/>
      <c r="E53" s="10"/>
      <c r="F53" s="10"/>
      <c r="G53" s="10"/>
      <c r="H53" s="23">
        <v>58000</v>
      </c>
      <c r="I53" s="10">
        <v>125000</v>
      </c>
      <c r="J53" s="10"/>
      <c r="K53" s="10"/>
      <c r="L53" s="10"/>
      <c r="M53" s="10">
        <v>130000</v>
      </c>
      <c r="N53" s="10">
        <f t="shared" ref="N53:N60" si="13">SUM(B53:M53)</f>
        <v>315233</v>
      </c>
      <c r="U53" s="40"/>
    </row>
    <row r="54" spans="1:21" s="6" customFormat="1">
      <c r="A54" s="6" t="s">
        <v>96</v>
      </c>
      <c r="B54" s="10"/>
      <c r="C54" s="10"/>
      <c r="D54" s="10"/>
      <c r="E54" s="10"/>
      <c r="F54" s="10">
        <v>100000</v>
      </c>
      <c r="G54" s="10"/>
      <c r="H54" s="10"/>
      <c r="I54" s="10"/>
      <c r="J54" s="10"/>
      <c r="K54" s="10"/>
      <c r="L54" s="10"/>
      <c r="M54" s="10"/>
      <c r="N54" s="10">
        <f t="shared" si="13"/>
        <v>100000</v>
      </c>
    </row>
    <row r="55" spans="1:21" s="6" customFormat="1">
      <c r="A55" s="6" t="s">
        <v>111</v>
      </c>
      <c r="B55" s="10">
        <v>426370</v>
      </c>
      <c r="C55" s="10"/>
      <c r="D55" s="10"/>
      <c r="E55" s="10"/>
      <c r="F55" s="10"/>
      <c r="G55" s="10"/>
      <c r="H55" s="10">
        <v>500000</v>
      </c>
      <c r="I55" s="10"/>
      <c r="J55" s="10"/>
      <c r="K55" s="10"/>
      <c r="L55" s="10"/>
      <c r="M55" s="10"/>
      <c r="N55" s="10">
        <f t="shared" si="13"/>
        <v>926370</v>
      </c>
    </row>
    <row r="56" spans="1:21" s="6" customFormat="1">
      <c r="A56" s="128" t="s">
        <v>142</v>
      </c>
      <c r="B56" s="10"/>
      <c r="C56" s="10"/>
      <c r="D56" s="10"/>
      <c r="E56" s="10"/>
      <c r="F56" s="10"/>
      <c r="G56" s="10"/>
      <c r="H56" s="10"/>
      <c r="I56" s="10"/>
      <c r="J56" s="10"/>
      <c r="K56" s="10">
        <v>222000</v>
      </c>
      <c r="L56" s="10"/>
      <c r="M56" s="10"/>
      <c r="N56" s="10">
        <f>SUM(B56:M56)</f>
        <v>222000</v>
      </c>
    </row>
    <row r="57" spans="1:21" s="6" customFormat="1">
      <c r="A57" s="37" t="s">
        <v>144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>
        <f t="shared" si="13"/>
        <v>0</v>
      </c>
    </row>
    <row r="58" spans="1:21" s="6" customFormat="1">
      <c r="A58" s="128" t="s">
        <v>148</v>
      </c>
      <c r="B58" s="10"/>
      <c r="C58" s="10"/>
      <c r="D58" s="10"/>
      <c r="E58" s="10"/>
      <c r="F58" s="10"/>
      <c r="G58" s="10"/>
      <c r="H58" s="10"/>
      <c r="I58" s="10"/>
      <c r="J58" s="10"/>
      <c r="K58" s="10">
        <v>1000000</v>
      </c>
      <c r="L58" s="10"/>
      <c r="M58" s="10"/>
      <c r="N58" s="10">
        <f t="shared" si="13"/>
        <v>1000000</v>
      </c>
    </row>
    <row r="59" spans="1:21" s="6" customFormat="1">
      <c r="A59" s="37" t="s">
        <v>58</v>
      </c>
      <c r="B59" s="7">
        <v>-10182</v>
      </c>
      <c r="C59" s="7">
        <v>-15000</v>
      </c>
      <c r="D59" s="7">
        <v>-20000</v>
      </c>
      <c r="E59" s="7">
        <v>-15000</v>
      </c>
      <c r="F59" s="7">
        <v>-15000</v>
      </c>
      <c r="G59" s="7">
        <v>-20000</v>
      </c>
      <c r="H59" s="7">
        <v>-15000</v>
      </c>
      <c r="I59" s="7">
        <v>-15000</v>
      </c>
      <c r="J59" s="7">
        <v>-20000</v>
      </c>
      <c r="K59" s="7">
        <v>-15000</v>
      </c>
      <c r="L59" s="7">
        <v>-15000</v>
      </c>
      <c r="M59" s="7">
        <v>-20000</v>
      </c>
      <c r="N59" s="10">
        <f t="shared" si="13"/>
        <v>-195182</v>
      </c>
    </row>
    <row r="60" spans="1:21" s="6" customFormat="1">
      <c r="A60" s="6" t="s">
        <v>134</v>
      </c>
      <c r="B60" s="22">
        <v>-18122</v>
      </c>
      <c r="C60" s="7">
        <v>-15000</v>
      </c>
      <c r="D60" s="7">
        <v>-15000</v>
      </c>
      <c r="E60" s="7">
        <v>-15000</v>
      </c>
      <c r="F60" s="7">
        <v>-15000</v>
      </c>
      <c r="G60" s="7">
        <v>-15000</v>
      </c>
      <c r="H60" s="7">
        <v>-15000</v>
      </c>
      <c r="I60" s="7">
        <v>-15000</v>
      </c>
      <c r="J60" s="7">
        <v>-15000</v>
      </c>
      <c r="K60" s="7">
        <v>-15000</v>
      </c>
      <c r="L60" s="7">
        <v>-15000</v>
      </c>
      <c r="M60" s="7">
        <v>-15000</v>
      </c>
      <c r="N60" s="22">
        <f t="shared" si="13"/>
        <v>-183122</v>
      </c>
    </row>
    <row r="61" spans="1:21" s="6" customFormat="1">
      <c r="A61" s="13" t="s">
        <v>60</v>
      </c>
      <c r="B61" s="19">
        <f t="shared" ref="B61:N61" si="14">SUM(B53:B60)</f>
        <v>400299</v>
      </c>
      <c r="C61" s="19">
        <f t="shared" si="14"/>
        <v>-30000</v>
      </c>
      <c r="D61" s="19">
        <f t="shared" si="14"/>
        <v>-35000</v>
      </c>
      <c r="E61" s="19">
        <f t="shared" si="14"/>
        <v>-30000</v>
      </c>
      <c r="F61" s="19">
        <f t="shared" si="14"/>
        <v>70000</v>
      </c>
      <c r="G61" s="19">
        <f t="shared" si="14"/>
        <v>-35000</v>
      </c>
      <c r="H61" s="19">
        <f t="shared" si="14"/>
        <v>528000</v>
      </c>
      <c r="I61" s="19">
        <f t="shared" si="14"/>
        <v>95000</v>
      </c>
      <c r="J61" s="19">
        <f t="shared" si="14"/>
        <v>-35000</v>
      </c>
      <c r="K61" s="19">
        <f t="shared" si="14"/>
        <v>1192000</v>
      </c>
      <c r="L61" s="19">
        <f t="shared" si="14"/>
        <v>-30000</v>
      </c>
      <c r="M61" s="19">
        <f t="shared" si="14"/>
        <v>95000</v>
      </c>
      <c r="N61" s="19">
        <f t="shared" si="14"/>
        <v>2185299</v>
      </c>
      <c r="O61" s="10">
        <f>+N9-N20-N37-N46-N59-N60</f>
        <v>-1860195.9666455798</v>
      </c>
    </row>
    <row r="62" spans="1:2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21">
      <c r="A63" s="1" t="s">
        <v>61</v>
      </c>
      <c r="B63" s="12">
        <v>15416167</v>
      </c>
      <c r="C63" s="7"/>
      <c r="D63" s="7"/>
      <c r="E63" s="7"/>
      <c r="F63" s="7"/>
      <c r="G63" s="7"/>
      <c r="H63" s="7" t="s">
        <v>38</v>
      </c>
      <c r="I63" s="7"/>
      <c r="J63" s="7"/>
      <c r="K63" s="7"/>
      <c r="L63" s="6"/>
      <c r="M63" s="6"/>
      <c r="N63" s="6"/>
    </row>
    <row r="64" spans="1:21">
      <c r="A64" s="13" t="s">
        <v>62</v>
      </c>
      <c r="B64" s="19">
        <f t="shared" ref="B64:N64" si="15">+B61+B48</f>
        <v>1658419</v>
      </c>
      <c r="C64" s="19">
        <f>+C61+C48</f>
        <v>3634485.3514493448</v>
      </c>
      <c r="D64" s="19">
        <f t="shared" si="15"/>
        <v>2346654.1301663956</v>
      </c>
      <c r="E64" s="19">
        <f t="shared" si="15"/>
        <v>2251695.9239134118</v>
      </c>
      <c r="F64" s="19">
        <f t="shared" si="15"/>
        <v>1774733.3372979946</v>
      </c>
      <c r="G64" s="19">
        <f t="shared" si="15"/>
        <v>1722872.2946369327</v>
      </c>
      <c r="H64" s="19">
        <f t="shared" si="15"/>
        <v>3674848.7287411988</v>
      </c>
      <c r="I64" s="19">
        <f t="shared" si="15"/>
        <v>2317720.2353423792</v>
      </c>
      <c r="J64" s="19">
        <f t="shared" si="15"/>
        <v>1993846.5611706516</v>
      </c>
      <c r="K64" s="19">
        <f t="shared" si="15"/>
        <v>3505205.8692051908</v>
      </c>
      <c r="L64" s="19">
        <f t="shared" si="15"/>
        <v>1931326.019269889</v>
      </c>
      <c r="M64" s="19">
        <f t="shared" si="15"/>
        <v>1310435.7654521898</v>
      </c>
      <c r="N64" s="19">
        <f t="shared" si="15"/>
        <v>28122243.21664558</v>
      </c>
    </row>
    <row r="65" spans="1:14" ht="13.5" thickBot="1">
      <c r="A65" s="13" t="s">
        <v>63</v>
      </c>
      <c r="B65" s="14">
        <f t="shared" ref="B65:M65" si="16">+B13-B64</f>
        <v>-1111672</v>
      </c>
      <c r="C65" s="14">
        <f t="shared" si="16"/>
        <v>60372.648550655227</v>
      </c>
      <c r="D65" s="14">
        <f t="shared" si="16"/>
        <v>224793.36983360443</v>
      </c>
      <c r="E65" s="14">
        <f t="shared" si="16"/>
        <v>-64019.923913411796</v>
      </c>
      <c r="F65" s="14">
        <f t="shared" si="16"/>
        <v>-385525.33729799464</v>
      </c>
      <c r="G65" s="14">
        <f t="shared" si="16"/>
        <v>-145749.29463693267</v>
      </c>
      <c r="H65" s="14">
        <f t="shared" si="16"/>
        <v>-747924.80874119885</v>
      </c>
      <c r="I65" s="14">
        <f t="shared" si="16"/>
        <v>245980.88465762092</v>
      </c>
      <c r="J65" s="14">
        <f t="shared" si="16"/>
        <v>156269.52882934827</v>
      </c>
      <c r="K65" s="14">
        <f t="shared" si="16"/>
        <v>-1278485.7392051909</v>
      </c>
      <c r="L65" s="14">
        <f t="shared" si="16"/>
        <v>99997.470730111003</v>
      </c>
      <c r="M65" s="14">
        <f t="shared" si="16"/>
        <v>-545759.76545218984</v>
      </c>
      <c r="N65" s="14">
        <f>+N13-N64</f>
        <v>-3491722.9666455798</v>
      </c>
    </row>
    <row r="66" spans="1:14" s="6" customFormat="1" ht="13.5" thickTop="1">
      <c r="A66" s="13" t="s">
        <v>64</v>
      </c>
      <c r="B66" s="12">
        <f>+B65</f>
        <v>-1111672</v>
      </c>
      <c r="C66" s="12">
        <f t="shared" ref="C66:M66" si="17">B66+C65</f>
        <v>-1051299.3514493448</v>
      </c>
      <c r="D66" s="12">
        <f t="shared" si="17"/>
        <v>-826505.98161574034</v>
      </c>
      <c r="E66" s="12">
        <f t="shared" si="17"/>
        <v>-890525.90552915214</v>
      </c>
      <c r="F66" s="12">
        <f t="shared" si="17"/>
        <v>-1276051.2428271468</v>
      </c>
      <c r="G66" s="12">
        <f t="shared" si="17"/>
        <v>-1421800.5374640794</v>
      </c>
      <c r="H66" s="12">
        <f t="shared" si="17"/>
        <v>-2169725.3462052783</v>
      </c>
      <c r="I66" s="12">
        <f>H66+I65</f>
        <v>-1923744.4615476574</v>
      </c>
      <c r="J66" s="12">
        <f t="shared" si="17"/>
        <v>-1767474.9327183091</v>
      </c>
      <c r="K66" s="12">
        <f t="shared" si="17"/>
        <v>-3045960.6719235</v>
      </c>
      <c r="L66" s="12">
        <f t="shared" si="17"/>
        <v>-2945963.201193389</v>
      </c>
      <c r="M66" s="12">
        <f t="shared" si="17"/>
        <v>-3491722.9666455789</v>
      </c>
      <c r="N66" s="12"/>
    </row>
    <row r="67" spans="1:14">
      <c r="A67" s="13" t="s">
        <v>65</v>
      </c>
      <c r="B67" s="12">
        <f t="shared" ref="B67:M67" si="18">+$B$63+B66</f>
        <v>14304495</v>
      </c>
      <c r="C67" s="12">
        <f t="shared" si="18"/>
        <v>14364867.648550656</v>
      </c>
      <c r="D67" s="12">
        <f t="shared" si="18"/>
        <v>14589661.018384259</v>
      </c>
      <c r="E67" s="12">
        <f t="shared" si="18"/>
        <v>14525641.094470847</v>
      </c>
      <c r="F67" s="12">
        <f>+$B$63+F66</f>
        <v>14140115.757172853</v>
      </c>
      <c r="G67" s="12">
        <f t="shared" si="18"/>
        <v>13994366.462535921</v>
      </c>
      <c r="H67" s="12">
        <f t="shared" si="18"/>
        <v>13246441.653794721</v>
      </c>
      <c r="I67" s="12">
        <f t="shared" si="18"/>
        <v>13492422.538452342</v>
      </c>
      <c r="J67" s="12">
        <f t="shared" si="18"/>
        <v>13648692.067281691</v>
      </c>
      <c r="K67" s="12">
        <f t="shared" si="18"/>
        <v>12370206.3280765</v>
      </c>
      <c r="L67" s="12">
        <f t="shared" si="18"/>
        <v>12470203.798806611</v>
      </c>
      <c r="M67" s="12">
        <f t="shared" si="18"/>
        <v>11924444.03335442</v>
      </c>
      <c r="N67" s="12"/>
    </row>
    <row r="68" spans="1:14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6"/>
      <c r="M68" s="6"/>
      <c r="N68" s="6"/>
    </row>
    <row r="69" spans="1:14" s="6" customFormat="1">
      <c r="A69" s="112" t="s">
        <v>147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4"/>
    </row>
    <row r="70" spans="1:14" ht="13.5" thickBot="1">
      <c r="A70" s="115" t="s">
        <v>67</v>
      </c>
      <c r="B70" s="30">
        <v>-1020652.139816873</v>
      </c>
      <c r="C70" s="30">
        <v>60372.648550655227</v>
      </c>
      <c r="D70" s="30">
        <v>224793.36983360443</v>
      </c>
      <c r="E70" s="30">
        <v>-64019.923913411796</v>
      </c>
      <c r="F70" s="30">
        <v>-385525.33729799464</v>
      </c>
      <c r="G70" s="30">
        <v>-145749.29463693267</v>
      </c>
      <c r="H70" s="30">
        <v>-747924.80874119885</v>
      </c>
      <c r="I70" s="30">
        <v>245980.88465762092</v>
      </c>
      <c r="J70" s="30">
        <v>156269.52882934827</v>
      </c>
      <c r="K70" s="30">
        <v>-1278485.7392051909</v>
      </c>
      <c r="L70" s="30">
        <v>99997.470730111003</v>
      </c>
      <c r="M70" s="30">
        <v>-545759.76545218984</v>
      </c>
      <c r="N70" s="124"/>
    </row>
    <row r="71" spans="1:14" ht="13.5" thickTop="1">
      <c r="A71" s="115" t="s">
        <v>64</v>
      </c>
      <c r="B71" s="31">
        <f>+B70</f>
        <v>-1020652.139816873</v>
      </c>
      <c r="C71" s="31">
        <f t="shared" ref="C71:M71" si="19">+B71+C70</f>
        <v>-960279.49126621778</v>
      </c>
      <c r="D71" s="31">
        <f t="shared" si="19"/>
        <v>-735486.12143261335</v>
      </c>
      <c r="E71" s="31">
        <f t="shared" si="19"/>
        <v>-799506.04534602514</v>
      </c>
      <c r="F71" s="31">
        <f t="shared" si="19"/>
        <v>-1185031.3826440198</v>
      </c>
      <c r="G71" s="31">
        <f t="shared" si="19"/>
        <v>-1330780.6772809525</v>
      </c>
      <c r="H71" s="31">
        <f t="shared" si="19"/>
        <v>-2078705.4860221513</v>
      </c>
      <c r="I71" s="31">
        <f t="shared" si="19"/>
        <v>-1832724.6013645304</v>
      </c>
      <c r="J71" s="31">
        <f t="shared" si="19"/>
        <v>-1676455.0725351821</v>
      </c>
      <c r="K71" s="31">
        <f t="shared" si="19"/>
        <v>-2954940.8117403733</v>
      </c>
      <c r="L71" s="31">
        <f t="shared" si="19"/>
        <v>-2854943.3410102623</v>
      </c>
      <c r="M71" s="31">
        <f t="shared" si="19"/>
        <v>-3400703.1064624521</v>
      </c>
      <c r="N71" s="125"/>
    </row>
    <row r="72" spans="1:14">
      <c r="A72" s="115" t="s">
        <v>65</v>
      </c>
      <c r="B72" s="16">
        <f>+B63+B71</f>
        <v>14395514.860183127</v>
      </c>
      <c r="C72" s="16">
        <f>+B72+C70</f>
        <v>14455887.508733783</v>
      </c>
      <c r="D72" s="16">
        <f t="shared" ref="D72:M72" si="20">+C72+D70</f>
        <v>14680680.878567386</v>
      </c>
      <c r="E72" s="16">
        <f t="shared" si="20"/>
        <v>14616660.954653975</v>
      </c>
      <c r="F72" s="16">
        <f t="shared" si="20"/>
        <v>14231135.61735598</v>
      </c>
      <c r="G72" s="16">
        <f t="shared" si="20"/>
        <v>14085386.322719047</v>
      </c>
      <c r="H72" s="16">
        <f t="shared" si="20"/>
        <v>13337461.513977848</v>
      </c>
      <c r="I72" s="16">
        <f t="shared" si="20"/>
        <v>13583442.398635469</v>
      </c>
      <c r="J72" s="16">
        <f t="shared" si="20"/>
        <v>13739711.927464817</v>
      </c>
      <c r="K72" s="16">
        <f t="shared" si="20"/>
        <v>12461226.188259626</v>
      </c>
      <c r="L72" s="16">
        <f t="shared" si="20"/>
        <v>12561223.658989737</v>
      </c>
      <c r="M72" s="16">
        <f t="shared" si="20"/>
        <v>12015463.893537547</v>
      </c>
      <c r="N72" s="116"/>
    </row>
    <row r="73" spans="1:14">
      <c r="A73" s="117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118"/>
    </row>
    <row r="74" spans="1:14">
      <c r="A74" s="119" t="s">
        <v>68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20"/>
    </row>
    <row r="75" spans="1:14">
      <c r="A75" s="115" t="s">
        <v>63</v>
      </c>
      <c r="B75" s="31">
        <f t="shared" ref="B75:M77" si="21">+B65-B70</f>
        <v>-91019.860183126992</v>
      </c>
      <c r="C75" s="31">
        <f t="shared" si="21"/>
        <v>0</v>
      </c>
      <c r="D75" s="31">
        <f t="shared" si="21"/>
        <v>0</v>
      </c>
      <c r="E75" s="31">
        <f t="shared" si="21"/>
        <v>0</v>
      </c>
      <c r="F75" s="31">
        <f t="shared" si="21"/>
        <v>0</v>
      </c>
      <c r="G75" s="31">
        <f t="shared" si="21"/>
        <v>0</v>
      </c>
      <c r="H75" s="31">
        <f t="shared" si="21"/>
        <v>0</v>
      </c>
      <c r="I75" s="31">
        <f t="shared" si="21"/>
        <v>0</v>
      </c>
      <c r="J75" s="31">
        <f t="shared" si="21"/>
        <v>0</v>
      </c>
      <c r="K75" s="31">
        <f t="shared" si="21"/>
        <v>0</v>
      </c>
      <c r="L75" s="31">
        <f t="shared" si="21"/>
        <v>0</v>
      </c>
      <c r="M75" s="31">
        <f t="shared" si="21"/>
        <v>0</v>
      </c>
      <c r="N75" s="125"/>
    </row>
    <row r="76" spans="1:14" s="6" customFormat="1">
      <c r="A76" s="115" t="s">
        <v>64</v>
      </c>
      <c r="B76" s="31">
        <f t="shared" si="21"/>
        <v>-91019.860183126992</v>
      </c>
      <c r="C76" s="31">
        <f t="shared" si="21"/>
        <v>-91019.860183126992</v>
      </c>
      <c r="D76" s="31">
        <f t="shared" si="21"/>
        <v>-91019.860183126992</v>
      </c>
      <c r="E76" s="31">
        <f t="shared" si="21"/>
        <v>-91019.860183126992</v>
      </c>
      <c r="F76" s="31">
        <f t="shared" si="21"/>
        <v>-91019.860183126992</v>
      </c>
      <c r="G76" s="31">
        <f t="shared" si="21"/>
        <v>-91019.860183126992</v>
      </c>
      <c r="H76" s="31">
        <f t="shared" si="21"/>
        <v>-91019.860183126992</v>
      </c>
      <c r="I76" s="31">
        <f t="shared" si="21"/>
        <v>-91019.860183126992</v>
      </c>
      <c r="J76" s="31">
        <f t="shared" si="21"/>
        <v>-91019.860183126992</v>
      </c>
      <c r="K76" s="31">
        <f t="shared" si="21"/>
        <v>-91019.860183126759</v>
      </c>
      <c r="L76" s="31">
        <f t="shared" si="21"/>
        <v>-91019.860183126759</v>
      </c>
      <c r="M76" s="31">
        <f t="shared" si="21"/>
        <v>-91019.860183126759</v>
      </c>
      <c r="N76" s="125">
        <f>+N66-N71</f>
        <v>0</v>
      </c>
    </row>
    <row r="77" spans="1:14">
      <c r="A77" s="121" t="s">
        <v>65</v>
      </c>
      <c r="B77" s="122">
        <f t="shared" si="21"/>
        <v>-91019.860183127224</v>
      </c>
      <c r="C77" s="122">
        <f t="shared" si="21"/>
        <v>-91019.860183127224</v>
      </c>
      <c r="D77" s="122">
        <f t="shared" si="21"/>
        <v>-91019.860183127224</v>
      </c>
      <c r="E77" s="122">
        <f t="shared" si="21"/>
        <v>-91019.860183127224</v>
      </c>
      <c r="F77" s="122">
        <f>+F67-F72</f>
        <v>-91019.860183127224</v>
      </c>
      <c r="G77" s="122">
        <f t="shared" si="21"/>
        <v>-91019.860183125362</v>
      </c>
      <c r="H77" s="122">
        <f t="shared" si="21"/>
        <v>-91019.860183127224</v>
      </c>
      <c r="I77" s="122">
        <f t="shared" si="21"/>
        <v>-91019.860183127224</v>
      </c>
      <c r="J77" s="122">
        <f t="shared" si="21"/>
        <v>-91019.860183125362</v>
      </c>
      <c r="K77" s="122">
        <f t="shared" si="21"/>
        <v>-91019.860183125362</v>
      </c>
      <c r="L77" s="122">
        <f t="shared" si="21"/>
        <v>-91019.860183125362</v>
      </c>
      <c r="M77" s="122">
        <f t="shared" si="21"/>
        <v>-91019.860183127224</v>
      </c>
      <c r="N77" s="123"/>
    </row>
    <row r="78" spans="1:14">
      <c r="B78" s="6"/>
      <c r="C78" s="6"/>
      <c r="E78" s="6"/>
      <c r="F78" s="6"/>
      <c r="H78" s="6"/>
      <c r="I78" s="6"/>
      <c r="J78" s="6"/>
      <c r="K78" s="6"/>
      <c r="L78" s="6"/>
      <c r="M78" s="6"/>
      <c r="N78" s="6"/>
    </row>
    <row r="79" spans="1:14">
      <c r="A79" s="1"/>
      <c r="B79" s="4"/>
      <c r="C79" s="8"/>
      <c r="D79" s="8"/>
      <c r="E79" s="8"/>
      <c r="F79" s="8"/>
      <c r="G79" s="96"/>
      <c r="H79" s="97"/>
      <c r="I79" s="5"/>
      <c r="J79" s="96"/>
      <c r="K79" s="96"/>
      <c r="L79" s="5"/>
    </row>
    <row r="80" spans="1:14">
      <c r="A80" s="1"/>
      <c r="B80" s="4"/>
      <c r="C80" s="8"/>
      <c r="D80" s="8"/>
      <c r="E80" s="8"/>
      <c r="F80" s="8"/>
      <c r="G80" s="96"/>
      <c r="H80" s="98"/>
      <c r="I80" s="99"/>
      <c r="J80" s="98"/>
      <c r="K80" s="98"/>
      <c r="L80" s="5"/>
    </row>
    <row r="81" spans="1:14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4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25"/>
    </row>
    <row r="83" spans="1:14">
      <c r="D83"/>
      <c r="E83" s="6"/>
      <c r="J83" s="6"/>
      <c r="K83" s="6"/>
    </row>
    <row r="87" spans="1:14">
      <c r="D87"/>
      <c r="F87" s="2"/>
    </row>
    <row r="88" spans="1:14">
      <c r="D88"/>
      <c r="F88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A941-0C14-427B-9C70-5E19899A99EF}">
  <sheetPr>
    <tabColor rgb="FF92D050"/>
    <pageSetUpPr fitToPage="1"/>
  </sheetPr>
  <dimension ref="A1:U88"/>
  <sheetViews>
    <sheetView showGridLines="0" zoomScaleNormal="100" workbookViewId="0"/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  <col min="15" max="15" width="11.28515625" bestFit="1" customWidth="1"/>
  </cols>
  <sheetData>
    <row r="1" spans="1:14" ht="13.5" thickBot="1">
      <c r="A1" s="46" t="s">
        <v>145</v>
      </c>
      <c r="E1" s="6"/>
      <c r="F1" s="6"/>
      <c r="J1" s="6"/>
      <c r="K1" s="6"/>
      <c r="N1" s="3"/>
    </row>
    <row r="2" spans="1:14">
      <c r="B2" s="92" t="s">
        <v>76</v>
      </c>
      <c r="C2" s="92" t="s">
        <v>76</v>
      </c>
      <c r="D2" s="92" t="s">
        <v>76</v>
      </c>
      <c r="E2" s="92" t="s">
        <v>76</v>
      </c>
      <c r="F2" s="92" t="s">
        <v>76</v>
      </c>
      <c r="G2" s="92" t="s">
        <v>76</v>
      </c>
      <c r="H2" s="92" t="s">
        <v>76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44378</v>
      </c>
      <c r="C3" s="95">
        <v>44409</v>
      </c>
      <c r="D3" s="95">
        <v>44440</v>
      </c>
      <c r="E3" s="94">
        <v>44470</v>
      </c>
      <c r="F3" s="94">
        <v>44501</v>
      </c>
      <c r="G3" s="95">
        <v>44531</v>
      </c>
      <c r="H3" s="94">
        <v>44562</v>
      </c>
      <c r="I3" s="94">
        <v>44593</v>
      </c>
      <c r="J3" s="94">
        <v>44621</v>
      </c>
      <c r="K3" s="94">
        <v>44652</v>
      </c>
      <c r="L3" s="94">
        <v>44682</v>
      </c>
      <c r="M3" s="94">
        <v>44713</v>
      </c>
      <c r="N3" s="94" t="s">
        <v>146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6" customFormat="1" ht="13.5" hidden="1" customHeight="1" outlineLevel="1">
      <c r="A5" s="100" t="s">
        <v>28</v>
      </c>
      <c r="B5" s="101">
        <v>658468</v>
      </c>
      <c r="C5" s="101">
        <v>3635703</v>
      </c>
      <c r="D5" s="101">
        <v>2385376</v>
      </c>
      <c r="E5" s="101">
        <v>2154714</v>
      </c>
      <c r="F5" s="101">
        <v>1334132</v>
      </c>
      <c r="G5" s="101">
        <v>1508153</v>
      </c>
      <c r="H5" s="101">
        <v>2849041</v>
      </c>
      <c r="I5" s="101">
        <v>2310646</v>
      </c>
      <c r="J5" s="101">
        <v>2063199</v>
      </c>
      <c r="K5" s="101">
        <v>2160785</v>
      </c>
      <c r="L5" s="101">
        <v>1696220</v>
      </c>
      <c r="M5" s="101">
        <v>528176</v>
      </c>
      <c r="N5" s="102">
        <f>SUM(B5:M5)</f>
        <v>23284613</v>
      </c>
    </row>
    <row r="6" spans="1:14" s="6" customFormat="1" ht="12.75" hidden="1" customHeight="1" outlineLevel="1">
      <c r="A6" s="100" t="s">
        <v>29</v>
      </c>
      <c r="B6" s="101">
        <v>26753</v>
      </c>
      <c r="C6" s="101">
        <v>59155</v>
      </c>
      <c r="D6" s="101">
        <v>186071.5</v>
      </c>
      <c r="E6" s="101">
        <v>32962</v>
      </c>
      <c r="F6" s="101">
        <v>55076</v>
      </c>
      <c r="G6" s="101">
        <v>68970</v>
      </c>
      <c r="H6" s="101">
        <v>77882.92</v>
      </c>
      <c r="I6" s="101">
        <v>253055.12</v>
      </c>
      <c r="J6" s="101">
        <v>86917.09</v>
      </c>
      <c r="K6" s="101">
        <v>65935.13</v>
      </c>
      <c r="L6" s="101">
        <v>335103.49</v>
      </c>
      <c r="M6" s="101">
        <v>236500</v>
      </c>
      <c r="N6" s="103">
        <f>SUM(B6:M6)</f>
        <v>1484381.25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685221</v>
      </c>
      <c r="C9" s="12">
        <f t="shared" si="0"/>
        <v>3694858</v>
      </c>
      <c r="D9" s="12">
        <f t="shared" si="0"/>
        <v>2571447.5</v>
      </c>
      <c r="E9" s="12">
        <f t="shared" si="0"/>
        <v>2187676</v>
      </c>
      <c r="F9" s="12">
        <f t="shared" si="0"/>
        <v>1389208</v>
      </c>
      <c r="G9" s="12">
        <f t="shared" si="0"/>
        <v>1577123</v>
      </c>
      <c r="H9" s="12">
        <f t="shared" si="0"/>
        <v>2926923.92</v>
      </c>
      <c r="I9" s="12">
        <f t="shared" si="0"/>
        <v>2563701.12</v>
      </c>
      <c r="J9" s="12">
        <f t="shared" si="0"/>
        <v>2150116.09</v>
      </c>
      <c r="K9" s="12">
        <f t="shared" si="0"/>
        <v>2226720.13</v>
      </c>
      <c r="L9" s="12">
        <f t="shared" si="0"/>
        <v>2031323.49</v>
      </c>
      <c r="M9" s="12">
        <f t="shared" si="0"/>
        <v>764676</v>
      </c>
      <c r="N9" s="12">
        <f t="shared" si="0"/>
        <v>24768994.25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685221</v>
      </c>
      <c r="C13" s="14">
        <f>C9+C11</f>
        <v>3694858</v>
      </c>
      <c r="D13" s="14">
        <f t="shared" si="1"/>
        <v>2571447.5</v>
      </c>
      <c r="E13" s="14">
        <f t="shared" si="1"/>
        <v>2187676</v>
      </c>
      <c r="F13" s="14">
        <f t="shared" si="1"/>
        <v>1389208</v>
      </c>
      <c r="G13" s="14">
        <f t="shared" si="1"/>
        <v>1577123</v>
      </c>
      <c r="H13" s="14">
        <f t="shared" si="1"/>
        <v>2926923.92</v>
      </c>
      <c r="I13" s="14">
        <f t="shared" si="1"/>
        <v>2563701.12</v>
      </c>
      <c r="J13" s="14">
        <f t="shared" si="1"/>
        <v>2150116.09</v>
      </c>
      <c r="K13" s="14">
        <f t="shared" si="1"/>
        <v>2226720.13</v>
      </c>
      <c r="L13" s="14">
        <f t="shared" si="1"/>
        <v>2031323.49</v>
      </c>
      <c r="M13" s="14">
        <f t="shared" si="1"/>
        <v>764676</v>
      </c>
      <c r="N13" s="14">
        <f t="shared" si="1"/>
        <v>24768994.25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idden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455634</v>
      </c>
      <c r="C16" s="101">
        <v>2359455</v>
      </c>
      <c r="D16" s="101">
        <v>1085215</v>
      </c>
      <c r="E16" s="101">
        <v>733882</v>
      </c>
      <c r="F16" s="101">
        <v>495048</v>
      </c>
      <c r="G16" s="101">
        <v>564114</v>
      </c>
      <c r="H16" s="101">
        <v>1675649</v>
      </c>
      <c r="I16" s="101">
        <v>865778</v>
      </c>
      <c r="J16" s="101">
        <v>720357</v>
      </c>
      <c r="K16" s="101">
        <v>807534</v>
      </c>
      <c r="L16" s="101">
        <v>804888</v>
      </c>
      <c r="M16" s="101">
        <v>279546</v>
      </c>
      <c r="N16" s="103">
        <f>SUM(B16:M16)</f>
        <v>10847100</v>
      </c>
    </row>
    <row r="17" spans="1:14" s="6" customFormat="1" hidden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idden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455634</v>
      </c>
      <c r="C20" s="12">
        <f t="shared" si="2"/>
        <v>2359455</v>
      </c>
      <c r="D20" s="12">
        <f t="shared" si="2"/>
        <v>1085215</v>
      </c>
      <c r="E20" s="12">
        <f t="shared" si="2"/>
        <v>733882</v>
      </c>
      <c r="F20" s="12">
        <f t="shared" si="2"/>
        <v>495048</v>
      </c>
      <c r="G20" s="12">
        <f t="shared" si="2"/>
        <v>564114</v>
      </c>
      <c r="H20" s="12">
        <f t="shared" si="2"/>
        <v>1675649</v>
      </c>
      <c r="I20" s="12">
        <f t="shared" si="2"/>
        <v>865778</v>
      </c>
      <c r="J20" s="12">
        <f t="shared" si="2"/>
        <v>720357</v>
      </c>
      <c r="K20" s="12">
        <f t="shared" si="2"/>
        <v>807534</v>
      </c>
      <c r="L20" s="12">
        <f t="shared" si="2"/>
        <v>804888</v>
      </c>
      <c r="M20" s="12">
        <f t="shared" si="2"/>
        <v>279546</v>
      </c>
      <c r="N20" s="12">
        <f t="shared" si="2"/>
        <v>10847100</v>
      </c>
    </row>
    <row r="21" spans="1:14" s="6" customFormat="1" ht="13.5" hidden="1" customHeight="1" outlineLevel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4" s="6" customFormat="1" ht="17.25" hidden="1" customHeight="1" outlineLevel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s="6" customFormat="1" hidden="1" outlineLevel="1">
      <c r="A23" s="6" t="s">
        <v>37</v>
      </c>
      <c r="B23" s="7">
        <f t="shared" ref="B23:M26" si="3">+B5-B16</f>
        <v>202834</v>
      </c>
      <c r="C23" s="7">
        <f t="shared" si="3"/>
        <v>1276248</v>
      </c>
      <c r="D23" s="7">
        <f t="shared" si="3"/>
        <v>1300161</v>
      </c>
      <c r="E23" s="7">
        <f t="shared" si="3"/>
        <v>1420832</v>
      </c>
      <c r="F23" s="7">
        <f t="shared" si="3"/>
        <v>839084</v>
      </c>
      <c r="G23" s="7">
        <f t="shared" si="3"/>
        <v>944039</v>
      </c>
      <c r="H23" s="7">
        <f>+H5-H16</f>
        <v>1173392</v>
      </c>
      <c r="I23" s="7">
        <f t="shared" si="3"/>
        <v>1444868</v>
      </c>
      <c r="J23" s="7">
        <f t="shared" si="3"/>
        <v>1342842</v>
      </c>
      <c r="K23" s="7">
        <f t="shared" si="3"/>
        <v>1353251</v>
      </c>
      <c r="L23" s="7">
        <f t="shared" si="3"/>
        <v>891332</v>
      </c>
      <c r="M23" s="7">
        <f t="shared" si="3"/>
        <v>248630</v>
      </c>
      <c r="N23" s="7">
        <f>SUM(B23:M23)</f>
        <v>12437513</v>
      </c>
    </row>
    <row r="24" spans="1:14" s="6" customFormat="1" hidden="1" outlineLevel="1">
      <c r="A24" s="6" t="s">
        <v>37</v>
      </c>
      <c r="B24" s="7">
        <f t="shared" si="3"/>
        <v>26753</v>
      </c>
      <c r="C24" s="7">
        <f t="shared" si="3"/>
        <v>59155</v>
      </c>
      <c r="D24" s="7">
        <f t="shared" si="3"/>
        <v>186071.5</v>
      </c>
      <c r="E24" s="7">
        <f t="shared" si="3"/>
        <v>32962</v>
      </c>
      <c r="F24" s="7">
        <f t="shared" si="3"/>
        <v>55076</v>
      </c>
      <c r="G24" s="7">
        <f t="shared" si="3"/>
        <v>68970</v>
      </c>
      <c r="H24" s="7">
        <f>+H6-H17</f>
        <v>77882.92</v>
      </c>
      <c r="I24" s="7">
        <f t="shared" si="3"/>
        <v>253055.12</v>
      </c>
      <c r="J24" s="7">
        <f t="shared" si="3"/>
        <v>86917.09</v>
      </c>
      <c r="K24" s="7">
        <f t="shared" si="3"/>
        <v>65935.13</v>
      </c>
      <c r="L24" s="7">
        <f t="shared" si="3"/>
        <v>335103.49</v>
      </c>
      <c r="M24" s="7">
        <f t="shared" si="3"/>
        <v>236500</v>
      </c>
      <c r="N24" s="7">
        <f>SUM(B24:M24)</f>
        <v>1484381.25</v>
      </c>
    </row>
    <row r="25" spans="1:14" s="6" customFormat="1" hidden="1" outlineLevel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14" s="6" customFormat="1" hidden="1" outlineLevel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229587</v>
      </c>
      <c r="C27" s="12">
        <f t="shared" si="4"/>
        <v>1335403</v>
      </c>
      <c r="D27" s="12">
        <f t="shared" si="4"/>
        <v>1486232.5</v>
      </c>
      <c r="E27" s="12">
        <f t="shared" si="4"/>
        <v>1453794</v>
      </c>
      <c r="F27" s="12">
        <f t="shared" si="4"/>
        <v>894160</v>
      </c>
      <c r="G27" s="12">
        <f t="shared" si="4"/>
        <v>1013009</v>
      </c>
      <c r="H27" s="12">
        <f>SUM(H23:H26)</f>
        <v>1251274.92</v>
      </c>
      <c r="I27" s="12">
        <f t="shared" si="4"/>
        <v>1697923.12</v>
      </c>
      <c r="J27" s="12">
        <f t="shared" si="4"/>
        <v>1429759.09</v>
      </c>
      <c r="K27" s="12">
        <f t="shared" si="4"/>
        <v>1419186.13</v>
      </c>
      <c r="L27" s="12">
        <f t="shared" si="4"/>
        <v>1226435.49</v>
      </c>
      <c r="M27" s="12">
        <f>SUM(M23:M26)</f>
        <v>485130</v>
      </c>
      <c r="N27" s="12">
        <f t="shared" si="4"/>
        <v>13921894.25</v>
      </c>
    </row>
    <row r="28" spans="1:14" s="6" customFormat="1" ht="14.25" customHeight="1">
      <c r="B28" s="73">
        <f>IFERROR(+B27/B9, 0)</f>
        <v>0.33505540548231882</v>
      </c>
      <c r="C28" s="73">
        <f t="shared" ref="C28:M28" si="5">IFERROR(+C27/C9, 0)</f>
        <v>0.36142200864011553</v>
      </c>
      <c r="D28" s="73">
        <f t="shared" si="5"/>
        <v>0.57797505101698554</v>
      </c>
      <c r="E28" s="73">
        <f t="shared" si="5"/>
        <v>0.66453807602222636</v>
      </c>
      <c r="F28" s="73">
        <f t="shared" si="5"/>
        <v>0.64364731559276944</v>
      </c>
      <c r="G28" s="73">
        <f t="shared" si="5"/>
        <v>0.64231451827156161</v>
      </c>
      <c r="H28" s="73">
        <f t="shared" si="5"/>
        <v>0.42750510576988277</v>
      </c>
      <c r="I28" s="73">
        <f t="shared" si="5"/>
        <v>0.66229370762220519</v>
      </c>
      <c r="J28" s="73">
        <f t="shared" si="5"/>
        <v>0.66496832271042638</v>
      </c>
      <c r="K28" s="73">
        <f t="shared" si="5"/>
        <v>0.63734373749071016</v>
      </c>
      <c r="L28" s="73">
        <f t="shared" si="5"/>
        <v>0.60376178193065644</v>
      </c>
      <c r="M28" s="73">
        <f t="shared" si="5"/>
        <v>0.63442556062959998</v>
      </c>
      <c r="N28" s="73">
        <f t="shared" ref="N28" si="6">+N27/N9</f>
        <v>0.56206942072345145</v>
      </c>
    </row>
    <row r="29" spans="1:14" s="6" customFormat="1" hidden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440466.62585464388</v>
      </c>
      <c r="C30" s="101">
        <v>517368.85618371511</v>
      </c>
      <c r="D30" s="101">
        <v>558185.38806217699</v>
      </c>
      <c r="E30" s="101">
        <v>657742.37470079784</v>
      </c>
      <c r="F30" s="101">
        <v>495564.75130063813</v>
      </c>
      <c r="G30" s="101">
        <v>499865.4108406381</v>
      </c>
      <c r="H30" s="101">
        <v>657236.3099157979</v>
      </c>
      <c r="I30" s="101">
        <v>577638.58578563808</v>
      </c>
      <c r="J30" s="101">
        <v>560236.72752563818</v>
      </c>
      <c r="K30" s="101">
        <v>659701.17391579773</v>
      </c>
      <c r="L30" s="101">
        <v>473668.86290563812</v>
      </c>
      <c r="M30" s="101">
        <v>358700.97955063812</v>
      </c>
      <c r="N30" s="103">
        <f>SUM(B30:M30)</f>
        <v>6456376.0465417588</v>
      </c>
    </row>
    <row r="31" spans="1:14" s="6" customFormat="1" hidden="1" outlineLevel="1">
      <c r="A31" s="100" t="s">
        <v>42</v>
      </c>
      <c r="B31" s="101">
        <v>212614.51396222913</v>
      </c>
      <c r="C31" s="101">
        <v>196246.2452656297</v>
      </c>
      <c r="D31" s="101">
        <v>192151.24210421875</v>
      </c>
      <c r="E31" s="101">
        <v>225310.04921261402</v>
      </c>
      <c r="F31" s="101">
        <v>184416.08599735648</v>
      </c>
      <c r="G31" s="101">
        <v>183507.88379629469</v>
      </c>
      <c r="H31" s="101">
        <v>223479.91882540099</v>
      </c>
      <c r="I31" s="101">
        <v>194840.64955674118</v>
      </c>
      <c r="J31" s="101">
        <v>192841.58364501339</v>
      </c>
      <c r="K31" s="101">
        <v>227142.44528939298</v>
      </c>
      <c r="L31" s="101">
        <v>186120.15636425081</v>
      </c>
      <c r="M31" s="101">
        <v>178852.28590155178</v>
      </c>
      <c r="N31" s="103">
        <f>SUM(B31:M31)</f>
        <v>2397523.0599206937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653081.13981687301</v>
      </c>
      <c r="C34" s="12">
        <f t="shared" si="7"/>
        <v>713615.10144934477</v>
      </c>
      <c r="D34" s="12">
        <f t="shared" si="7"/>
        <v>750336.6301663958</v>
      </c>
      <c r="E34" s="12">
        <f t="shared" si="7"/>
        <v>883052.4239134118</v>
      </c>
      <c r="F34" s="12">
        <f t="shared" si="7"/>
        <v>679980.83729799464</v>
      </c>
      <c r="G34" s="12">
        <f t="shared" si="7"/>
        <v>683373.29463693278</v>
      </c>
      <c r="H34" s="12">
        <f t="shared" si="7"/>
        <v>880716.22874119889</v>
      </c>
      <c r="I34" s="12">
        <f t="shared" si="7"/>
        <v>772479.23534237919</v>
      </c>
      <c r="J34" s="12">
        <f t="shared" si="7"/>
        <v>753078.31117065158</v>
      </c>
      <c r="K34" s="12">
        <f t="shared" si="7"/>
        <v>886843.61920519068</v>
      </c>
      <c r="L34" s="12">
        <f t="shared" si="7"/>
        <v>659789.01926988899</v>
      </c>
      <c r="M34" s="12">
        <f t="shared" si="7"/>
        <v>537553.26545218984</v>
      </c>
      <c r="N34" s="12">
        <f t="shared" si="7"/>
        <v>8853899.1064624526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990279.13981687301</v>
      </c>
      <c r="C37" s="101">
        <v>1147668.3514493448</v>
      </c>
      <c r="D37" s="101">
        <v>1136394.1301663958</v>
      </c>
      <c r="E37" s="101">
        <v>1337000.9239134118</v>
      </c>
      <c r="F37" s="101">
        <v>1034157.3372979946</v>
      </c>
      <c r="G37" s="108">
        <v>1036659.2946369328</v>
      </c>
      <c r="H37" s="108">
        <v>1240836.7287411988</v>
      </c>
      <c r="I37" s="108">
        <v>1195430.2353423792</v>
      </c>
      <c r="J37" s="108">
        <v>1139370.5611706516</v>
      </c>
      <c r="K37" s="108">
        <v>1280451.8692051908</v>
      </c>
      <c r="L37" s="101">
        <v>991100.01926988899</v>
      </c>
      <c r="M37" s="101">
        <v>793229.76545218984</v>
      </c>
      <c r="N37" s="103">
        <f>SUM(B37:M37)</f>
        <v>13322578.356462453</v>
      </c>
    </row>
    <row r="38" spans="1:14" s="6" customFormat="1" ht="12.75" hidden="1" customHeight="1" outlineLevel="1">
      <c r="A38" s="6" t="s">
        <v>46</v>
      </c>
      <c r="B38" s="7">
        <f>-B34</f>
        <v>-653081.13981687301</v>
      </c>
      <c r="C38" s="7">
        <f t="shared" ref="C38:M38" si="8">-C34</f>
        <v>-713615.10144934477</v>
      </c>
      <c r="D38" s="7">
        <f t="shared" si="8"/>
        <v>-750336.6301663958</v>
      </c>
      <c r="E38" s="7">
        <f t="shared" si="8"/>
        <v>-883052.4239134118</v>
      </c>
      <c r="F38" s="7">
        <f t="shared" si="8"/>
        <v>-679980.83729799464</v>
      </c>
      <c r="G38" s="7">
        <f t="shared" si="8"/>
        <v>-683373.29463693278</v>
      </c>
      <c r="H38" s="7">
        <f>-H34</f>
        <v>-880716.22874119889</v>
      </c>
      <c r="I38" s="7">
        <f t="shared" si="8"/>
        <v>-772479.23534237919</v>
      </c>
      <c r="J38" s="7">
        <f t="shared" si="8"/>
        <v>-753078.31117065158</v>
      </c>
      <c r="K38" s="7">
        <f t="shared" si="8"/>
        <v>-886843.61920519068</v>
      </c>
      <c r="L38" s="7">
        <f t="shared" si="8"/>
        <v>-659789.01926988899</v>
      </c>
      <c r="M38" s="7">
        <f t="shared" si="8"/>
        <v>-537553.26545218984</v>
      </c>
      <c r="N38" s="7">
        <f>SUM(B38:M38)</f>
        <v>-8853899.1064624526</v>
      </c>
    </row>
    <row r="39" spans="1:14" s="6" customFormat="1" ht="12.75" hidden="1" customHeight="1" outlineLevel="1">
      <c r="A39" s="100" t="s">
        <v>47</v>
      </c>
      <c r="B39" s="109">
        <v>-71047</v>
      </c>
      <c r="C39" s="109">
        <v>-71047</v>
      </c>
      <c r="D39" s="109">
        <v>-71002</v>
      </c>
      <c r="E39" s="109">
        <v>-70087</v>
      </c>
      <c r="F39" s="109">
        <v>-70087</v>
      </c>
      <c r="G39" s="109">
        <v>-70087</v>
      </c>
      <c r="H39" s="109">
        <v>-67822</v>
      </c>
      <c r="I39" s="109">
        <v>-67012</v>
      </c>
      <c r="J39" s="109">
        <v>-66437</v>
      </c>
      <c r="K39" s="109">
        <v>-55277</v>
      </c>
      <c r="L39" s="109">
        <v>-55277</v>
      </c>
      <c r="M39" s="109">
        <v>-55119</v>
      </c>
      <c r="N39" s="103">
        <f>SUM(B39:M39)</f>
        <v>-790301</v>
      </c>
    </row>
    <row r="40" spans="1:14" s="6" customFormat="1" ht="12.75" hidden="1" customHeight="1" outlineLevel="1">
      <c r="A40" s="100" t="s">
        <v>124</v>
      </c>
      <c r="B40" s="101">
        <v>-6930</v>
      </c>
      <c r="C40" s="101">
        <v>-6930</v>
      </c>
      <c r="D40" s="101">
        <v>-6930</v>
      </c>
      <c r="E40" s="101">
        <v>-3973</v>
      </c>
      <c r="F40" s="101">
        <v>-3973</v>
      </c>
      <c r="G40" s="101">
        <v>-3973</v>
      </c>
      <c r="H40" s="101">
        <v>-3973</v>
      </c>
      <c r="I40" s="101">
        <v>-3973</v>
      </c>
      <c r="J40" s="101">
        <v>-2414</v>
      </c>
      <c r="K40" s="101">
        <v>-2414</v>
      </c>
      <c r="L40" s="101">
        <v>-2414</v>
      </c>
      <c r="M40" s="101">
        <v>-1960</v>
      </c>
      <c r="N40" s="103">
        <f>SUM(B40:M40)</f>
        <v>-49857</v>
      </c>
    </row>
    <row r="41" spans="1:14" s="6" customFormat="1" ht="12.75" hidden="1" customHeight="1" outlineLevel="1">
      <c r="A41" s="100" t="s">
        <v>48</v>
      </c>
      <c r="B41" s="110">
        <v>-6570</v>
      </c>
      <c r="C41" s="110">
        <v>-7120</v>
      </c>
      <c r="D41" s="110">
        <v>-6400</v>
      </c>
      <c r="E41" s="110">
        <v>-5690</v>
      </c>
      <c r="F41" s="110">
        <v>-5730</v>
      </c>
      <c r="G41" s="110">
        <v>-9440</v>
      </c>
      <c r="H41" s="110">
        <v>-6070</v>
      </c>
      <c r="I41" s="110">
        <v>-5690</v>
      </c>
      <c r="J41" s="110">
        <v>-5440</v>
      </c>
      <c r="K41" s="110">
        <v>-6200</v>
      </c>
      <c r="L41" s="110">
        <v>-7200</v>
      </c>
      <c r="M41" s="110">
        <v>-19650</v>
      </c>
      <c r="N41" s="104">
        <f>SUM(B41:M41)</f>
        <v>-91200</v>
      </c>
    </row>
    <row r="42" spans="1:14" s="6" customFormat="1" collapsed="1">
      <c r="A42" s="13" t="s">
        <v>49</v>
      </c>
      <c r="B42" s="12">
        <f t="shared" ref="B42:N42" si="9">SUM(B37:B41)</f>
        <v>252651</v>
      </c>
      <c r="C42" s="12">
        <f t="shared" si="9"/>
        <v>348956.25</v>
      </c>
      <c r="D42" s="12">
        <f t="shared" si="9"/>
        <v>301725.5</v>
      </c>
      <c r="E42" s="12">
        <f t="shared" si="9"/>
        <v>374198.5</v>
      </c>
      <c r="F42" s="12">
        <f t="shared" si="9"/>
        <v>274386.5</v>
      </c>
      <c r="G42" s="12">
        <f t="shared" si="9"/>
        <v>269786</v>
      </c>
      <c r="H42" s="12">
        <f t="shared" si="9"/>
        <v>282255.49999999988</v>
      </c>
      <c r="I42" s="12">
        <f t="shared" si="9"/>
        <v>346276</v>
      </c>
      <c r="J42" s="12">
        <f t="shared" si="9"/>
        <v>312001.25</v>
      </c>
      <c r="K42" s="12">
        <f t="shared" si="9"/>
        <v>329717.25000000012</v>
      </c>
      <c r="L42" s="12">
        <f t="shared" si="9"/>
        <v>266420</v>
      </c>
      <c r="M42" s="12">
        <f t="shared" si="9"/>
        <v>178947.5</v>
      </c>
      <c r="N42" s="12">
        <f t="shared" si="9"/>
        <v>3537321.25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idden="1" outlineLevel="1">
      <c r="A44" s="105" t="s">
        <v>50</v>
      </c>
      <c r="B44" s="110">
        <v>-161534</v>
      </c>
      <c r="C44" s="111">
        <v>242459</v>
      </c>
      <c r="D44" s="111">
        <v>244377</v>
      </c>
      <c r="E44" s="111">
        <v>290563</v>
      </c>
      <c r="F44" s="111">
        <v>255318</v>
      </c>
      <c r="G44" s="111">
        <v>240599</v>
      </c>
      <c r="H44" s="111">
        <v>308228</v>
      </c>
      <c r="I44" s="111">
        <v>238187</v>
      </c>
      <c r="J44" s="111">
        <v>243410</v>
      </c>
      <c r="K44" s="111">
        <v>289111</v>
      </c>
      <c r="L44" s="111">
        <v>230229</v>
      </c>
      <c r="M44" s="111">
        <v>219389</v>
      </c>
      <c r="N44" s="126">
        <f>SUM(B44:M44)</f>
        <v>2640336</v>
      </c>
    </row>
    <row r="45" spans="1:14" s="6" customFormat="1" hidden="1" outlineLevel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</row>
    <row r="46" spans="1:14" collapsed="1">
      <c r="A46" s="1" t="s">
        <v>50</v>
      </c>
      <c r="B46" s="12">
        <f>SUM(B44:B45)</f>
        <v>-161534</v>
      </c>
      <c r="C46" s="12">
        <f>SUM(C44:C45)</f>
        <v>242459</v>
      </c>
      <c r="D46" s="12">
        <f t="shared" ref="D46:N46" si="10">SUM(D44:D45)</f>
        <v>244377</v>
      </c>
      <c r="E46" s="12">
        <f t="shared" si="10"/>
        <v>290563</v>
      </c>
      <c r="F46" s="12">
        <f t="shared" si="10"/>
        <v>255318</v>
      </c>
      <c r="G46" s="12">
        <f t="shared" si="10"/>
        <v>240599</v>
      </c>
      <c r="H46" s="12">
        <f t="shared" si="10"/>
        <v>308228</v>
      </c>
      <c r="I46" s="12">
        <f t="shared" si="10"/>
        <v>238187</v>
      </c>
      <c r="J46" s="12">
        <f t="shared" si="10"/>
        <v>243410</v>
      </c>
      <c r="K46" s="12">
        <f t="shared" si="10"/>
        <v>289111</v>
      </c>
      <c r="L46" s="12">
        <f t="shared" si="10"/>
        <v>230229</v>
      </c>
      <c r="M46" s="12">
        <f t="shared" si="10"/>
        <v>219389</v>
      </c>
      <c r="N46" s="12">
        <f t="shared" si="10"/>
        <v>2640336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>+B20+B34+B42+B46</f>
        <v>1199832.139816873</v>
      </c>
      <c r="C48" s="19">
        <f t="shared" ref="C48:N48" si="11">+C20+C34+C42+C46</f>
        <v>3664485.3514493448</v>
      </c>
      <c r="D48" s="19">
        <f t="shared" si="11"/>
        <v>2381654.1301663956</v>
      </c>
      <c r="E48" s="19">
        <f t="shared" si="11"/>
        <v>2281695.9239134118</v>
      </c>
      <c r="F48" s="19">
        <f>+F20+F34+F42+F46</f>
        <v>1704733.3372979946</v>
      </c>
      <c r="G48" s="19">
        <f t="shared" si="11"/>
        <v>1757872.2946369327</v>
      </c>
      <c r="H48" s="19">
        <f t="shared" si="11"/>
        <v>3146848.7287411988</v>
      </c>
      <c r="I48" s="19">
        <f t="shared" si="11"/>
        <v>2222720.2353423792</v>
      </c>
      <c r="J48" s="19">
        <f t="shared" si="11"/>
        <v>2028846.5611706516</v>
      </c>
      <c r="K48" s="19">
        <f t="shared" si="11"/>
        <v>2313205.8692051908</v>
      </c>
      <c r="L48" s="19">
        <f t="shared" si="11"/>
        <v>1961326.019269889</v>
      </c>
      <c r="M48" s="19">
        <f t="shared" si="11"/>
        <v>1215435.7654521898</v>
      </c>
      <c r="N48" s="19">
        <f t="shared" si="11"/>
        <v>25878656.356462453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-514611.13981687301</v>
      </c>
      <c r="C50" s="12">
        <f t="shared" si="12"/>
        <v>30372.648550655227</v>
      </c>
      <c r="D50" s="12">
        <f t="shared" si="12"/>
        <v>189793.36983360443</v>
      </c>
      <c r="E50" s="12">
        <f t="shared" si="12"/>
        <v>-94019.923913411796</v>
      </c>
      <c r="F50" s="12">
        <f>+F13-F48</f>
        <v>-315525.33729799464</v>
      </c>
      <c r="G50" s="12">
        <f t="shared" si="12"/>
        <v>-180749.29463693267</v>
      </c>
      <c r="H50" s="12">
        <f>+H13-H48</f>
        <v>-219924.80874119885</v>
      </c>
      <c r="I50" s="12">
        <f t="shared" si="12"/>
        <v>340980.88465762092</v>
      </c>
      <c r="J50" s="12">
        <f t="shared" si="12"/>
        <v>121269.52882934827</v>
      </c>
      <c r="K50" s="12">
        <f t="shared" si="12"/>
        <v>-86485.739205190912</v>
      </c>
      <c r="L50" s="12">
        <f t="shared" si="12"/>
        <v>69997.470730111003</v>
      </c>
      <c r="M50" s="12">
        <f t="shared" si="12"/>
        <v>-450759.76545218984</v>
      </c>
      <c r="N50" s="12">
        <f>SUM(B50:M50)</f>
        <v>-1109662.1064624519</v>
      </c>
      <c r="O50" s="2">
        <f>+N50-N39-N40</f>
        <v>-269504.10646245186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95000</v>
      </c>
      <c r="C53" s="10"/>
      <c r="D53" s="10"/>
      <c r="E53" s="10"/>
      <c r="F53" s="10"/>
      <c r="G53" s="10"/>
      <c r="H53" s="23">
        <v>58000</v>
      </c>
      <c r="I53" s="10">
        <v>125000</v>
      </c>
      <c r="J53" s="10"/>
      <c r="K53" s="10"/>
      <c r="L53" s="10"/>
      <c r="M53" s="10">
        <v>130000</v>
      </c>
      <c r="N53" s="10">
        <f t="shared" ref="N53:N60" si="13">SUM(B53:M53)</f>
        <v>408000</v>
      </c>
      <c r="U53" s="40"/>
    </row>
    <row r="54" spans="1:21" s="6" customFormat="1">
      <c r="A54" s="6" t="s">
        <v>96</v>
      </c>
      <c r="B54" s="10"/>
      <c r="C54" s="10"/>
      <c r="D54" s="10"/>
      <c r="E54" s="10"/>
      <c r="F54" s="10">
        <v>100000</v>
      </c>
      <c r="G54" s="10"/>
      <c r="H54" s="10"/>
      <c r="I54" s="10"/>
      <c r="J54" s="10"/>
      <c r="K54" s="10"/>
      <c r="L54" s="10"/>
      <c r="M54" s="10"/>
      <c r="N54" s="10">
        <f t="shared" si="13"/>
        <v>100000</v>
      </c>
    </row>
    <row r="55" spans="1:21" s="6" customFormat="1">
      <c r="A55" s="6" t="s">
        <v>111</v>
      </c>
      <c r="B55" s="10">
        <f>941041-500000</f>
        <v>441041</v>
      </c>
      <c r="C55" s="10"/>
      <c r="D55" s="10"/>
      <c r="E55" s="10"/>
      <c r="F55" s="10"/>
      <c r="G55" s="10"/>
      <c r="H55" s="10">
        <v>500000</v>
      </c>
      <c r="I55" s="10"/>
      <c r="J55" s="10"/>
      <c r="K55" s="10"/>
      <c r="L55" s="10"/>
      <c r="M55" s="10"/>
      <c r="N55" s="10">
        <f t="shared" si="13"/>
        <v>941041</v>
      </c>
    </row>
    <row r="56" spans="1:21" s="6" customFormat="1">
      <c r="A56" s="128" t="s">
        <v>142</v>
      </c>
      <c r="B56" s="10"/>
      <c r="C56" s="10"/>
      <c r="D56" s="10"/>
      <c r="E56" s="10"/>
      <c r="F56" s="10"/>
      <c r="G56" s="10"/>
      <c r="H56" s="10"/>
      <c r="I56" s="10"/>
      <c r="J56" s="10"/>
      <c r="K56" s="10">
        <v>222000</v>
      </c>
      <c r="L56" s="10"/>
      <c r="M56" s="10"/>
      <c r="N56" s="10">
        <f>SUM(B56:M56)</f>
        <v>222000</v>
      </c>
    </row>
    <row r="57" spans="1:21" s="6" customFormat="1">
      <c r="A57" s="37" t="s">
        <v>144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>
        <f t="shared" si="13"/>
        <v>0</v>
      </c>
    </row>
    <row r="58" spans="1:21" s="6" customFormat="1">
      <c r="A58" s="128" t="s">
        <v>148</v>
      </c>
      <c r="B58" s="10"/>
      <c r="C58" s="10"/>
      <c r="D58" s="10"/>
      <c r="E58" s="10"/>
      <c r="F58" s="10"/>
      <c r="G58" s="10"/>
      <c r="H58" s="10"/>
      <c r="I58" s="10"/>
      <c r="J58" s="10"/>
      <c r="K58" s="10">
        <v>1000000</v>
      </c>
      <c r="L58" s="10"/>
      <c r="M58" s="10"/>
      <c r="N58" s="10">
        <f t="shared" si="13"/>
        <v>1000000</v>
      </c>
    </row>
    <row r="59" spans="1:21" s="6" customFormat="1">
      <c r="A59" s="37" t="s">
        <v>58</v>
      </c>
      <c r="B59" s="7">
        <v>-15000</v>
      </c>
      <c r="C59" s="7">
        <v>-15000</v>
      </c>
      <c r="D59" s="7">
        <v>-20000</v>
      </c>
      <c r="E59" s="7">
        <v>-15000</v>
      </c>
      <c r="F59" s="7">
        <v>-15000</v>
      </c>
      <c r="G59" s="7">
        <v>-20000</v>
      </c>
      <c r="H59" s="7">
        <v>-15000</v>
      </c>
      <c r="I59" s="7">
        <v>-15000</v>
      </c>
      <c r="J59" s="7">
        <v>-20000</v>
      </c>
      <c r="K59" s="7">
        <v>-15000</v>
      </c>
      <c r="L59" s="7">
        <v>-15000</v>
      </c>
      <c r="M59" s="7">
        <v>-20000</v>
      </c>
      <c r="N59" s="10">
        <f t="shared" si="13"/>
        <v>-200000</v>
      </c>
    </row>
    <row r="60" spans="1:21" s="6" customFormat="1">
      <c r="A60" s="6" t="s">
        <v>134</v>
      </c>
      <c r="B60" s="22">
        <v>-15000</v>
      </c>
      <c r="C60" s="7">
        <v>-15000</v>
      </c>
      <c r="D60" s="7">
        <v>-15000</v>
      </c>
      <c r="E60" s="7">
        <v>-15000</v>
      </c>
      <c r="F60" s="7">
        <v>-15000</v>
      </c>
      <c r="G60" s="7">
        <v>-15000</v>
      </c>
      <c r="H60" s="7">
        <v>-15000</v>
      </c>
      <c r="I60" s="7">
        <v>-15000</v>
      </c>
      <c r="J60" s="7">
        <v>-15000</v>
      </c>
      <c r="K60" s="7">
        <v>-15000</v>
      </c>
      <c r="L60" s="7">
        <v>-15000</v>
      </c>
      <c r="M60" s="7">
        <v>-15000</v>
      </c>
      <c r="N60" s="22">
        <f t="shared" si="13"/>
        <v>-180000</v>
      </c>
    </row>
    <row r="61" spans="1:21" s="6" customFormat="1">
      <c r="A61" s="13" t="s">
        <v>60</v>
      </c>
      <c r="B61" s="19">
        <f t="shared" ref="B61:N61" si="14">SUM(B53:B60)</f>
        <v>506041</v>
      </c>
      <c r="C61" s="19">
        <f t="shared" si="14"/>
        <v>-30000</v>
      </c>
      <c r="D61" s="19">
        <f t="shared" si="14"/>
        <v>-35000</v>
      </c>
      <c r="E61" s="19">
        <f t="shared" si="14"/>
        <v>-30000</v>
      </c>
      <c r="F61" s="19">
        <f t="shared" si="14"/>
        <v>70000</v>
      </c>
      <c r="G61" s="19">
        <f t="shared" si="14"/>
        <v>-35000</v>
      </c>
      <c r="H61" s="19">
        <f t="shared" si="14"/>
        <v>528000</v>
      </c>
      <c r="I61" s="19">
        <f t="shared" si="14"/>
        <v>95000</v>
      </c>
      <c r="J61" s="19">
        <f t="shared" si="14"/>
        <v>-35000</v>
      </c>
      <c r="K61" s="19">
        <f t="shared" si="14"/>
        <v>1192000</v>
      </c>
      <c r="L61" s="19">
        <f t="shared" si="14"/>
        <v>-30000</v>
      </c>
      <c r="M61" s="19">
        <f t="shared" si="14"/>
        <v>95000</v>
      </c>
      <c r="N61" s="19">
        <f t="shared" si="14"/>
        <v>2291041</v>
      </c>
      <c r="O61" s="10">
        <f>+N9-N20-N37-N46-N59-N60</f>
        <v>-1661020.1064624526</v>
      </c>
    </row>
    <row r="62" spans="1:2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21">
      <c r="A63" s="1" t="s">
        <v>61</v>
      </c>
      <c r="B63" s="12">
        <v>15416167</v>
      </c>
      <c r="C63" s="7"/>
      <c r="D63" s="7"/>
      <c r="E63" s="7"/>
      <c r="F63" s="7"/>
      <c r="G63" s="7"/>
      <c r="H63" s="7" t="s">
        <v>38</v>
      </c>
      <c r="I63" s="7"/>
      <c r="J63" s="7"/>
      <c r="K63" s="7"/>
      <c r="L63" s="6"/>
      <c r="M63" s="6"/>
      <c r="N63" s="6"/>
    </row>
    <row r="64" spans="1:21">
      <c r="A64" s="13" t="s">
        <v>62</v>
      </c>
      <c r="B64" s="19">
        <f t="shared" ref="B64:N64" si="15">+B61+B48</f>
        <v>1705873.139816873</v>
      </c>
      <c r="C64" s="19">
        <f t="shared" si="15"/>
        <v>3634485.3514493448</v>
      </c>
      <c r="D64" s="19">
        <f t="shared" si="15"/>
        <v>2346654.1301663956</v>
      </c>
      <c r="E64" s="19">
        <f t="shared" si="15"/>
        <v>2251695.9239134118</v>
      </c>
      <c r="F64" s="19">
        <f t="shared" si="15"/>
        <v>1774733.3372979946</v>
      </c>
      <c r="G64" s="19">
        <f t="shared" si="15"/>
        <v>1722872.2946369327</v>
      </c>
      <c r="H64" s="19">
        <f t="shared" si="15"/>
        <v>3674848.7287411988</v>
      </c>
      <c r="I64" s="19">
        <f t="shared" si="15"/>
        <v>2317720.2353423792</v>
      </c>
      <c r="J64" s="19">
        <f t="shared" si="15"/>
        <v>1993846.5611706516</v>
      </c>
      <c r="K64" s="19">
        <f t="shared" si="15"/>
        <v>3505205.8692051908</v>
      </c>
      <c r="L64" s="19">
        <f t="shared" si="15"/>
        <v>1931326.019269889</v>
      </c>
      <c r="M64" s="19">
        <f t="shared" si="15"/>
        <v>1310435.7654521898</v>
      </c>
      <c r="N64" s="19">
        <f t="shared" si="15"/>
        <v>28169697.356462453</v>
      </c>
    </row>
    <row r="65" spans="1:14" ht="13.5" thickBot="1">
      <c r="A65" s="13" t="s">
        <v>63</v>
      </c>
      <c r="B65" s="14">
        <f t="shared" ref="B65:M65" si="16">+B13-B64</f>
        <v>-1020652.139816873</v>
      </c>
      <c r="C65" s="14">
        <f t="shared" si="16"/>
        <v>60372.648550655227</v>
      </c>
      <c r="D65" s="14">
        <f t="shared" si="16"/>
        <v>224793.36983360443</v>
      </c>
      <c r="E65" s="14">
        <f t="shared" si="16"/>
        <v>-64019.923913411796</v>
      </c>
      <c r="F65" s="14">
        <f t="shared" si="16"/>
        <v>-385525.33729799464</v>
      </c>
      <c r="G65" s="14">
        <f t="shared" si="16"/>
        <v>-145749.29463693267</v>
      </c>
      <c r="H65" s="14">
        <f t="shared" si="16"/>
        <v>-747924.80874119885</v>
      </c>
      <c r="I65" s="14">
        <f t="shared" si="16"/>
        <v>245980.88465762092</v>
      </c>
      <c r="J65" s="14">
        <f t="shared" si="16"/>
        <v>156269.52882934827</v>
      </c>
      <c r="K65" s="14">
        <f t="shared" si="16"/>
        <v>-1278485.7392051909</v>
      </c>
      <c r="L65" s="14">
        <f t="shared" si="16"/>
        <v>99997.470730111003</v>
      </c>
      <c r="M65" s="14">
        <f t="shared" si="16"/>
        <v>-545759.76545218984</v>
      </c>
      <c r="N65" s="14">
        <f>+N13-N64</f>
        <v>-3400703.1064624526</v>
      </c>
    </row>
    <row r="66" spans="1:14" s="6" customFormat="1" ht="13.5" thickTop="1">
      <c r="A66" s="13" t="s">
        <v>64</v>
      </c>
      <c r="B66" s="12">
        <f>+B65</f>
        <v>-1020652.139816873</v>
      </c>
      <c r="C66" s="12">
        <f t="shared" ref="C66:M66" si="17">B66+C65</f>
        <v>-960279.49126621778</v>
      </c>
      <c r="D66" s="12">
        <f t="shared" si="17"/>
        <v>-735486.12143261335</v>
      </c>
      <c r="E66" s="12">
        <f t="shared" si="17"/>
        <v>-799506.04534602514</v>
      </c>
      <c r="F66" s="12">
        <f t="shared" si="17"/>
        <v>-1185031.3826440198</v>
      </c>
      <c r="G66" s="12">
        <f t="shared" si="17"/>
        <v>-1330780.6772809525</v>
      </c>
      <c r="H66" s="12">
        <f t="shared" si="17"/>
        <v>-2078705.4860221513</v>
      </c>
      <c r="I66" s="12">
        <f>H66+I65</f>
        <v>-1832724.6013645304</v>
      </c>
      <c r="J66" s="12">
        <f t="shared" si="17"/>
        <v>-1676455.0725351821</v>
      </c>
      <c r="K66" s="12">
        <f t="shared" si="17"/>
        <v>-2954940.8117403733</v>
      </c>
      <c r="L66" s="12">
        <f t="shared" si="17"/>
        <v>-2854943.3410102623</v>
      </c>
      <c r="M66" s="12">
        <f t="shared" si="17"/>
        <v>-3400703.1064624521</v>
      </c>
      <c r="N66" s="12"/>
    </row>
    <row r="67" spans="1:14">
      <c r="A67" s="13" t="s">
        <v>65</v>
      </c>
      <c r="B67" s="12">
        <f t="shared" ref="B67:M67" si="18">+$B$63+B66</f>
        <v>14395514.860183127</v>
      </c>
      <c r="C67" s="12">
        <f t="shared" si="18"/>
        <v>14455887.508733783</v>
      </c>
      <c r="D67" s="12">
        <f t="shared" si="18"/>
        <v>14680680.878567386</v>
      </c>
      <c r="E67" s="12">
        <f t="shared" si="18"/>
        <v>14616660.954653975</v>
      </c>
      <c r="F67" s="12">
        <f>+$B$63+F66</f>
        <v>14231135.61735598</v>
      </c>
      <c r="G67" s="12">
        <f t="shared" si="18"/>
        <v>14085386.322719047</v>
      </c>
      <c r="H67" s="12">
        <f t="shared" si="18"/>
        <v>13337461.513977848</v>
      </c>
      <c r="I67" s="12">
        <f t="shared" si="18"/>
        <v>13583442.398635469</v>
      </c>
      <c r="J67" s="12">
        <f t="shared" si="18"/>
        <v>13739711.927464819</v>
      </c>
      <c r="K67" s="12">
        <f t="shared" si="18"/>
        <v>12461226.188259628</v>
      </c>
      <c r="L67" s="12">
        <f t="shared" si="18"/>
        <v>12561223.658989739</v>
      </c>
      <c r="M67" s="12">
        <f t="shared" si="18"/>
        <v>12015463.893537547</v>
      </c>
      <c r="N67" s="12"/>
    </row>
    <row r="68" spans="1:14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6"/>
      <c r="M68" s="6"/>
      <c r="N68" s="6"/>
    </row>
    <row r="69" spans="1:14" s="6" customFormat="1">
      <c r="A69" s="112" t="s">
        <v>147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4"/>
    </row>
    <row r="70" spans="1:14" ht="13.5" thickBot="1">
      <c r="A70" s="115" t="s">
        <v>67</v>
      </c>
      <c r="B70" s="30">
        <f>B65</f>
        <v>-1020652.139816873</v>
      </c>
      <c r="C70" s="30">
        <f t="shared" ref="C70:M70" si="19">C65</f>
        <v>60372.648550655227</v>
      </c>
      <c r="D70" s="30">
        <f t="shared" si="19"/>
        <v>224793.36983360443</v>
      </c>
      <c r="E70" s="30">
        <f t="shared" si="19"/>
        <v>-64019.923913411796</v>
      </c>
      <c r="F70" s="30">
        <f t="shared" si="19"/>
        <v>-385525.33729799464</v>
      </c>
      <c r="G70" s="30">
        <f t="shared" si="19"/>
        <v>-145749.29463693267</v>
      </c>
      <c r="H70" s="30">
        <f t="shared" si="19"/>
        <v>-747924.80874119885</v>
      </c>
      <c r="I70" s="30">
        <f t="shared" si="19"/>
        <v>245980.88465762092</v>
      </c>
      <c r="J70" s="30">
        <f t="shared" si="19"/>
        <v>156269.52882934827</v>
      </c>
      <c r="K70" s="30">
        <f t="shared" si="19"/>
        <v>-1278485.7392051909</v>
      </c>
      <c r="L70" s="30">
        <f t="shared" si="19"/>
        <v>99997.470730111003</v>
      </c>
      <c r="M70" s="30">
        <f t="shared" si="19"/>
        <v>-545759.76545218984</v>
      </c>
      <c r="N70" s="124"/>
    </row>
    <row r="71" spans="1:14" ht="13.5" thickTop="1">
      <c r="A71" s="115" t="s">
        <v>64</v>
      </c>
      <c r="B71" s="31">
        <f>+B70</f>
        <v>-1020652.139816873</v>
      </c>
      <c r="C71" s="31">
        <f t="shared" ref="C71:M71" si="20">+B71+C70</f>
        <v>-960279.49126621778</v>
      </c>
      <c r="D71" s="31">
        <f t="shared" si="20"/>
        <v>-735486.12143261335</v>
      </c>
      <c r="E71" s="31">
        <f t="shared" si="20"/>
        <v>-799506.04534602514</v>
      </c>
      <c r="F71" s="31">
        <f t="shared" si="20"/>
        <v>-1185031.3826440198</v>
      </c>
      <c r="G71" s="31">
        <f t="shared" si="20"/>
        <v>-1330780.6772809525</v>
      </c>
      <c r="H71" s="31">
        <f t="shared" si="20"/>
        <v>-2078705.4860221513</v>
      </c>
      <c r="I71" s="31">
        <f t="shared" si="20"/>
        <v>-1832724.6013645304</v>
      </c>
      <c r="J71" s="31">
        <f t="shared" si="20"/>
        <v>-1676455.0725351821</v>
      </c>
      <c r="K71" s="31">
        <f t="shared" si="20"/>
        <v>-2954940.8117403733</v>
      </c>
      <c r="L71" s="31">
        <f t="shared" si="20"/>
        <v>-2854943.3410102623</v>
      </c>
      <c r="M71" s="31">
        <f t="shared" si="20"/>
        <v>-3400703.1064624521</v>
      </c>
      <c r="N71" s="125"/>
    </row>
    <row r="72" spans="1:14">
      <c r="A72" s="115" t="s">
        <v>65</v>
      </c>
      <c r="B72" s="16">
        <f>+B63+B71</f>
        <v>14395514.860183127</v>
      </c>
      <c r="C72" s="16">
        <f>+B72+C70</f>
        <v>14455887.508733783</v>
      </c>
      <c r="D72" s="16">
        <f t="shared" ref="D72:M72" si="21">+C72+D70</f>
        <v>14680680.878567386</v>
      </c>
      <c r="E72" s="16">
        <f t="shared" si="21"/>
        <v>14616660.954653975</v>
      </c>
      <c r="F72" s="16">
        <f t="shared" si="21"/>
        <v>14231135.61735598</v>
      </c>
      <c r="G72" s="16">
        <f t="shared" si="21"/>
        <v>14085386.322719047</v>
      </c>
      <c r="H72" s="16">
        <f t="shared" si="21"/>
        <v>13337461.513977848</v>
      </c>
      <c r="I72" s="16">
        <f t="shared" si="21"/>
        <v>13583442.398635469</v>
      </c>
      <c r="J72" s="16">
        <f t="shared" si="21"/>
        <v>13739711.927464817</v>
      </c>
      <c r="K72" s="16">
        <f t="shared" si="21"/>
        <v>12461226.188259626</v>
      </c>
      <c r="L72" s="16">
        <f t="shared" si="21"/>
        <v>12561223.658989737</v>
      </c>
      <c r="M72" s="16">
        <f t="shared" si="21"/>
        <v>12015463.893537547</v>
      </c>
      <c r="N72" s="116"/>
    </row>
    <row r="73" spans="1:14">
      <c r="A73" s="117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118"/>
    </row>
    <row r="74" spans="1:14">
      <c r="A74" s="119" t="s">
        <v>68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20"/>
    </row>
    <row r="75" spans="1:14">
      <c r="A75" s="115" t="s">
        <v>63</v>
      </c>
      <c r="B75" s="31">
        <f t="shared" ref="B75:M77" si="22">+B65-B70</f>
        <v>0</v>
      </c>
      <c r="C75" s="31">
        <f t="shared" si="22"/>
        <v>0</v>
      </c>
      <c r="D75" s="31">
        <f t="shared" si="22"/>
        <v>0</v>
      </c>
      <c r="E75" s="31">
        <f t="shared" si="22"/>
        <v>0</v>
      </c>
      <c r="F75" s="31">
        <f t="shared" si="22"/>
        <v>0</v>
      </c>
      <c r="G75" s="31">
        <f t="shared" si="22"/>
        <v>0</v>
      </c>
      <c r="H75" s="31">
        <f t="shared" si="22"/>
        <v>0</v>
      </c>
      <c r="I75" s="31">
        <f t="shared" si="22"/>
        <v>0</v>
      </c>
      <c r="J75" s="31">
        <f t="shared" si="22"/>
        <v>0</v>
      </c>
      <c r="K75" s="31">
        <f t="shared" si="22"/>
        <v>0</v>
      </c>
      <c r="L75" s="31">
        <f t="shared" si="22"/>
        <v>0</v>
      </c>
      <c r="M75" s="31">
        <f t="shared" si="22"/>
        <v>0</v>
      </c>
      <c r="N75" s="125"/>
    </row>
    <row r="76" spans="1:14" s="6" customFormat="1">
      <c r="A76" s="115" t="s">
        <v>64</v>
      </c>
      <c r="B76" s="31">
        <f t="shared" si="22"/>
        <v>0</v>
      </c>
      <c r="C76" s="31">
        <f t="shared" si="22"/>
        <v>0</v>
      </c>
      <c r="D76" s="31">
        <f t="shared" si="22"/>
        <v>0</v>
      </c>
      <c r="E76" s="31">
        <f t="shared" si="22"/>
        <v>0</v>
      </c>
      <c r="F76" s="31">
        <f t="shared" si="22"/>
        <v>0</v>
      </c>
      <c r="G76" s="31">
        <f t="shared" si="22"/>
        <v>0</v>
      </c>
      <c r="H76" s="31">
        <f t="shared" si="22"/>
        <v>0</v>
      </c>
      <c r="I76" s="31">
        <f t="shared" si="22"/>
        <v>0</v>
      </c>
      <c r="J76" s="31">
        <f t="shared" si="22"/>
        <v>0</v>
      </c>
      <c r="K76" s="31">
        <f t="shared" si="22"/>
        <v>0</v>
      </c>
      <c r="L76" s="31">
        <f t="shared" si="22"/>
        <v>0</v>
      </c>
      <c r="M76" s="31">
        <f t="shared" si="22"/>
        <v>0</v>
      </c>
      <c r="N76" s="125">
        <f>+N66-N71</f>
        <v>0</v>
      </c>
    </row>
    <row r="77" spans="1:14">
      <c r="A77" s="121" t="s">
        <v>65</v>
      </c>
      <c r="B77" s="122">
        <f t="shared" si="22"/>
        <v>0</v>
      </c>
      <c r="C77" s="122">
        <f t="shared" si="22"/>
        <v>0</v>
      </c>
      <c r="D77" s="122">
        <f t="shared" si="22"/>
        <v>0</v>
      </c>
      <c r="E77" s="122">
        <f t="shared" si="22"/>
        <v>0</v>
      </c>
      <c r="F77" s="122">
        <f>+F67-F72</f>
        <v>0</v>
      </c>
      <c r="G77" s="122">
        <f t="shared" si="22"/>
        <v>0</v>
      </c>
      <c r="H77" s="122">
        <f t="shared" si="22"/>
        <v>0</v>
      </c>
      <c r="I77" s="122">
        <f t="shared" si="22"/>
        <v>0</v>
      </c>
      <c r="J77" s="122">
        <f t="shared" si="22"/>
        <v>0</v>
      </c>
      <c r="K77" s="122">
        <f t="shared" si="22"/>
        <v>0</v>
      </c>
      <c r="L77" s="122">
        <f t="shared" si="22"/>
        <v>0</v>
      </c>
      <c r="M77" s="122">
        <f t="shared" si="22"/>
        <v>0</v>
      </c>
      <c r="N77" s="123"/>
    </row>
    <row r="78" spans="1:14">
      <c r="B78" s="6"/>
      <c r="C78" s="6"/>
      <c r="E78" s="6"/>
      <c r="F78" s="6"/>
      <c r="H78" s="6"/>
      <c r="I78" s="6"/>
      <c r="J78" s="6"/>
      <c r="K78" s="6"/>
      <c r="L78" s="6"/>
      <c r="M78" s="6"/>
      <c r="N78" s="6"/>
    </row>
    <row r="79" spans="1:14">
      <c r="A79" s="1"/>
      <c r="B79" s="4"/>
      <c r="C79" s="8"/>
      <c r="D79" s="8"/>
      <c r="E79" s="8"/>
      <c r="F79" s="8"/>
      <c r="G79" s="96"/>
      <c r="H79" s="97"/>
      <c r="I79" s="5"/>
      <c r="J79" s="96"/>
      <c r="K79" s="96"/>
      <c r="L79" s="5"/>
    </row>
    <row r="80" spans="1:14">
      <c r="A80" s="1"/>
      <c r="B80" s="4"/>
      <c r="C80" s="8"/>
      <c r="D80" s="8"/>
      <c r="E80" s="8"/>
      <c r="F80" s="8"/>
      <c r="G80" s="96"/>
      <c r="H80" s="98"/>
      <c r="I80" s="99"/>
      <c r="J80" s="98"/>
      <c r="K80" s="98"/>
      <c r="L80" s="5"/>
    </row>
    <row r="81" spans="1:14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4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25"/>
    </row>
    <row r="83" spans="1:14">
      <c r="D83"/>
      <c r="E83" s="6"/>
      <c r="J83" s="6"/>
      <c r="K83" s="6"/>
    </row>
    <row r="87" spans="1:14">
      <c r="D87"/>
      <c r="F87" s="2"/>
    </row>
    <row r="88" spans="1:14">
      <c r="D88"/>
      <c r="F88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R101"/>
  <sheetViews>
    <sheetView showGridLines="0" workbookViewId="0">
      <pane xSplit="1" ySplit="3" topLeftCell="B4" activePane="bottomRight" state="frozen"/>
      <selection pane="topRight" activeCell="G54" sqref="G54"/>
      <selection pane="bottomLeft" activeCell="G54" sqref="G54"/>
      <selection pane="bottomRight" activeCell="G54" sqref="G54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81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3867423.1893872898</v>
      </c>
      <c r="E5" s="53">
        <v>3550580.4606545898</v>
      </c>
      <c r="F5" s="53">
        <v>2491408.6501843799</v>
      </c>
      <c r="G5" s="53">
        <v>2443225.8391503901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36386180.027409002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271703.80474306311</v>
      </c>
      <c r="E6" s="53">
        <v>142644.5744343327</v>
      </c>
      <c r="F6" s="53">
        <v>68608.629526434102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1490877.3788199478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4139126.994130353</v>
      </c>
      <c r="E9" s="12">
        <f t="shared" si="0"/>
        <v>3693225.0350889224</v>
      </c>
      <c r="F9" s="12">
        <f t="shared" si="0"/>
        <v>2560017.2797108139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37877057.406228952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9960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4139126.994130353</v>
      </c>
      <c r="E13" s="14">
        <f t="shared" si="1"/>
        <v>3693225.0350889224</v>
      </c>
      <c r="F13" s="14">
        <f t="shared" si="1"/>
        <v>2560017.2797108139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37887017.406228952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1740899.3395841799</v>
      </c>
      <c r="E16" s="53">
        <v>1339199.27059646</v>
      </c>
      <c r="F16" s="53">
        <v>920442.29592504795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16789898.646904763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1740899.3395841799</v>
      </c>
      <c r="E20" s="12">
        <f t="shared" si="2"/>
        <v>1339199.27059646</v>
      </c>
      <c r="F20" s="12">
        <f t="shared" si="2"/>
        <v>920442.29592504795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16789898.646904763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2126523.8498031097</v>
      </c>
      <c r="E23" s="7">
        <f t="shared" si="3"/>
        <v>2211381.1900581298</v>
      </c>
      <c r="F23" s="7">
        <f t="shared" si="3"/>
        <v>1570966.3542593319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19596281.380504236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271703.80474306311</v>
      </c>
      <c r="E24" s="7">
        <f t="shared" si="3"/>
        <v>142644.5744343327</v>
      </c>
      <c r="F24" s="7">
        <f t="shared" si="3"/>
        <v>68608.629526434102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1490877.3788199478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2398227.6545461728</v>
      </c>
      <c r="E27" s="12">
        <f t="shared" si="4"/>
        <v>2354025.7644924624</v>
      </c>
      <c r="F27" s="12">
        <f t="shared" si="4"/>
        <v>1639574.9837857659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21087158.759324182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653262.22071265604</v>
      </c>
      <c r="E30" s="53">
        <v>759539.17956081894</v>
      </c>
      <c r="F30" s="53">
        <v>592548.56023265596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7257765.183171045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199695.750264748</v>
      </c>
      <c r="E31" s="53">
        <v>226217.130576158</v>
      </c>
      <c r="F31" s="53">
        <v>194628.20504591099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2442779.2833928349</v>
      </c>
    </row>
    <row r="32" spans="1:44" s="6" customFormat="1" ht="15" hidden="1">
      <c r="A32" s="6" t="s">
        <v>38</v>
      </c>
      <c r="B32" s="65"/>
      <c r="C32" s="68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852957.97097740404</v>
      </c>
      <c r="E34" s="12">
        <f t="shared" si="7"/>
        <v>985756.31013697688</v>
      </c>
      <c r="F34" s="12">
        <f t="shared" si="7"/>
        <v>787176.76527856698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9700544.4665638804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1577505.2299712123</v>
      </c>
      <c r="E37" s="53">
        <v>1621576.5698087905</v>
      </c>
      <c r="F37" s="53">
        <v>1397109.5265258201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16467004.6815391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-852957.97097740404</v>
      </c>
      <c r="E38" s="7">
        <f t="shared" si="8"/>
        <v>-985756.31013697688</v>
      </c>
      <c r="F38" s="7">
        <f t="shared" si="8"/>
        <v>-787176.76527856698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-9700544.4665638804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-75677.401666666599</v>
      </c>
      <c r="E39" s="53">
        <v>-84889.941666666593</v>
      </c>
      <c r="F39" s="53">
        <v>-84889.941666666593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638206.19066047494</v>
      </c>
      <c r="E42" s="12">
        <f t="shared" si="9"/>
        <v>540266.65133848018</v>
      </c>
      <c r="F42" s="12">
        <f t="shared" si="9"/>
        <v>514379.15291391994</v>
      </c>
      <c r="G42" s="12">
        <f t="shared" si="9"/>
        <v>522503.14439086901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5665889.7616418861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333220.85264446813</v>
      </c>
      <c r="E44" s="53">
        <v>325654.34176216874</v>
      </c>
      <c r="F44" s="53">
        <v>309928.67264446814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4132531.7368074628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-5000</v>
      </c>
      <c r="E45" s="22">
        <v>-5000</v>
      </c>
      <c r="F45" s="22">
        <v>-5000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-60000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328220.85264446813</v>
      </c>
      <c r="E46" s="12">
        <f t="shared" si="10"/>
        <v>320654.34176216874</v>
      </c>
      <c r="F46" s="12">
        <f t="shared" si="10"/>
        <v>304928.67264446814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4072531.7368074628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3560284.3538665269</v>
      </c>
      <c r="E48" s="19">
        <f t="shared" si="11"/>
        <v>3185876.5738340863</v>
      </c>
      <c r="F48" s="19">
        <f t="shared" si="11"/>
        <v>2526926.8867620029</v>
      </c>
      <c r="G48" s="19">
        <f t="shared" si="11"/>
        <v>2694465.9449283639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36228864.611917995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578842.64026382612</v>
      </c>
      <c r="E50" s="12">
        <f t="shared" si="12"/>
        <v>507348.46125483606</v>
      </c>
      <c r="F50" s="12">
        <f t="shared" si="12"/>
        <v>33090.392948810942</v>
      </c>
      <c r="G50" s="12">
        <f t="shared" si="12"/>
        <v>-170702.61557580205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1652127.740977623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10000</v>
      </c>
      <c r="E53" s="10">
        <v>44355</v>
      </c>
      <c r="F53" s="10">
        <v>186840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1739639</v>
      </c>
      <c r="P53" s="40"/>
    </row>
    <row r="54" spans="1:17" s="6" customFormat="1">
      <c r="A54" s="6" t="s">
        <v>56</v>
      </c>
      <c r="B54" s="10"/>
      <c r="C54" s="10"/>
      <c r="D54" s="10">
        <v>-520000</v>
      </c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-425000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v>-8000</v>
      </c>
      <c r="E56" s="7">
        <v>-8000</v>
      </c>
      <c r="F56" s="7">
        <v>-8000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-119421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-539015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-493000</v>
      </c>
      <c r="E58" s="19">
        <f t="shared" si="13"/>
        <v>61355</v>
      </c>
      <c r="F58" s="19">
        <f t="shared" si="13"/>
        <v>298840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1384515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3067284.3538665269</v>
      </c>
      <c r="E61" s="19">
        <f t="shared" si="14"/>
        <v>3247231.5738340863</v>
      </c>
      <c r="F61" s="19">
        <f t="shared" si="14"/>
        <v>2825766.8867620029</v>
      </c>
      <c r="G61" s="19">
        <f t="shared" si="14"/>
        <v>2913465.9449283639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37613379.611917995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14">
        <f t="shared" si="15"/>
        <v>1071842.6402638261</v>
      </c>
      <c r="E62" s="14">
        <f t="shared" si="15"/>
        <v>445993.46125483606</v>
      </c>
      <c r="F62" s="14">
        <f t="shared" si="15"/>
        <v>-265749.60705118906</v>
      </c>
      <c r="G62" s="14">
        <f t="shared" si="15"/>
        <v>-389702.61557580205</v>
      </c>
      <c r="H62" s="14">
        <f t="shared" si="15"/>
        <v>-14360.90837025363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273637.79431095719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12">
        <f t="shared" si="16"/>
        <v>616392.97359715891</v>
      </c>
      <c r="E63" s="12">
        <f t="shared" si="16"/>
        <v>1062386.434851995</v>
      </c>
      <c r="F63" s="12">
        <f t="shared" si="16"/>
        <v>796636.82780080591</v>
      </c>
      <c r="G63" s="12">
        <f t="shared" si="16"/>
        <v>406934.21222500387</v>
      </c>
      <c r="H63" s="12">
        <f t="shared" si="16"/>
        <v>392573.30385475024</v>
      </c>
      <c r="I63" s="12">
        <f t="shared" si="16"/>
        <v>596453.8993175386</v>
      </c>
      <c r="J63" s="12">
        <f t="shared" si="16"/>
        <v>907370.17468854715</v>
      </c>
      <c r="K63" s="12">
        <f t="shared" si="16"/>
        <v>1090929.2848782407</v>
      </c>
      <c r="L63" s="12">
        <f t="shared" si="16"/>
        <v>1545277.0745796564</v>
      </c>
      <c r="M63" s="12">
        <f t="shared" si="16"/>
        <v>267612.74097762327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11606887.97359716</v>
      </c>
      <c r="E64" s="12">
        <f t="shared" si="17"/>
        <v>12052881.434851995</v>
      </c>
      <c r="F64" s="12">
        <f t="shared" si="17"/>
        <v>11787131.827800807</v>
      </c>
      <c r="G64" s="12">
        <f t="shared" si="17"/>
        <v>11397429.212225003</v>
      </c>
      <c r="H64" s="12">
        <f t="shared" si="17"/>
        <v>11383068.30385475</v>
      </c>
      <c r="I64" s="12">
        <f t="shared" si="17"/>
        <v>11586948.899317538</v>
      </c>
      <c r="J64" s="12">
        <f t="shared" si="17"/>
        <v>11897865.174688548</v>
      </c>
      <c r="K64" s="12">
        <f t="shared" si="17"/>
        <v>12081424.284878241</v>
      </c>
      <c r="L64" s="12">
        <f t="shared" si="17"/>
        <v>12535772.074579656</v>
      </c>
      <c r="M64" s="12">
        <f t="shared" si="17"/>
        <v>11258107.740977623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0</v>
      </c>
      <c r="E72" s="16">
        <f t="shared" si="18"/>
        <v>0</v>
      </c>
      <c r="F72" s="16">
        <f t="shared" si="18"/>
        <v>0</v>
      </c>
      <c r="G72" s="16">
        <f t="shared" si="18"/>
        <v>0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273637.79431095719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60159.506212862907</v>
      </c>
      <c r="E73" s="16">
        <f t="shared" si="18"/>
        <v>60159.506212862907</v>
      </c>
      <c r="F73" s="16">
        <f t="shared" si="18"/>
        <v>60159.506212862907</v>
      </c>
      <c r="G73" s="16">
        <f t="shared" si="18"/>
        <v>60159.506212862907</v>
      </c>
      <c r="H73" s="16">
        <f t="shared" si="18"/>
        <v>60159.506212862907</v>
      </c>
      <c r="I73" s="16">
        <f t="shared" si="18"/>
        <v>60159.506212862907</v>
      </c>
      <c r="J73" s="16">
        <f t="shared" si="18"/>
        <v>60159.506212862907</v>
      </c>
      <c r="K73" s="16">
        <f t="shared" si="18"/>
        <v>60159.506212862907</v>
      </c>
      <c r="L73" s="16">
        <f t="shared" si="18"/>
        <v>60159.506212862907</v>
      </c>
      <c r="M73" s="16">
        <f t="shared" si="18"/>
        <v>60159.506212862907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60159.506212864071</v>
      </c>
      <c r="E74" s="16">
        <f t="shared" si="18"/>
        <v>60159.506212862208</v>
      </c>
      <c r="F74" s="16">
        <f t="shared" si="18"/>
        <v>60159.506212864071</v>
      </c>
      <c r="G74" s="16">
        <f t="shared" si="18"/>
        <v>60159.506212862208</v>
      </c>
      <c r="H74" s="16">
        <f t="shared" si="18"/>
        <v>60159.506212862208</v>
      </c>
      <c r="I74" s="16">
        <f t="shared" si="18"/>
        <v>60159.506212862208</v>
      </c>
      <c r="J74" s="16">
        <f t="shared" si="18"/>
        <v>60159.506212864071</v>
      </c>
      <c r="K74" s="16">
        <f t="shared" si="18"/>
        <v>60159.506212862208</v>
      </c>
      <c r="L74" s="16">
        <f t="shared" si="18"/>
        <v>60159.506212862208</v>
      </c>
      <c r="M74" s="16">
        <f t="shared" si="18"/>
        <v>60159.506212862208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0</v>
      </c>
      <c r="C82" s="47">
        <v>101000</v>
      </c>
      <c r="D82" s="47">
        <v>23668</v>
      </c>
      <c r="E82" s="47">
        <v>80000</v>
      </c>
      <c r="F82" s="47">
        <v>184679</v>
      </c>
      <c r="G82" s="10">
        <v>42500</v>
      </c>
      <c r="H82" s="54">
        <v>97000</v>
      </c>
      <c r="I82" s="47">
        <v>5000</v>
      </c>
      <c r="J82" s="47">
        <v>0</v>
      </c>
      <c r="K82" s="47">
        <v>185000</v>
      </c>
      <c r="L82" s="47">
        <v>0</v>
      </c>
      <c r="M82" s="47">
        <v>175000</v>
      </c>
      <c r="N82" s="7">
        <f>SUM(B82:M82)</f>
        <v>893847</v>
      </c>
    </row>
    <row r="83" spans="1:14">
      <c r="A83" s="33" t="s">
        <v>71</v>
      </c>
      <c r="B83" s="2">
        <f>+B82</f>
        <v>0</v>
      </c>
      <c r="C83" s="2">
        <f>+B83+C82</f>
        <v>101000</v>
      </c>
      <c r="D83" s="2">
        <f t="shared" ref="D83:M83" si="19">+C83+D82</f>
        <v>124668</v>
      </c>
      <c r="E83" s="7">
        <f t="shared" si="19"/>
        <v>204668</v>
      </c>
      <c r="F83" s="2">
        <f t="shared" si="19"/>
        <v>389347</v>
      </c>
      <c r="G83" s="7">
        <f t="shared" si="19"/>
        <v>431847</v>
      </c>
      <c r="H83" s="2">
        <f t="shared" si="19"/>
        <v>528847</v>
      </c>
      <c r="I83" s="2">
        <f t="shared" si="19"/>
        <v>533847</v>
      </c>
      <c r="J83" s="7">
        <f t="shared" si="19"/>
        <v>533847</v>
      </c>
      <c r="K83" s="2">
        <f t="shared" si="19"/>
        <v>718847</v>
      </c>
      <c r="L83" s="2">
        <f t="shared" si="19"/>
        <v>718847</v>
      </c>
      <c r="M83" s="2">
        <f t="shared" si="19"/>
        <v>893847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393444</v>
      </c>
      <c r="E84" s="7">
        <f>SUM($B53:E53)</f>
        <v>437799</v>
      </c>
      <c r="F84" s="7">
        <f>SUM($B53:F53)</f>
        <v>624639</v>
      </c>
      <c r="G84" s="7">
        <f>SUM($B53:G53)</f>
        <v>826639</v>
      </c>
      <c r="H84" s="7">
        <f>SUM(B53:H53)</f>
        <v>1023639</v>
      </c>
      <c r="I84" s="7">
        <f>SUM(B53:I53)</f>
        <v>1165639</v>
      </c>
      <c r="J84" s="7">
        <f>SUM(B53:J53)</f>
        <v>1284639</v>
      </c>
      <c r="K84" s="7">
        <f>SUM(B53:K53)</f>
        <v>1284639</v>
      </c>
      <c r="L84" s="7">
        <f>SUM(B53:L53)</f>
        <v>1284639</v>
      </c>
      <c r="M84" s="7">
        <f>SUM(B53:M53)</f>
        <v>1739639</v>
      </c>
    </row>
    <row r="85" spans="1:14">
      <c r="A85" s="33" t="s">
        <v>73</v>
      </c>
      <c r="B85" s="7">
        <f t="shared" ref="B85:G85" si="20">+B83-B84</f>
        <v>-24982</v>
      </c>
      <c r="C85" s="7">
        <f t="shared" si="20"/>
        <v>-282444</v>
      </c>
      <c r="D85" s="7">
        <f t="shared" si="20"/>
        <v>-268776</v>
      </c>
      <c r="E85" s="7">
        <f t="shared" si="20"/>
        <v>-233131</v>
      </c>
      <c r="F85" s="7">
        <f t="shared" si="20"/>
        <v>-235292</v>
      </c>
      <c r="G85" s="7">
        <f t="shared" si="20"/>
        <v>-394792</v>
      </c>
      <c r="H85" s="7">
        <f t="shared" ref="H85:M85" si="21">+H83-H84</f>
        <v>-494792</v>
      </c>
      <c r="I85" s="7">
        <f t="shared" si="21"/>
        <v>-631792</v>
      </c>
      <c r="J85" s="7">
        <f t="shared" si="21"/>
        <v>-750792</v>
      </c>
      <c r="K85" s="7">
        <f t="shared" si="21"/>
        <v>-565792</v>
      </c>
      <c r="L85" s="7">
        <f t="shared" si="21"/>
        <v>-565792</v>
      </c>
      <c r="M85" s="7">
        <f t="shared" si="21"/>
        <v>-845792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33000</v>
      </c>
      <c r="E87" s="35">
        <f t="shared" si="22"/>
        <v>33000</v>
      </c>
      <c r="F87" s="35">
        <f t="shared" si="22"/>
        <v>33000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658436</v>
      </c>
    </row>
    <row r="88" spans="1:14">
      <c r="C88" s="35">
        <f>+B87+C87</f>
        <v>324436</v>
      </c>
      <c r="D88" s="35">
        <f>+C88+D87</f>
        <v>357436</v>
      </c>
      <c r="E88" s="35">
        <f t="shared" ref="E88:M88" si="23">+D88+E87</f>
        <v>390436</v>
      </c>
      <c r="F88" s="35">
        <f t="shared" si="23"/>
        <v>423436</v>
      </c>
      <c r="G88" s="40">
        <f t="shared" si="23"/>
        <v>456436</v>
      </c>
      <c r="H88" s="35">
        <f t="shared" si="23"/>
        <v>489436</v>
      </c>
      <c r="I88" s="40">
        <f t="shared" si="23"/>
        <v>522436</v>
      </c>
      <c r="J88" s="40">
        <f t="shared" si="23"/>
        <v>556436</v>
      </c>
      <c r="K88" s="40">
        <f t="shared" si="23"/>
        <v>590436</v>
      </c>
      <c r="L88" s="35">
        <f t="shared" si="23"/>
        <v>624436</v>
      </c>
      <c r="M88" s="35">
        <f t="shared" si="23"/>
        <v>658436</v>
      </c>
    </row>
    <row r="89" spans="1:14">
      <c r="K89" s="6"/>
    </row>
    <row r="91" spans="1:14">
      <c r="B91" s="6"/>
      <c r="C91" s="6"/>
      <c r="D91" s="6"/>
      <c r="E91" s="6"/>
    </row>
    <row r="92" spans="1:14">
      <c r="B92" s="21">
        <v>48198</v>
      </c>
      <c r="C92" s="21">
        <v>109945</v>
      </c>
      <c r="D92" s="36">
        <v>126000</v>
      </c>
      <c r="E92" s="6">
        <v>7681</v>
      </c>
      <c r="F92">
        <v>52000</v>
      </c>
      <c r="G92" s="6">
        <v>207419</v>
      </c>
      <c r="H92">
        <v>18000</v>
      </c>
      <c r="I92">
        <v>25000</v>
      </c>
      <c r="J92">
        <v>42000</v>
      </c>
      <c r="K92">
        <v>0</v>
      </c>
      <c r="L92">
        <v>0</v>
      </c>
      <c r="M92">
        <v>150000</v>
      </c>
      <c r="N92">
        <v>786243</v>
      </c>
    </row>
    <row r="93" spans="1:14">
      <c r="B93" s="37"/>
      <c r="C93" s="38"/>
      <c r="D93" s="6"/>
      <c r="E93" s="6"/>
    </row>
    <row r="94" spans="1:14">
      <c r="B94" s="6"/>
      <c r="C94" s="6"/>
      <c r="D94" s="6"/>
      <c r="E94" s="6"/>
    </row>
    <row r="95" spans="1:14">
      <c r="B95" s="6"/>
      <c r="C95" s="6"/>
      <c r="D95" s="21"/>
      <c r="E95" s="6"/>
    </row>
    <row r="96" spans="1:14">
      <c r="B96" s="6"/>
      <c r="C96" s="6"/>
      <c r="D96" s="6"/>
      <c r="E96" s="6"/>
    </row>
    <row r="97" spans="2:5">
      <c r="B97" s="6"/>
      <c r="C97" s="6"/>
      <c r="D97" s="6"/>
      <c r="E97" s="6"/>
    </row>
    <row r="98" spans="2:5">
      <c r="B98" s="6"/>
      <c r="C98" s="6"/>
      <c r="D98" s="6"/>
      <c r="E98" s="6"/>
    </row>
    <row r="99" spans="2:5">
      <c r="B99" s="6"/>
      <c r="C99" s="6"/>
      <c r="D99" s="34"/>
      <c r="E99" s="6"/>
    </row>
    <row r="100" spans="2:5">
      <c r="B100" s="6"/>
      <c r="C100" s="6"/>
      <c r="D100" s="6"/>
      <c r="E100" s="6"/>
    </row>
    <row r="101" spans="2:5">
      <c r="B101" s="6"/>
      <c r="C101" s="6"/>
      <c r="D101" s="6"/>
      <c r="E101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August 2016</oddFooter>
  </headerFooter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018C-B718-49D0-8CD5-0D119B0B8207}">
  <sheetPr>
    <tabColor rgb="FF92D050"/>
    <pageSetUpPr fitToPage="1"/>
  </sheetPr>
  <dimension ref="A1:U88"/>
  <sheetViews>
    <sheetView showGridLines="0" zoomScaleNormal="100" workbookViewId="0"/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  <col min="15" max="15" width="10.85546875" bestFit="1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24</v>
      </c>
      <c r="K2" s="92" t="s">
        <v>24</v>
      </c>
      <c r="L2" s="92" t="s">
        <v>24</v>
      </c>
      <c r="M2" s="92" t="s">
        <v>24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6" customFormat="1" ht="13.5" hidden="1" customHeight="1" outlineLevel="1">
      <c r="A5" s="100" t="s">
        <v>28</v>
      </c>
      <c r="B5" s="101">
        <v>476908</v>
      </c>
      <c r="C5" s="101">
        <v>2210992</v>
      </c>
      <c r="D5" s="101">
        <v>895797</v>
      </c>
      <c r="E5" s="101">
        <v>680181</v>
      </c>
      <c r="F5" s="101">
        <v>395507</v>
      </c>
      <c r="G5" s="101">
        <v>483547</v>
      </c>
      <c r="H5" s="101">
        <v>1462324</v>
      </c>
      <c r="I5" s="101">
        <v>546130</v>
      </c>
      <c r="J5" s="101">
        <v>813767</v>
      </c>
      <c r="K5" s="101">
        <v>1038673</v>
      </c>
      <c r="L5" s="101">
        <v>808463</v>
      </c>
      <c r="M5" s="101">
        <v>451001</v>
      </c>
      <c r="N5" s="102">
        <f>SUM(B5:M5)</f>
        <v>10263290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57792</v>
      </c>
      <c r="D6" s="101">
        <v>168012</v>
      </c>
      <c r="E6" s="101">
        <v>32628</v>
      </c>
      <c r="F6" s="101">
        <v>72335</v>
      </c>
      <c r="G6" s="101">
        <v>30858</v>
      </c>
      <c r="H6" s="101">
        <v>33489</v>
      </c>
      <c r="I6" s="101">
        <v>199159</v>
      </c>
      <c r="J6" s="101">
        <v>217935</v>
      </c>
      <c r="K6" s="101">
        <v>9389</v>
      </c>
      <c r="L6" s="101">
        <v>60775</v>
      </c>
      <c r="M6" s="101">
        <v>405274</v>
      </c>
      <c r="N6" s="103">
        <f>SUM(B6:M6)</f>
        <v>1487385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1063809</v>
      </c>
      <c r="E9" s="12">
        <f t="shared" si="0"/>
        <v>712809</v>
      </c>
      <c r="F9" s="12">
        <f t="shared" si="0"/>
        <v>467842</v>
      </c>
      <c r="G9" s="12">
        <f t="shared" si="0"/>
        <v>514405</v>
      </c>
      <c r="H9" s="12">
        <f t="shared" si="0"/>
        <v>1495813</v>
      </c>
      <c r="I9" s="12">
        <f t="shared" si="0"/>
        <v>745289</v>
      </c>
      <c r="J9" s="12">
        <f t="shared" si="0"/>
        <v>1031702</v>
      </c>
      <c r="K9" s="12">
        <f t="shared" si="0"/>
        <v>1048062</v>
      </c>
      <c r="L9" s="12">
        <f t="shared" si="0"/>
        <v>869238</v>
      </c>
      <c r="M9" s="12">
        <f t="shared" si="0"/>
        <v>856275</v>
      </c>
      <c r="N9" s="12">
        <f t="shared" si="0"/>
        <v>11750675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2268784</v>
      </c>
      <c r="D13" s="14">
        <f t="shared" si="1"/>
        <v>1063809</v>
      </c>
      <c r="E13" s="14">
        <f t="shared" si="1"/>
        <v>712809</v>
      </c>
      <c r="F13" s="14">
        <f t="shared" si="1"/>
        <v>467842</v>
      </c>
      <c r="G13" s="14">
        <f t="shared" si="1"/>
        <v>514405</v>
      </c>
      <c r="H13" s="14">
        <f t="shared" si="1"/>
        <v>1495813</v>
      </c>
      <c r="I13" s="14">
        <f t="shared" si="1"/>
        <v>745289</v>
      </c>
      <c r="J13" s="14">
        <f t="shared" si="1"/>
        <v>1031702</v>
      </c>
      <c r="K13" s="14">
        <f t="shared" si="1"/>
        <v>1048062</v>
      </c>
      <c r="L13" s="14">
        <f t="shared" si="1"/>
        <v>869238</v>
      </c>
      <c r="M13" s="14">
        <f t="shared" si="1"/>
        <v>856275</v>
      </c>
      <c r="N13" s="14">
        <f t="shared" si="1"/>
        <v>11750675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idden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1608163</v>
      </c>
      <c r="D16" s="101">
        <v>538743</v>
      </c>
      <c r="E16" s="101">
        <v>333634</v>
      </c>
      <c r="F16" s="101">
        <v>165810</v>
      </c>
      <c r="G16" s="101">
        <v>246277</v>
      </c>
      <c r="H16" s="101">
        <v>915207</v>
      </c>
      <c r="I16" s="101">
        <v>355342</v>
      </c>
      <c r="J16" s="101">
        <v>492354</v>
      </c>
      <c r="K16" s="101">
        <v>643579</v>
      </c>
      <c r="L16" s="101">
        <v>334574</v>
      </c>
      <c r="M16" s="101">
        <v>317774</v>
      </c>
      <c r="N16" s="103">
        <f>SUM(B16:M16)</f>
        <v>6288271</v>
      </c>
    </row>
    <row r="17" spans="1:14" s="6" customFormat="1" hidden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idden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538743</v>
      </c>
      <c r="E20" s="12">
        <f t="shared" si="2"/>
        <v>333634</v>
      </c>
      <c r="F20" s="12">
        <f t="shared" si="2"/>
        <v>165810</v>
      </c>
      <c r="G20" s="12">
        <f t="shared" si="2"/>
        <v>246277</v>
      </c>
      <c r="H20" s="12">
        <f t="shared" si="2"/>
        <v>915207</v>
      </c>
      <c r="I20" s="12">
        <f t="shared" si="2"/>
        <v>355342</v>
      </c>
      <c r="J20" s="12">
        <f t="shared" si="2"/>
        <v>492354</v>
      </c>
      <c r="K20" s="12">
        <f t="shared" si="2"/>
        <v>643579</v>
      </c>
      <c r="L20" s="12">
        <f t="shared" si="2"/>
        <v>334574</v>
      </c>
      <c r="M20" s="12">
        <f t="shared" si="2"/>
        <v>317774</v>
      </c>
      <c r="N20" s="12">
        <f t="shared" si="2"/>
        <v>6288271</v>
      </c>
    </row>
    <row r="21" spans="1:14" s="6" customFormat="1" ht="13.5" hidden="1" customHeight="1" outlineLevel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4" s="6" customFormat="1" ht="17.25" hidden="1" customHeight="1" outlineLevel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s="6" customFormat="1" hidden="1" outlineLevel="1">
      <c r="A23" s="6" t="s">
        <v>37</v>
      </c>
      <c r="B23" s="7">
        <f t="shared" ref="B23:M26" si="3">+B5-B16</f>
        <v>140094</v>
      </c>
      <c r="C23" s="7">
        <f t="shared" si="3"/>
        <v>602829</v>
      </c>
      <c r="D23" s="7">
        <f t="shared" si="3"/>
        <v>357054</v>
      </c>
      <c r="E23" s="7">
        <f t="shared" si="3"/>
        <v>346547</v>
      </c>
      <c r="F23" s="7">
        <f t="shared" si="3"/>
        <v>229697</v>
      </c>
      <c r="G23" s="7">
        <f t="shared" si="3"/>
        <v>237270</v>
      </c>
      <c r="H23" s="7">
        <f>+H5-H16</f>
        <v>547117</v>
      </c>
      <c r="I23" s="7">
        <f t="shared" si="3"/>
        <v>190788</v>
      </c>
      <c r="J23" s="7">
        <f t="shared" si="3"/>
        <v>321413</v>
      </c>
      <c r="K23" s="7">
        <f t="shared" si="3"/>
        <v>395094</v>
      </c>
      <c r="L23" s="7">
        <f t="shared" si="3"/>
        <v>473889</v>
      </c>
      <c r="M23" s="7">
        <f t="shared" si="3"/>
        <v>133227</v>
      </c>
      <c r="N23" s="7">
        <f>SUM(B23:M23)</f>
        <v>3975019</v>
      </c>
    </row>
    <row r="24" spans="1:14" s="6" customFormat="1" hidden="1" outlineLevel="1">
      <c r="A24" s="6" t="s">
        <v>37</v>
      </c>
      <c r="B24" s="7">
        <f t="shared" si="3"/>
        <v>199739</v>
      </c>
      <c r="C24" s="7">
        <f t="shared" si="3"/>
        <v>57792</v>
      </c>
      <c r="D24" s="7">
        <f t="shared" si="3"/>
        <v>168012</v>
      </c>
      <c r="E24" s="7">
        <f t="shared" si="3"/>
        <v>32628</v>
      </c>
      <c r="F24" s="7">
        <f t="shared" si="3"/>
        <v>72335</v>
      </c>
      <c r="G24" s="7">
        <f t="shared" si="3"/>
        <v>30858</v>
      </c>
      <c r="H24" s="7">
        <f>+H6-H17</f>
        <v>33489</v>
      </c>
      <c r="I24" s="7">
        <f t="shared" si="3"/>
        <v>199159</v>
      </c>
      <c r="J24" s="7">
        <f t="shared" si="3"/>
        <v>217935</v>
      </c>
      <c r="K24" s="7">
        <f t="shared" si="3"/>
        <v>9389</v>
      </c>
      <c r="L24" s="7">
        <f t="shared" si="3"/>
        <v>60775</v>
      </c>
      <c r="M24" s="7">
        <f t="shared" si="3"/>
        <v>405274</v>
      </c>
      <c r="N24" s="7">
        <f>SUM(B24:M24)</f>
        <v>1487385</v>
      </c>
    </row>
    <row r="25" spans="1:14" s="6" customFormat="1" hidden="1" outlineLevel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14" s="6" customFormat="1" hidden="1" outlineLevel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660621</v>
      </c>
      <c r="D27" s="12">
        <f t="shared" si="4"/>
        <v>525066</v>
      </c>
      <c r="E27" s="12">
        <f t="shared" si="4"/>
        <v>379175</v>
      </c>
      <c r="F27" s="12">
        <f t="shared" si="4"/>
        <v>302032</v>
      </c>
      <c r="G27" s="12">
        <f t="shared" si="4"/>
        <v>268128</v>
      </c>
      <c r="H27" s="12">
        <f>SUM(H23:H26)</f>
        <v>580606</v>
      </c>
      <c r="I27" s="12">
        <f t="shared" si="4"/>
        <v>389947</v>
      </c>
      <c r="J27" s="12">
        <f t="shared" si="4"/>
        <v>539348</v>
      </c>
      <c r="K27" s="12">
        <f t="shared" si="4"/>
        <v>404483</v>
      </c>
      <c r="L27" s="12">
        <f t="shared" si="4"/>
        <v>534664</v>
      </c>
      <c r="M27" s="12">
        <f>SUM(M23:M26)</f>
        <v>538501</v>
      </c>
      <c r="N27" s="12">
        <f t="shared" si="4"/>
        <v>5462404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0.291178446251384</v>
      </c>
      <c r="D28" s="73">
        <f t="shared" si="5"/>
        <v>0.49357168439071297</v>
      </c>
      <c r="E28" s="73">
        <f t="shared" si="5"/>
        <v>0.53194474256077018</v>
      </c>
      <c r="F28" s="73">
        <f t="shared" si="5"/>
        <v>0.64558547543828904</v>
      </c>
      <c r="G28" s="73">
        <f t="shared" si="5"/>
        <v>0.52123910148618302</v>
      </c>
      <c r="H28" s="73">
        <f t="shared" si="5"/>
        <v>0.38815413424004203</v>
      </c>
      <c r="I28" s="73">
        <f t="shared" si="5"/>
        <v>0.52321582634387465</v>
      </c>
      <c r="J28" s="73">
        <f t="shared" si="5"/>
        <v>0.52277498735099859</v>
      </c>
      <c r="K28" s="73">
        <f t="shared" si="5"/>
        <v>0.38593422908186731</v>
      </c>
      <c r="L28" s="73">
        <f t="shared" si="5"/>
        <v>0.61509506027117999</v>
      </c>
      <c r="M28" s="73">
        <f t="shared" si="5"/>
        <v>0.62888791568129399</v>
      </c>
      <c r="N28" s="73">
        <f t="shared" ref="N28" si="6">+N27/N9</f>
        <v>0.46485874215736545</v>
      </c>
    </row>
    <row r="29" spans="1:14" s="6" customFormat="1" hidden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314680</v>
      </c>
      <c r="D30" s="101">
        <v>302225</v>
      </c>
      <c r="E30" s="101">
        <v>322845</v>
      </c>
      <c r="F30" s="101">
        <v>249775</v>
      </c>
      <c r="G30" s="101">
        <v>257345</v>
      </c>
      <c r="H30" s="101">
        <v>328486</v>
      </c>
      <c r="I30" s="101">
        <v>255263</v>
      </c>
      <c r="J30" s="101">
        <v>271184</v>
      </c>
      <c r="K30" s="101">
        <v>295171</v>
      </c>
      <c r="L30" s="101">
        <v>258132</v>
      </c>
      <c r="M30" s="101">
        <v>251173</v>
      </c>
      <c r="N30" s="103">
        <f>SUM(B30:M30)</f>
        <v>3383682</v>
      </c>
    </row>
    <row r="31" spans="1:14" s="6" customFormat="1" hidden="1" outlineLevel="1">
      <c r="A31" s="100" t="s">
        <v>42</v>
      </c>
      <c r="B31" s="101">
        <v>154113</v>
      </c>
      <c r="C31" s="101">
        <v>151966</v>
      </c>
      <c r="D31" s="101">
        <v>157499</v>
      </c>
      <c r="E31" s="101">
        <v>172384</v>
      </c>
      <c r="F31" s="101">
        <v>158302</v>
      </c>
      <c r="G31" s="101">
        <v>149568</v>
      </c>
      <c r="H31" s="101">
        <v>150872</v>
      </c>
      <c r="I31" s="101">
        <v>145358</v>
      </c>
      <c r="J31" s="101">
        <v>147159</v>
      </c>
      <c r="K31" s="101">
        <v>166236</v>
      </c>
      <c r="L31" s="101">
        <v>149334</v>
      </c>
      <c r="M31" s="101">
        <v>157494</v>
      </c>
      <c r="N31" s="103">
        <f>SUM(B31:M31)</f>
        <v>1860285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466646</v>
      </c>
      <c r="D34" s="12">
        <f t="shared" si="7"/>
        <v>459724</v>
      </c>
      <c r="E34" s="12">
        <f t="shared" si="7"/>
        <v>495229</v>
      </c>
      <c r="F34" s="12">
        <f t="shared" si="7"/>
        <v>408077</v>
      </c>
      <c r="G34" s="12">
        <f t="shared" si="7"/>
        <v>406913</v>
      </c>
      <c r="H34" s="12">
        <f t="shared" si="7"/>
        <v>479358</v>
      </c>
      <c r="I34" s="12">
        <f t="shared" si="7"/>
        <v>400621</v>
      </c>
      <c r="J34" s="12">
        <f t="shared" si="7"/>
        <v>418343</v>
      </c>
      <c r="K34" s="12">
        <f t="shared" si="7"/>
        <v>461407</v>
      </c>
      <c r="L34" s="12">
        <f t="shared" si="7"/>
        <v>407466</v>
      </c>
      <c r="M34" s="12">
        <f t="shared" si="7"/>
        <v>408667</v>
      </c>
      <c r="N34" s="12">
        <f t="shared" si="7"/>
        <v>5243967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609031</v>
      </c>
      <c r="D37" s="101">
        <v>689724</v>
      </c>
      <c r="E37" s="101">
        <v>914242</v>
      </c>
      <c r="F37" s="101">
        <v>643270</v>
      </c>
      <c r="G37" s="108">
        <v>667513</v>
      </c>
      <c r="H37" s="108">
        <v>646418</v>
      </c>
      <c r="I37" s="108">
        <v>615263</v>
      </c>
      <c r="J37" s="108">
        <v>620951</v>
      </c>
      <c r="K37" s="108">
        <v>672522</v>
      </c>
      <c r="L37" s="101">
        <v>611093</v>
      </c>
      <c r="M37" s="101">
        <v>631927</v>
      </c>
      <c r="N37" s="103">
        <f>SUM(B37:M37)</f>
        <v>8021841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-466646</v>
      </c>
      <c r="D38" s="7">
        <f t="shared" si="8"/>
        <v>-459724</v>
      </c>
      <c r="E38" s="7">
        <f t="shared" si="8"/>
        <v>-495229</v>
      </c>
      <c r="F38" s="7">
        <f t="shared" si="8"/>
        <v>-408077</v>
      </c>
      <c r="G38" s="7">
        <f t="shared" si="8"/>
        <v>-406913</v>
      </c>
      <c r="H38" s="7">
        <f>-H34</f>
        <v>-479358</v>
      </c>
      <c r="I38" s="7">
        <f t="shared" si="8"/>
        <v>-400621</v>
      </c>
      <c r="J38" s="7">
        <f t="shared" si="8"/>
        <v>-418343</v>
      </c>
      <c r="K38" s="7">
        <f t="shared" si="8"/>
        <v>-461407</v>
      </c>
      <c r="L38" s="7">
        <f t="shared" si="8"/>
        <v>-407466</v>
      </c>
      <c r="M38" s="7">
        <f t="shared" si="8"/>
        <v>-408667</v>
      </c>
      <c r="N38" s="7">
        <f>SUM(B38:M38)</f>
        <v>-5243967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-79108</v>
      </c>
      <c r="D39" s="109">
        <v>-79051</v>
      </c>
      <c r="E39" s="109">
        <v>-77816</v>
      </c>
      <c r="F39" s="109">
        <v>-77648</v>
      </c>
      <c r="G39" s="109">
        <v>-77648</v>
      </c>
      <c r="H39" s="109">
        <v>-77648</v>
      </c>
      <c r="I39" s="109">
        <v>-77648</v>
      </c>
      <c r="J39" s="109">
        <v>-77648</v>
      </c>
      <c r="K39" s="109">
        <v>-77648</v>
      </c>
      <c r="L39" s="109">
        <v>-77648</v>
      </c>
      <c r="M39" s="109">
        <v>-70062</v>
      </c>
      <c r="N39" s="103">
        <f>SUM(B39:M39)</f>
        <v>-926960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-6972</v>
      </c>
      <c r="N40" s="103">
        <f>SUM(B40:M40)</f>
        <v>-85884</v>
      </c>
    </row>
    <row r="41" spans="1:14" s="6" customFormat="1" ht="12.75" hidden="1" customHeight="1" outlineLevel="1">
      <c r="A41" s="100" t="s">
        <v>48</v>
      </c>
      <c r="B41" s="110">
        <v>-3350</v>
      </c>
      <c r="C41" s="110">
        <v>-3350</v>
      </c>
      <c r="D41" s="110">
        <v>-3350</v>
      </c>
      <c r="E41" s="110">
        <v>-3350</v>
      </c>
      <c r="F41" s="110">
        <v>-3350</v>
      </c>
      <c r="G41" s="110">
        <v>-8350</v>
      </c>
      <c r="H41" s="110">
        <v>-3350</v>
      </c>
      <c r="I41" s="110">
        <v>-3350</v>
      </c>
      <c r="J41" s="110">
        <v>-3350</v>
      </c>
      <c r="K41" s="110">
        <v>-3350</v>
      </c>
      <c r="L41" s="110">
        <v>-3350</v>
      </c>
      <c r="M41" s="110">
        <v>41850</v>
      </c>
      <c r="N41" s="104">
        <f>SUM(B41:M41)</f>
        <v>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52320</v>
      </c>
      <c r="D42" s="12">
        <f t="shared" si="9"/>
        <v>139992</v>
      </c>
      <c r="E42" s="12">
        <f t="shared" si="9"/>
        <v>330625</v>
      </c>
      <c r="F42" s="12">
        <f t="shared" si="9"/>
        <v>146973</v>
      </c>
      <c r="G42" s="12">
        <f t="shared" si="9"/>
        <v>167463</v>
      </c>
      <c r="H42" s="12">
        <f t="shared" si="9"/>
        <v>78923</v>
      </c>
      <c r="I42" s="12">
        <f t="shared" si="9"/>
        <v>126776</v>
      </c>
      <c r="J42" s="12">
        <f t="shared" si="9"/>
        <v>114742</v>
      </c>
      <c r="K42" s="12">
        <f t="shared" si="9"/>
        <v>123249</v>
      </c>
      <c r="L42" s="12">
        <f t="shared" si="9"/>
        <v>115864</v>
      </c>
      <c r="M42" s="12">
        <f t="shared" si="9"/>
        <v>188076</v>
      </c>
      <c r="N42" s="12">
        <f t="shared" si="9"/>
        <v>1765030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idden="1" outlineLevel="1">
      <c r="A44" s="105" t="s">
        <v>50</v>
      </c>
      <c r="B44" s="110">
        <v>234703</v>
      </c>
      <c r="C44" s="111">
        <v>219113</v>
      </c>
      <c r="D44" s="111">
        <v>210081</v>
      </c>
      <c r="E44" s="111">
        <v>259750</v>
      </c>
      <c r="F44" s="111">
        <v>-183271</v>
      </c>
      <c r="G44" s="111">
        <v>211175</v>
      </c>
      <c r="H44" s="111">
        <v>247477</v>
      </c>
      <c r="I44" s="111">
        <v>217202</v>
      </c>
      <c r="J44" s="111">
        <v>225320</v>
      </c>
      <c r="K44" s="111">
        <v>242086</v>
      </c>
      <c r="L44" s="111">
        <v>213156</v>
      </c>
      <c r="M44" s="111">
        <v>233440</v>
      </c>
      <c r="N44" s="126">
        <f>SUM(B44:M44)</f>
        <v>2330232</v>
      </c>
    </row>
    <row r="45" spans="1:14" s="6" customFormat="1" hidden="1" outlineLevel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219113</v>
      </c>
      <c r="D46" s="12">
        <f t="shared" ref="D46:N46" si="10">SUM(D44:D45)</f>
        <v>210081</v>
      </c>
      <c r="E46" s="12">
        <f t="shared" si="10"/>
        <v>259750</v>
      </c>
      <c r="F46" s="12">
        <f t="shared" si="10"/>
        <v>-183271</v>
      </c>
      <c r="G46" s="12">
        <f t="shared" si="10"/>
        <v>211175</v>
      </c>
      <c r="H46" s="12">
        <f t="shared" si="10"/>
        <v>247477</v>
      </c>
      <c r="I46" s="12">
        <f t="shared" si="10"/>
        <v>217202</v>
      </c>
      <c r="J46" s="12">
        <f t="shared" si="10"/>
        <v>225320</v>
      </c>
      <c r="K46" s="12">
        <f t="shared" si="10"/>
        <v>242086</v>
      </c>
      <c r="L46" s="12">
        <f t="shared" si="10"/>
        <v>213156</v>
      </c>
      <c r="M46" s="12">
        <f t="shared" si="10"/>
        <v>233440</v>
      </c>
      <c r="N46" s="12">
        <f t="shared" si="10"/>
        <v>2330232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2346242</v>
      </c>
      <c r="D48" s="19">
        <f t="shared" si="11"/>
        <v>1348540</v>
      </c>
      <c r="E48" s="19">
        <f t="shared" si="11"/>
        <v>1419238</v>
      </c>
      <c r="F48" s="19">
        <f>+F20+F34+F42+F46</f>
        <v>537589</v>
      </c>
      <c r="G48" s="19">
        <f t="shared" si="11"/>
        <v>1031828</v>
      </c>
      <c r="H48" s="19">
        <f t="shared" si="11"/>
        <v>1720965</v>
      </c>
      <c r="I48" s="19">
        <f t="shared" si="11"/>
        <v>1099941</v>
      </c>
      <c r="J48" s="19">
        <f t="shared" si="11"/>
        <v>1250759</v>
      </c>
      <c r="K48" s="19">
        <f t="shared" si="11"/>
        <v>1470321</v>
      </c>
      <c r="L48" s="19">
        <f t="shared" si="11"/>
        <v>1071060</v>
      </c>
      <c r="M48" s="19">
        <f t="shared" si="11"/>
        <v>1147957</v>
      </c>
      <c r="N48" s="19">
        <f t="shared" si="11"/>
        <v>15627500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-77458</v>
      </c>
      <c r="D50" s="12">
        <f t="shared" si="12"/>
        <v>-284731</v>
      </c>
      <c r="E50" s="12">
        <f t="shared" si="12"/>
        <v>-706429</v>
      </c>
      <c r="F50" s="12">
        <f>+F13-F48</f>
        <v>-69747</v>
      </c>
      <c r="G50" s="12">
        <f t="shared" si="12"/>
        <v>-517423</v>
      </c>
      <c r="H50" s="12">
        <f>+H13-H48</f>
        <v>-225152</v>
      </c>
      <c r="I50" s="12">
        <f t="shared" si="12"/>
        <v>-354652</v>
      </c>
      <c r="J50" s="12">
        <f t="shared" si="12"/>
        <v>-219057</v>
      </c>
      <c r="K50" s="12">
        <f t="shared" si="12"/>
        <v>-422259</v>
      </c>
      <c r="L50" s="12">
        <f t="shared" si="12"/>
        <v>-201822</v>
      </c>
      <c r="M50" s="12">
        <f t="shared" si="12"/>
        <v>-291682</v>
      </c>
      <c r="N50" s="12">
        <f>SUM(B50:M50)</f>
        <v>-3876825</v>
      </c>
      <c r="O50" s="2">
        <f>+N50-N39-N40</f>
        <v>-2863981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107140</v>
      </c>
      <c r="D53" s="10">
        <v>2541</v>
      </c>
      <c r="E53" s="10">
        <v>42587</v>
      </c>
      <c r="F53" s="10">
        <v>7284</v>
      </c>
      <c r="G53" s="10">
        <v>970</v>
      </c>
      <c r="H53" s="23">
        <v>8623</v>
      </c>
      <c r="I53" s="10">
        <v>2438</v>
      </c>
      <c r="J53" s="10">
        <v>40383</v>
      </c>
      <c r="K53" s="10">
        <v>262</v>
      </c>
      <c r="L53" s="10">
        <v>3327</v>
      </c>
      <c r="M53" s="10">
        <v>27288</v>
      </c>
      <c r="N53" s="10">
        <f t="shared" ref="N53:N60" si="13">SUM(B53:M53)</f>
        <v>249883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13"/>
        <v>95000</v>
      </c>
    </row>
    <row r="55" spans="1:21" s="6" customFormat="1">
      <c r="A55" s="6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1024129</v>
      </c>
      <c r="N55" s="10">
        <f t="shared" si="13"/>
        <v>1404531</v>
      </c>
    </row>
    <row r="56" spans="1:21" s="6" customFormat="1">
      <c r="A56" s="128" t="s">
        <v>142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499860</v>
      </c>
      <c r="N56" s="10">
        <f>SUM(B56:M56)</f>
        <v>499860</v>
      </c>
    </row>
    <row r="57" spans="1:21" s="6" customFormat="1">
      <c r="A57" s="37" t="s">
        <v>144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-643647</v>
      </c>
      <c r="N57" s="10">
        <f t="shared" si="13"/>
        <v>-643647</v>
      </c>
    </row>
    <row r="58" spans="1:21" s="6" customFormat="1">
      <c r="A58" s="128" t="s">
        <v>143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-400000</v>
      </c>
      <c r="N58" s="10">
        <f t="shared" si="13"/>
        <v>-400000</v>
      </c>
    </row>
    <row r="59" spans="1:21" s="6" customFormat="1">
      <c r="A59" s="37" t="s">
        <v>58</v>
      </c>
      <c r="B59" s="7">
        <v>-19539</v>
      </c>
      <c r="C59" s="7">
        <v>-18488</v>
      </c>
      <c r="D59" s="7">
        <v>-23302</v>
      </c>
      <c r="E59" s="7">
        <v>-10141</v>
      </c>
      <c r="F59" s="7">
        <v>-16697</v>
      </c>
      <c r="G59" s="7">
        <v>-50933</v>
      </c>
      <c r="H59" s="7">
        <v>-10065</v>
      </c>
      <c r="I59" s="7">
        <v>-10991</v>
      </c>
      <c r="J59" s="7">
        <v>-15469</v>
      </c>
      <c r="K59" s="7">
        <v>-10418</v>
      </c>
      <c r="L59" s="7">
        <v>-11468</v>
      </c>
      <c r="M59" s="7">
        <v>-17768</v>
      </c>
      <c r="N59" s="7">
        <f t="shared" si="13"/>
        <v>-215279</v>
      </c>
    </row>
    <row r="60" spans="1:21" s="6" customFormat="1">
      <c r="A60" s="6" t="s">
        <v>134</v>
      </c>
      <c r="B60" s="22">
        <v>-463884</v>
      </c>
      <c r="C60" s="7">
        <v>-487459</v>
      </c>
      <c r="D60" s="7">
        <v>231583</v>
      </c>
      <c r="E60" s="7">
        <v>139067</v>
      </c>
      <c r="F60" s="7">
        <v>-1068714</v>
      </c>
      <c r="G60" s="7">
        <v>-344647</v>
      </c>
      <c r="H60" s="7">
        <v>35870</v>
      </c>
      <c r="I60" s="7">
        <v>-241094</v>
      </c>
      <c r="J60" s="7">
        <v>-105473</v>
      </c>
      <c r="K60" s="7">
        <v>-334684</v>
      </c>
      <c r="L60" s="7">
        <v>-71471</v>
      </c>
      <c r="M60" s="7">
        <v>-96268</v>
      </c>
      <c r="N60" s="22">
        <f t="shared" si="13"/>
        <v>-2807174</v>
      </c>
    </row>
    <row r="61" spans="1:21" s="6" customFormat="1">
      <c r="A61" s="13" t="s">
        <v>60</v>
      </c>
      <c r="B61" s="19">
        <f t="shared" ref="B61:N61" si="14">SUM(B53:B60)</f>
        <v>-95981</v>
      </c>
      <c r="C61" s="19">
        <f t="shared" si="14"/>
        <v>-398807</v>
      </c>
      <c r="D61" s="19">
        <f t="shared" si="14"/>
        <v>210822</v>
      </c>
      <c r="E61" s="19">
        <f t="shared" si="14"/>
        <v>171513</v>
      </c>
      <c r="F61" s="19">
        <f t="shared" si="14"/>
        <v>-983127</v>
      </c>
      <c r="G61" s="19">
        <f t="shared" si="14"/>
        <v>-394610</v>
      </c>
      <c r="H61" s="19">
        <f t="shared" si="14"/>
        <v>34428</v>
      </c>
      <c r="I61" s="19">
        <f t="shared" si="14"/>
        <v>-249647</v>
      </c>
      <c r="J61" s="19">
        <f t="shared" si="14"/>
        <v>-80559</v>
      </c>
      <c r="K61" s="19">
        <f t="shared" si="14"/>
        <v>-344840</v>
      </c>
      <c r="L61" s="19">
        <f t="shared" si="14"/>
        <v>-79612</v>
      </c>
      <c r="M61" s="19">
        <f t="shared" si="14"/>
        <v>393594</v>
      </c>
      <c r="N61" s="19">
        <f t="shared" si="14"/>
        <v>-1816826</v>
      </c>
    </row>
    <row r="62" spans="1:2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21">
      <c r="A63" s="1" t="s">
        <v>61</v>
      </c>
      <c r="B63" s="12">
        <v>15210291</v>
      </c>
      <c r="C63" s="7"/>
      <c r="D63" s="7"/>
      <c r="E63" s="7"/>
      <c r="F63" s="7"/>
      <c r="G63" s="7"/>
      <c r="H63" s="7" t="s">
        <v>38</v>
      </c>
      <c r="I63" s="7"/>
      <c r="J63" s="7"/>
      <c r="K63" s="7"/>
      <c r="L63" s="6"/>
      <c r="M63" s="6"/>
      <c r="N63" s="6"/>
    </row>
    <row r="64" spans="1:21">
      <c r="A64" s="13" t="s">
        <v>62</v>
      </c>
      <c r="B64" s="19">
        <f t="shared" ref="B64:N64" si="15">+B61+B48</f>
        <v>1087079</v>
      </c>
      <c r="C64" s="19">
        <f t="shared" si="15"/>
        <v>1947435</v>
      </c>
      <c r="D64" s="19">
        <f t="shared" si="15"/>
        <v>1559362</v>
      </c>
      <c r="E64" s="19">
        <f t="shared" si="15"/>
        <v>1590751</v>
      </c>
      <c r="F64" s="19">
        <f t="shared" si="15"/>
        <v>-445538</v>
      </c>
      <c r="G64" s="19">
        <f t="shared" si="15"/>
        <v>637218</v>
      </c>
      <c r="H64" s="19">
        <f t="shared" si="15"/>
        <v>1755393</v>
      </c>
      <c r="I64" s="19">
        <f t="shared" si="15"/>
        <v>850294</v>
      </c>
      <c r="J64" s="19">
        <f t="shared" si="15"/>
        <v>1170200</v>
      </c>
      <c r="K64" s="19">
        <f t="shared" si="15"/>
        <v>1125481</v>
      </c>
      <c r="L64" s="19">
        <f t="shared" si="15"/>
        <v>991448</v>
      </c>
      <c r="M64" s="19">
        <f t="shared" si="15"/>
        <v>1541551</v>
      </c>
      <c r="N64" s="19">
        <f t="shared" si="15"/>
        <v>13810674</v>
      </c>
    </row>
    <row r="65" spans="1:14" ht="13.5" thickBot="1">
      <c r="A65" s="13" t="s">
        <v>63</v>
      </c>
      <c r="B65" s="14">
        <f t="shared" ref="B65:M65" si="16">+B13-B64</f>
        <v>-410432</v>
      </c>
      <c r="C65" s="14">
        <f t="shared" si="16"/>
        <v>321349</v>
      </c>
      <c r="D65" s="14">
        <f t="shared" si="16"/>
        <v>-495553</v>
      </c>
      <c r="E65" s="14">
        <f t="shared" si="16"/>
        <v>-877942</v>
      </c>
      <c r="F65" s="14">
        <f t="shared" si="16"/>
        <v>913380</v>
      </c>
      <c r="G65" s="14">
        <f t="shared" si="16"/>
        <v>-122813</v>
      </c>
      <c r="H65" s="14">
        <f t="shared" si="16"/>
        <v>-259580</v>
      </c>
      <c r="I65" s="14">
        <f t="shared" si="16"/>
        <v>-105005</v>
      </c>
      <c r="J65" s="14">
        <f t="shared" si="16"/>
        <v>-138498</v>
      </c>
      <c r="K65" s="14">
        <f t="shared" si="16"/>
        <v>-77419</v>
      </c>
      <c r="L65" s="14">
        <f t="shared" si="16"/>
        <v>-122210</v>
      </c>
      <c r="M65" s="14">
        <f t="shared" si="16"/>
        <v>-685276</v>
      </c>
      <c r="N65" s="14">
        <f>+N13-N64</f>
        <v>-2059999</v>
      </c>
    </row>
    <row r="66" spans="1:14" s="6" customFormat="1" ht="13.5" thickTop="1">
      <c r="A66" s="13" t="s">
        <v>64</v>
      </c>
      <c r="B66" s="12">
        <f>+B65</f>
        <v>-410432</v>
      </c>
      <c r="C66" s="12">
        <f t="shared" ref="C66:M66" si="17">B66+C65</f>
        <v>-89083</v>
      </c>
      <c r="D66" s="12">
        <f t="shared" si="17"/>
        <v>-584636</v>
      </c>
      <c r="E66" s="12">
        <f t="shared" si="17"/>
        <v>-1462578</v>
      </c>
      <c r="F66" s="12">
        <f t="shared" si="17"/>
        <v>-549198</v>
      </c>
      <c r="G66" s="12">
        <f t="shared" si="17"/>
        <v>-672011</v>
      </c>
      <c r="H66" s="12">
        <f t="shared" si="17"/>
        <v>-931591</v>
      </c>
      <c r="I66" s="12">
        <f>H66+I65</f>
        <v>-1036596</v>
      </c>
      <c r="J66" s="12">
        <f t="shared" si="17"/>
        <v>-1175094</v>
      </c>
      <c r="K66" s="12">
        <f t="shared" si="17"/>
        <v>-1252513</v>
      </c>
      <c r="L66" s="12">
        <f t="shared" si="17"/>
        <v>-1374723</v>
      </c>
      <c r="M66" s="12">
        <f t="shared" si="17"/>
        <v>-2059999</v>
      </c>
      <c r="N66" s="12"/>
    </row>
    <row r="67" spans="1:14">
      <c r="A67" s="13" t="s">
        <v>65</v>
      </c>
      <c r="B67" s="12">
        <f t="shared" ref="B67:M67" si="18">+$B$63+B66</f>
        <v>14799859</v>
      </c>
      <c r="C67" s="12">
        <f t="shared" si="18"/>
        <v>15121208</v>
      </c>
      <c r="D67" s="12">
        <f t="shared" si="18"/>
        <v>14625655</v>
      </c>
      <c r="E67" s="12">
        <f t="shared" si="18"/>
        <v>13747713</v>
      </c>
      <c r="F67" s="12">
        <f>+$B$63+F66</f>
        <v>14661093</v>
      </c>
      <c r="G67" s="12">
        <f t="shared" si="18"/>
        <v>14538280</v>
      </c>
      <c r="H67" s="12">
        <f t="shared" si="18"/>
        <v>14278700</v>
      </c>
      <c r="I67" s="12">
        <f t="shared" si="18"/>
        <v>14173695</v>
      </c>
      <c r="J67" s="12">
        <f t="shared" si="18"/>
        <v>14035197</v>
      </c>
      <c r="K67" s="12">
        <f t="shared" si="18"/>
        <v>13957778</v>
      </c>
      <c r="L67" s="12">
        <f t="shared" si="18"/>
        <v>13835568</v>
      </c>
      <c r="M67" s="12">
        <f t="shared" si="18"/>
        <v>13150292</v>
      </c>
      <c r="N67" s="12"/>
    </row>
    <row r="68" spans="1:14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6"/>
      <c r="M68" s="6"/>
      <c r="N68" s="6"/>
    </row>
    <row r="69" spans="1:14" s="6" customFormat="1">
      <c r="A69" s="112" t="s">
        <v>141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4"/>
    </row>
    <row r="70" spans="1:14" ht="13.5" thickBot="1">
      <c r="A70" s="115" t="s">
        <v>67</v>
      </c>
      <c r="B70" s="30">
        <v>-1206184.54570327</v>
      </c>
      <c r="C70" s="30">
        <v>-91236.09179938212</v>
      </c>
      <c r="D70" s="30">
        <v>-21884.721865982749</v>
      </c>
      <c r="E70" s="30">
        <v>-419084.90535577014</v>
      </c>
      <c r="F70" s="30">
        <v>-533603.18347677123</v>
      </c>
      <c r="G70" s="30">
        <v>-353332.60886835586</v>
      </c>
      <c r="H70" s="30">
        <v>-728137.69195192121</v>
      </c>
      <c r="I70" s="30">
        <v>-189749.94115324598</v>
      </c>
      <c r="J70" s="30">
        <v>-116329.26442024577</v>
      </c>
      <c r="K70" s="30">
        <v>-454940.62012809888</v>
      </c>
      <c r="L70" s="30">
        <v>-374500.46593584586</v>
      </c>
      <c r="M70" s="30">
        <v>-162560.93117498094</v>
      </c>
      <c r="N70" s="124"/>
    </row>
    <row r="71" spans="1:14" ht="13.5" thickTop="1">
      <c r="A71" s="115" t="s">
        <v>64</v>
      </c>
      <c r="B71" s="31">
        <f>+B70</f>
        <v>-1206184.54570327</v>
      </c>
      <c r="C71" s="31">
        <f t="shared" ref="C71:M71" si="19">+B71+C70</f>
        <v>-1297420.6375026521</v>
      </c>
      <c r="D71" s="31">
        <f t="shared" si="19"/>
        <v>-1319305.3593686349</v>
      </c>
      <c r="E71" s="31">
        <f t="shared" si="19"/>
        <v>-1738390.264724405</v>
      </c>
      <c r="F71" s="31">
        <f t="shared" si="19"/>
        <v>-2271993.4482011762</v>
      </c>
      <c r="G71" s="31">
        <f t="shared" si="19"/>
        <v>-2625326.0570695321</v>
      </c>
      <c r="H71" s="31">
        <f t="shared" si="19"/>
        <v>-3353463.7490214533</v>
      </c>
      <c r="I71" s="31">
        <f t="shared" si="19"/>
        <v>-3543213.6901746993</v>
      </c>
      <c r="J71" s="31">
        <f t="shared" si="19"/>
        <v>-3659542.9545949451</v>
      </c>
      <c r="K71" s="31">
        <f t="shared" si="19"/>
        <v>-4114483.5747230439</v>
      </c>
      <c r="L71" s="31">
        <f t="shared" si="19"/>
        <v>-4488984.0406588893</v>
      </c>
      <c r="M71" s="31">
        <f t="shared" si="19"/>
        <v>-4651544.9718338698</v>
      </c>
      <c r="N71" s="125"/>
    </row>
    <row r="72" spans="1:14">
      <c r="A72" s="115" t="s">
        <v>65</v>
      </c>
      <c r="B72" s="16">
        <f>+B63+B71</f>
        <v>14004106.45429673</v>
      </c>
      <c r="C72" s="16">
        <f>+B72+C70</f>
        <v>13912870.362497348</v>
      </c>
      <c r="D72" s="16">
        <f t="shared" ref="D72:M72" si="20">+C72+D70</f>
        <v>13890985.640631367</v>
      </c>
      <c r="E72" s="16">
        <f t="shared" si="20"/>
        <v>13471900.735275596</v>
      </c>
      <c r="F72" s="16">
        <f t="shared" si="20"/>
        <v>12938297.551798824</v>
      </c>
      <c r="G72" s="16">
        <f t="shared" si="20"/>
        <v>12584964.942930467</v>
      </c>
      <c r="H72" s="16">
        <f t="shared" si="20"/>
        <v>11856827.250978546</v>
      </c>
      <c r="I72" s="16">
        <f t="shared" si="20"/>
        <v>11667077.309825301</v>
      </c>
      <c r="J72" s="16">
        <f t="shared" si="20"/>
        <v>11550748.045405056</v>
      </c>
      <c r="K72" s="16">
        <f t="shared" si="20"/>
        <v>11095807.425276957</v>
      </c>
      <c r="L72" s="16">
        <f t="shared" si="20"/>
        <v>10721306.959341113</v>
      </c>
      <c r="M72" s="16">
        <f t="shared" si="20"/>
        <v>10558746.028166132</v>
      </c>
      <c r="N72" s="116"/>
    </row>
    <row r="73" spans="1:14">
      <c r="A73" s="117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118"/>
    </row>
    <row r="74" spans="1:14">
      <c r="A74" s="119" t="s">
        <v>68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20"/>
    </row>
    <row r="75" spans="1:14">
      <c r="A75" s="115" t="s">
        <v>63</v>
      </c>
      <c r="B75" s="31">
        <f t="shared" ref="B75:M77" si="21">+B65-B70</f>
        <v>795752.54570327001</v>
      </c>
      <c r="C75" s="31">
        <f t="shared" si="21"/>
        <v>412585.09179938212</v>
      </c>
      <c r="D75" s="31">
        <f t="shared" si="21"/>
        <v>-473668.27813401725</v>
      </c>
      <c r="E75" s="31">
        <f t="shared" si="21"/>
        <v>-458857.09464422986</v>
      </c>
      <c r="F75" s="31">
        <f t="shared" si="21"/>
        <v>1446983.1834767712</v>
      </c>
      <c r="G75" s="31">
        <f t="shared" si="21"/>
        <v>230519.60886835586</v>
      </c>
      <c r="H75" s="31">
        <f t="shared" si="21"/>
        <v>468557.69195192121</v>
      </c>
      <c r="I75" s="31">
        <f t="shared" si="21"/>
        <v>84744.941153245978</v>
      </c>
      <c r="J75" s="31">
        <f t="shared" si="21"/>
        <v>-22168.735579754226</v>
      </c>
      <c r="K75" s="31">
        <f t="shared" si="21"/>
        <v>377521.62012809888</v>
      </c>
      <c r="L75" s="31">
        <f t="shared" si="21"/>
        <v>252290.46593584586</v>
      </c>
      <c r="M75" s="31">
        <f t="shared" si="21"/>
        <v>-522715.06882501906</v>
      </c>
      <c r="N75" s="125"/>
    </row>
    <row r="76" spans="1:14" s="6" customFormat="1">
      <c r="A76" s="115" t="s">
        <v>64</v>
      </c>
      <c r="B76" s="31">
        <f t="shared" si="21"/>
        <v>795752.54570327001</v>
      </c>
      <c r="C76" s="31">
        <f t="shared" si="21"/>
        <v>1208337.6375026521</v>
      </c>
      <c r="D76" s="31">
        <f t="shared" si="21"/>
        <v>734669.35936863488</v>
      </c>
      <c r="E76" s="31">
        <f t="shared" si="21"/>
        <v>275812.26472440502</v>
      </c>
      <c r="F76" s="31">
        <f t="shared" si="21"/>
        <v>1722795.4482011762</v>
      </c>
      <c r="G76" s="31">
        <f t="shared" si="21"/>
        <v>1953315.0570695321</v>
      </c>
      <c r="H76" s="31">
        <f t="shared" si="21"/>
        <v>2421872.7490214533</v>
      </c>
      <c r="I76" s="31">
        <f t="shared" si="21"/>
        <v>2506617.6901746993</v>
      </c>
      <c r="J76" s="31">
        <f t="shared" si="21"/>
        <v>2484448.9545949451</v>
      </c>
      <c r="K76" s="31">
        <f t="shared" si="21"/>
        <v>2861970.5747230439</v>
      </c>
      <c r="L76" s="31">
        <f t="shared" si="21"/>
        <v>3114261.0406588893</v>
      </c>
      <c r="M76" s="31">
        <f t="shared" si="21"/>
        <v>2591545.9718338698</v>
      </c>
      <c r="N76" s="125">
        <f>+N66-N71</f>
        <v>0</v>
      </c>
    </row>
    <row r="77" spans="1:14">
      <c r="A77" s="121" t="s">
        <v>65</v>
      </c>
      <c r="B77" s="122">
        <f t="shared" si="21"/>
        <v>795752.54570326954</v>
      </c>
      <c r="C77" s="122">
        <f t="shared" si="21"/>
        <v>1208337.6375026517</v>
      </c>
      <c r="D77" s="122">
        <f t="shared" si="21"/>
        <v>734669.35936863348</v>
      </c>
      <c r="E77" s="122">
        <f t="shared" si="21"/>
        <v>275812.26472440362</v>
      </c>
      <c r="F77" s="122">
        <f>+F67-F72</f>
        <v>1722795.4482011758</v>
      </c>
      <c r="G77" s="122">
        <f t="shared" si="21"/>
        <v>1953315.0570695326</v>
      </c>
      <c r="H77" s="122">
        <f t="shared" si="21"/>
        <v>2421872.7490214538</v>
      </c>
      <c r="I77" s="122">
        <f t="shared" si="21"/>
        <v>2506617.6901746988</v>
      </c>
      <c r="J77" s="122">
        <f t="shared" si="21"/>
        <v>2484448.9545949437</v>
      </c>
      <c r="K77" s="122">
        <f t="shared" si="21"/>
        <v>2861970.5747230425</v>
      </c>
      <c r="L77" s="122">
        <f t="shared" si="21"/>
        <v>3114261.0406588875</v>
      </c>
      <c r="M77" s="122">
        <f t="shared" si="21"/>
        <v>2591545.971833868</v>
      </c>
      <c r="N77" s="123"/>
    </row>
    <row r="78" spans="1:14">
      <c r="B78" s="6"/>
      <c r="C78" s="6"/>
      <c r="E78" s="6"/>
      <c r="F78" s="6"/>
      <c r="H78" s="6"/>
      <c r="I78" s="6"/>
      <c r="J78" s="6"/>
      <c r="K78" s="6"/>
      <c r="L78" s="6"/>
      <c r="M78" s="6"/>
      <c r="N78" s="6"/>
    </row>
    <row r="79" spans="1:14">
      <c r="A79" s="1"/>
      <c r="B79" s="4"/>
      <c r="C79" s="8"/>
      <c r="D79" s="8"/>
      <c r="E79" s="8"/>
      <c r="F79" s="8"/>
      <c r="G79" s="96"/>
      <c r="H79" s="97"/>
      <c r="I79" s="5"/>
      <c r="J79" s="96"/>
      <c r="K79" s="96"/>
      <c r="L79" s="5"/>
    </row>
    <row r="80" spans="1:14">
      <c r="A80" s="1"/>
      <c r="B80" s="4"/>
      <c r="C80" s="8"/>
      <c r="D80" s="8"/>
      <c r="E80" s="8"/>
      <c r="F80" s="8"/>
      <c r="G80" s="96"/>
      <c r="H80" s="98"/>
      <c r="I80" s="99"/>
      <c r="J80" s="98"/>
      <c r="K80" s="98"/>
      <c r="L80" s="5"/>
    </row>
    <row r="81" spans="1:14">
      <c r="A81" s="1"/>
      <c r="B81" s="4"/>
      <c r="D81" s="8"/>
      <c r="E81" s="8"/>
      <c r="F81" s="8"/>
      <c r="H81" s="61"/>
      <c r="J81" s="6"/>
      <c r="K81" s="6"/>
    </row>
    <row r="82" spans="1:14">
      <c r="E82" s="6"/>
      <c r="H82" s="20"/>
      <c r="J82" s="6"/>
      <c r="K82" s="6"/>
      <c r="N82" s="25"/>
    </row>
    <row r="83" spans="1:14">
      <c r="D83"/>
      <c r="E83" s="6"/>
      <c r="J83" s="6"/>
      <c r="K83" s="6"/>
    </row>
    <row r="87" spans="1:14">
      <c r="D87"/>
      <c r="F87" s="2"/>
    </row>
    <row r="88" spans="1:14">
      <c r="D88"/>
      <c r="F88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1:U88"/>
  <sheetViews>
    <sheetView showGridLines="0" zoomScaleNormal="100" workbookViewId="0"/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  <col min="15" max="15" width="10.85546875" bestFit="1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24</v>
      </c>
      <c r="K2" s="92" t="s">
        <v>24</v>
      </c>
      <c r="L2" s="92" t="s">
        <v>24</v>
      </c>
      <c r="M2" s="92" t="s">
        <v>24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6" customFormat="1" ht="13.5" hidden="1" customHeight="1" outlineLevel="1">
      <c r="A5" s="100" t="s">
        <v>28</v>
      </c>
      <c r="B5" s="101">
        <v>476908</v>
      </c>
      <c r="C5" s="101">
        <v>2210992</v>
      </c>
      <c r="D5" s="101">
        <v>895797</v>
      </c>
      <c r="E5" s="101">
        <v>680181</v>
      </c>
      <c r="F5" s="101">
        <v>395507</v>
      </c>
      <c r="G5" s="101">
        <v>483547</v>
      </c>
      <c r="H5" s="101">
        <v>1462324</v>
      </c>
      <c r="I5" s="101">
        <v>546130</v>
      </c>
      <c r="J5" s="101">
        <v>813767</v>
      </c>
      <c r="K5" s="101">
        <v>1038673</v>
      </c>
      <c r="L5" s="101">
        <v>808463</v>
      </c>
      <c r="M5" s="101">
        <v>470007</v>
      </c>
      <c r="N5" s="102">
        <f>SUM(B5:M5)</f>
        <v>10282296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57792</v>
      </c>
      <c r="D6" s="101">
        <v>168012</v>
      </c>
      <c r="E6" s="101">
        <v>32628</v>
      </c>
      <c r="F6" s="101">
        <v>72335</v>
      </c>
      <c r="G6" s="101">
        <v>30858</v>
      </c>
      <c r="H6" s="101">
        <v>33489</v>
      </c>
      <c r="I6" s="101">
        <v>199159</v>
      </c>
      <c r="J6" s="101">
        <v>217935</v>
      </c>
      <c r="K6" s="101">
        <v>9389</v>
      </c>
      <c r="L6" s="101">
        <v>60775</v>
      </c>
      <c r="M6" s="101">
        <v>403607</v>
      </c>
      <c r="N6" s="103">
        <f>SUM(B6:M6)</f>
        <v>1485718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1063809</v>
      </c>
      <c r="E9" s="12">
        <f t="shared" si="0"/>
        <v>712809</v>
      </c>
      <c r="F9" s="12">
        <f t="shared" si="0"/>
        <v>467842</v>
      </c>
      <c r="G9" s="12">
        <f t="shared" si="0"/>
        <v>514405</v>
      </c>
      <c r="H9" s="12">
        <f t="shared" si="0"/>
        <v>1495813</v>
      </c>
      <c r="I9" s="12">
        <f t="shared" si="0"/>
        <v>745289</v>
      </c>
      <c r="J9" s="12">
        <f t="shared" si="0"/>
        <v>1031702</v>
      </c>
      <c r="K9" s="12">
        <f t="shared" si="0"/>
        <v>1048062</v>
      </c>
      <c r="L9" s="12">
        <f t="shared" si="0"/>
        <v>869238</v>
      </c>
      <c r="M9" s="12">
        <f t="shared" si="0"/>
        <v>873614</v>
      </c>
      <c r="N9" s="12">
        <f t="shared" si="0"/>
        <v>11768014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2268784</v>
      </c>
      <c r="D13" s="14">
        <f t="shared" si="1"/>
        <v>1063809</v>
      </c>
      <c r="E13" s="14">
        <f t="shared" si="1"/>
        <v>712809</v>
      </c>
      <c r="F13" s="14">
        <f t="shared" si="1"/>
        <v>467842</v>
      </c>
      <c r="G13" s="14">
        <f t="shared" si="1"/>
        <v>514405</v>
      </c>
      <c r="H13" s="14">
        <f t="shared" si="1"/>
        <v>1495813</v>
      </c>
      <c r="I13" s="14">
        <f t="shared" si="1"/>
        <v>745289</v>
      </c>
      <c r="J13" s="14">
        <f t="shared" si="1"/>
        <v>1031702</v>
      </c>
      <c r="K13" s="14">
        <f t="shared" si="1"/>
        <v>1048062</v>
      </c>
      <c r="L13" s="14">
        <f t="shared" si="1"/>
        <v>869238</v>
      </c>
      <c r="M13" s="14">
        <f t="shared" si="1"/>
        <v>873614</v>
      </c>
      <c r="N13" s="14">
        <f t="shared" si="1"/>
        <v>11768014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idden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1608163</v>
      </c>
      <c r="D16" s="101">
        <v>538743</v>
      </c>
      <c r="E16" s="101">
        <v>333634</v>
      </c>
      <c r="F16" s="101">
        <v>165810</v>
      </c>
      <c r="G16" s="101">
        <v>246277</v>
      </c>
      <c r="H16" s="101">
        <v>915207</v>
      </c>
      <c r="I16" s="101">
        <v>355342</v>
      </c>
      <c r="J16" s="101">
        <v>492354</v>
      </c>
      <c r="K16" s="101">
        <v>643579</v>
      </c>
      <c r="L16" s="101">
        <v>334574</v>
      </c>
      <c r="M16" s="101">
        <v>317774</v>
      </c>
      <c r="N16" s="103">
        <f>SUM(B16:M16)</f>
        <v>6288271</v>
      </c>
    </row>
    <row r="17" spans="1:14" s="6" customFormat="1" hidden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idden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538743</v>
      </c>
      <c r="E20" s="12">
        <f t="shared" si="2"/>
        <v>333634</v>
      </c>
      <c r="F20" s="12">
        <f t="shared" si="2"/>
        <v>165810</v>
      </c>
      <c r="G20" s="12">
        <f t="shared" si="2"/>
        <v>246277</v>
      </c>
      <c r="H20" s="12">
        <f t="shared" si="2"/>
        <v>915207</v>
      </c>
      <c r="I20" s="12">
        <f t="shared" si="2"/>
        <v>355342</v>
      </c>
      <c r="J20" s="12">
        <f t="shared" si="2"/>
        <v>492354</v>
      </c>
      <c r="K20" s="12">
        <f t="shared" si="2"/>
        <v>643579</v>
      </c>
      <c r="L20" s="12">
        <f t="shared" si="2"/>
        <v>334574</v>
      </c>
      <c r="M20" s="12">
        <f t="shared" si="2"/>
        <v>317774</v>
      </c>
      <c r="N20" s="12">
        <f t="shared" si="2"/>
        <v>6288271</v>
      </c>
    </row>
    <row r="21" spans="1:14" s="6" customFormat="1" ht="13.5" hidden="1" customHeight="1" outlineLevel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4" s="6" customFormat="1" ht="17.25" hidden="1" customHeight="1" outlineLevel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s="6" customFormat="1" hidden="1" outlineLevel="1">
      <c r="A23" s="6" t="s">
        <v>37</v>
      </c>
      <c r="B23" s="7">
        <f t="shared" ref="B23:M26" si="3">+B5-B16</f>
        <v>140094</v>
      </c>
      <c r="C23" s="7">
        <f t="shared" si="3"/>
        <v>602829</v>
      </c>
      <c r="D23" s="7">
        <f t="shared" si="3"/>
        <v>357054</v>
      </c>
      <c r="E23" s="7">
        <f t="shared" si="3"/>
        <v>346547</v>
      </c>
      <c r="F23" s="7">
        <f t="shared" si="3"/>
        <v>229697</v>
      </c>
      <c r="G23" s="7">
        <f t="shared" si="3"/>
        <v>237270</v>
      </c>
      <c r="H23" s="7">
        <f>+H5-H16</f>
        <v>547117</v>
      </c>
      <c r="I23" s="7">
        <f t="shared" si="3"/>
        <v>190788</v>
      </c>
      <c r="J23" s="7">
        <f t="shared" si="3"/>
        <v>321413</v>
      </c>
      <c r="K23" s="7">
        <f t="shared" si="3"/>
        <v>395094</v>
      </c>
      <c r="L23" s="7">
        <f t="shared" si="3"/>
        <v>473889</v>
      </c>
      <c r="M23" s="7">
        <f t="shared" si="3"/>
        <v>152233</v>
      </c>
      <c r="N23" s="7">
        <f>SUM(B23:M23)</f>
        <v>3994025</v>
      </c>
    </row>
    <row r="24" spans="1:14" s="6" customFormat="1" hidden="1" outlineLevel="1">
      <c r="A24" s="6" t="s">
        <v>37</v>
      </c>
      <c r="B24" s="7">
        <f t="shared" si="3"/>
        <v>199739</v>
      </c>
      <c r="C24" s="7">
        <f t="shared" si="3"/>
        <v>57792</v>
      </c>
      <c r="D24" s="7">
        <f t="shared" si="3"/>
        <v>168012</v>
      </c>
      <c r="E24" s="7">
        <f t="shared" si="3"/>
        <v>32628</v>
      </c>
      <c r="F24" s="7">
        <f t="shared" si="3"/>
        <v>72335</v>
      </c>
      <c r="G24" s="7">
        <f t="shared" si="3"/>
        <v>30858</v>
      </c>
      <c r="H24" s="7">
        <f>+H6-H17</f>
        <v>33489</v>
      </c>
      <c r="I24" s="7">
        <f t="shared" si="3"/>
        <v>199159</v>
      </c>
      <c r="J24" s="7">
        <f t="shared" si="3"/>
        <v>217935</v>
      </c>
      <c r="K24" s="7">
        <f t="shared" si="3"/>
        <v>9389</v>
      </c>
      <c r="L24" s="7">
        <f t="shared" si="3"/>
        <v>60775</v>
      </c>
      <c r="M24" s="7">
        <f t="shared" si="3"/>
        <v>403607</v>
      </c>
      <c r="N24" s="7">
        <f>SUM(B24:M24)</f>
        <v>1485718</v>
      </c>
    </row>
    <row r="25" spans="1:14" s="6" customFormat="1" hidden="1" outlineLevel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14" s="6" customFormat="1" hidden="1" outlineLevel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660621</v>
      </c>
      <c r="D27" s="12">
        <f t="shared" si="4"/>
        <v>525066</v>
      </c>
      <c r="E27" s="12">
        <f t="shared" si="4"/>
        <v>379175</v>
      </c>
      <c r="F27" s="12">
        <f t="shared" si="4"/>
        <v>302032</v>
      </c>
      <c r="G27" s="12">
        <f t="shared" si="4"/>
        <v>268128</v>
      </c>
      <c r="H27" s="12">
        <f>SUM(H23:H26)</f>
        <v>580606</v>
      </c>
      <c r="I27" s="12">
        <f t="shared" si="4"/>
        <v>389947</v>
      </c>
      <c r="J27" s="12">
        <f t="shared" si="4"/>
        <v>539348</v>
      </c>
      <c r="K27" s="12">
        <f t="shared" si="4"/>
        <v>404483</v>
      </c>
      <c r="L27" s="12">
        <f t="shared" si="4"/>
        <v>534664</v>
      </c>
      <c r="M27" s="12">
        <f>SUM(M23:M26)</f>
        <v>555840</v>
      </c>
      <c r="N27" s="12">
        <f t="shared" si="4"/>
        <v>5479743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0.291178446251384</v>
      </c>
      <c r="D28" s="73">
        <f t="shared" si="5"/>
        <v>0.49357168439071297</v>
      </c>
      <c r="E28" s="73">
        <f t="shared" si="5"/>
        <v>0.53194474256077018</v>
      </c>
      <c r="F28" s="73">
        <f t="shared" si="5"/>
        <v>0.64558547543828904</v>
      </c>
      <c r="G28" s="73">
        <f t="shared" si="5"/>
        <v>0.52123910148618302</v>
      </c>
      <c r="H28" s="73">
        <f t="shared" si="5"/>
        <v>0.38815413424004203</v>
      </c>
      <c r="I28" s="73">
        <f t="shared" si="5"/>
        <v>0.52321582634387465</v>
      </c>
      <c r="J28" s="73">
        <f t="shared" si="5"/>
        <v>0.52277498735099859</v>
      </c>
      <c r="K28" s="73">
        <f t="shared" si="5"/>
        <v>0.38593422908186731</v>
      </c>
      <c r="L28" s="73">
        <f t="shared" si="5"/>
        <v>0.61509506027117999</v>
      </c>
      <c r="M28" s="73">
        <f t="shared" si="5"/>
        <v>0.63625353989290467</v>
      </c>
      <c r="N28" s="73">
        <f t="shared" ref="N28" si="6">+N27/N9</f>
        <v>0.4656472196583043</v>
      </c>
    </row>
    <row r="29" spans="1:14" s="6" customFormat="1" hidden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314680</v>
      </c>
      <c r="D30" s="101">
        <v>302225</v>
      </c>
      <c r="E30" s="101">
        <v>322845</v>
      </c>
      <c r="F30" s="101">
        <v>249775</v>
      </c>
      <c r="G30" s="101">
        <v>257345</v>
      </c>
      <c r="H30" s="101">
        <v>328486</v>
      </c>
      <c r="I30" s="101">
        <v>255263</v>
      </c>
      <c r="J30" s="101">
        <v>271184</v>
      </c>
      <c r="K30" s="101">
        <v>295171</v>
      </c>
      <c r="L30" s="101">
        <v>258132</v>
      </c>
      <c r="M30" s="101">
        <v>251173</v>
      </c>
      <c r="N30" s="103">
        <f>SUM(B30:M30)</f>
        <v>3383682</v>
      </c>
    </row>
    <row r="31" spans="1:14" s="6" customFormat="1" hidden="1" outlineLevel="1">
      <c r="A31" s="100" t="s">
        <v>42</v>
      </c>
      <c r="B31" s="101">
        <v>154113</v>
      </c>
      <c r="C31" s="101">
        <v>151966</v>
      </c>
      <c r="D31" s="101">
        <v>157499</v>
      </c>
      <c r="E31" s="101">
        <v>172384</v>
      </c>
      <c r="F31" s="101">
        <v>158302</v>
      </c>
      <c r="G31" s="101">
        <v>149568</v>
      </c>
      <c r="H31" s="101">
        <v>150872</v>
      </c>
      <c r="I31" s="101">
        <v>145358</v>
      </c>
      <c r="J31" s="101">
        <v>147159</v>
      </c>
      <c r="K31" s="101">
        <v>166236</v>
      </c>
      <c r="L31" s="101">
        <v>149334</v>
      </c>
      <c r="M31" s="101">
        <v>157494</v>
      </c>
      <c r="N31" s="103">
        <f>SUM(B31:M31)</f>
        <v>1860285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466646</v>
      </c>
      <c r="D34" s="12">
        <f t="shared" si="7"/>
        <v>459724</v>
      </c>
      <c r="E34" s="12">
        <f t="shared" si="7"/>
        <v>495229</v>
      </c>
      <c r="F34" s="12">
        <f t="shared" si="7"/>
        <v>408077</v>
      </c>
      <c r="G34" s="12">
        <f t="shared" si="7"/>
        <v>406913</v>
      </c>
      <c r="H34" s="12">
        <f t="shared" si="7"/>
        <v>479358</v>
      </c>
      <c r="I34" s="12">
        <f t="shared" si="7"/>
        <v>400621</v>
      </c>
      <c r="J34" s="12">
        <f t="shared" si="7"/>
        <v>418343</v>
      </c>
      <c r="K34" s="12">
        <f t="shared" si="7"/>
        <v>461407</v>
      </c>
      <c r="L34" s="12">
        <f t="shared" si="7"/>
        <v>407466</v>
      </c>
      <c r="M34" s="12">
        <f t="shared" si="7"/>
        <v>408667</v>
      </c>
      <c r="N34" s="12">
        <f t="shared" si="7"/>
        <v>5243967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609031</v>
      </c>
      <c r="D37" s="101">
        <v>689724</v>
      </c>
      <c r="E37" s="101">
        <v>914242</v>
      </c>
      <c r="F37" s="101">
        <v>643270</v>
      </c>
      <c r="G37" s="108">
        <v>667513</v>
      </c>
      <c r="H37" s="108">
        <v>646418</v>
      </c>
      <c r="I37" s="108">
        <v>615263</v>
      </c>
      <c r="J37" s="108">
        <v>620951</v>
      </c>
      <c r="K37" s="108">
        <v>672522</v>
      </c>
      <c r="L37" s="101">
        <v>611093</v>
      </c>
      <c r="M37" s="101">
        <f>604342-67</f>
        <v>604275</v>
      </c>
      <c r="N37" s="103">
        <f>SUM(B37:M37)</f>
        <v>7994189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-466646</v>
      </c>
      <c r="D38" s="7">
        <f t="shared" si="8"/>
        <v>-459724</v>
      </c>
      <c r="E38" s="7">
        <f t="shared" si="8"/>
        <v>-495229</v>
      </c>
      <c r="F38" s="7">
        <f t="shared" si="8"/>
        <v>-408077</v>
      </c>
      <c r="G38" s="7">
        <f t="shared" si="8"/>
        <v>-406913</v>
      </c>
      <c r="H38" s="7">
        <f>-H34</f>
        <v>-479358</v>
      </c>
      <c r="I38" s="7">
        <f t="shared" si="8"/>
        <v>-400621</v>
      </c>
      <c r="J38" s="7">
        <f t="shared" si="8"/>
        <v>-418343</v>
      </c>
      <c r="K38" s="7">
        <f t="shared" si="8"/>
        <v>-461407</v>
      </c>
      <c r="L38" s="7">
        <f t="shared" si="8"/>
        <v>-407466</v>
      </c>
      <c r="M38" s="7">
        <f t="shared" si="8"/>
        <v>-408667</v>
      </c>
      <c r="N38" s="7">
        <f>SUM(B38:M38)</f>
        <v>-5243967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-79108</v>
      </c>
      <c r="D39" s="109">
        <v>-79051</v>
      </c>
      <c r="E39" s="109">
        <v>-77816</v>
      </c>
      <c r="F39" s="109">
        <v>-77648</v>
      </c>
      <c r="G39" s="109">
        <v>-77648</v>
      </c>
      <c r="H39" s="109">
        <v>-77648</v>
      </c>
      <c r="I39" s="109">
        <v>-77648</v>
      </c>
      <c r="J39" s="109">
        <v>-77648</v>
      </c>
      <c r="K39" s="109">
        <v>-77648</v>
      </c>
      <c r="L39" s="109">
        <v>-77648</v>
      </c>
      <c r="M39" s="109">
        <v>-70062</v>
      </c>
      <c r="N39" s="103">
        <f>SUM(B39:M39)</f>
        <v>-926960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-6972</v>
      </c>
      <c r="N40" s="103">
        <f>SUM(B40:M40)</f>
        <v>-85884</v>
      </c>
    </row>
    <row r="41" spans="1:14" s="6" customFormat="1" ht="12.75" hidden="1" customHeight="1" outlineLevel="1">
      <c r="A41" s="100" t="s">
        <v>48</v>
      </c>
      <c r="B41" s="110">
        <v>-3350</v>
      </c>
      <c r="C41" s="110">
        <v>-3350</v>
      </c>
      <c r="D41" s="110">
        <v>-3350</v>
      </c>
      <c r="E41" s="110">
        <v>-3350</v>
      </c>
      <c r="F41" s="110">
        <v>-3350</v>
      </c>
      <c r="G41" s="110">
        <v>-8350</v>
      </c>
      <c r="H41" s="110">
        <v>-3350</v>
      </c>
      <c r="I41" s="110">
        <v>-3350</v>
      </c>
      <c r="J41" s="110">
        <v>-3350</v>
      </c>
      <c r="K41" s="110">
        <v>-3350</v>
      </c>
      <c r="L41" s="110">
        <v>-3350</v>
      </c>
      <c r="M41" s="110">
        <v>41850</v>
      </c>
      <c r="N41" s="104">
        <f>SUM(B41:M41)</f>
        <v>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52320</v>
      </c>
      <c r="D42" s="12">
        <f t="shared" si="9"/>
        <v>139992</v>
      </c>
      <c r="E42" s="12">
        <f t="shared" si="9"/>
        <v>330625</v>
      </c>
      <c r="F42" s="12">
        <f t="shared" si="9"/>
        <v>146973</v>
      </c>
      <c r="G42" s="12">
        <f t="shared" si="9"/>
        <v>167463</v>
      </c>
      <c r="H42" s="12">
        <f t="shared" si="9"/>
        <v>78923</v>
      </c>
      <c r="I42" s="12">
        <f t="shared" si="9"/>
        <v>126776</v>
      </c>
      <c r="J42" s="12">
        <f t="shared" si="9"/>
        <v>114742</v>
      </c>
      <c r="K42" s="12">
        <f t="shared" si="9"/>
        <v>123249</v>
      </c>
      <c r="L42" s="12">
        <f t="shared" si="9"/>
        <v>115864</v>
      </c>
      <c r="M42" s="12">
        <f t="shared" si="9"/>
        <v>160424</v>
      </c>
      <c r="N42" s="12">
        <f t="shared" si="9"/>
        <v>1737378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idden="1" outlineLevel="1">
      <c r="A44" s="105" t="s">
        <v>50</v>
      </c>
      <c r="B44" s="110">
        <v>234703</v>
      </c>
      <c r="C44" s="111">
        <v>219113</v>
      </c>
      <c r="D44" s="111">
        <v>210081</v>
      </c>
      <c r="E44" s="111">
        <v>259750</v>
      </c>
      <c r="F44" s="111">
        <v>-183271</v>
      </c>
      <c r="G44" s="111">
        <v>211175</v>
      </c>
      <c r="H44" s="111">
        <v>247477</v>
      </c>
      <c r="I44" s="111">
        <v>217202</v>
      </c>
      <c r="J44" s="111">
        <v>225320</v>
      </c>
      <c r="K44" s="111">
        <v>242086</v>
      </c>
      <c r="L44" s="111">
        <v>213156</v>
      </c>
      <c r="M44" s="111">
        <v>713853</v>
      </c>
      <c r="N44" s="126">
        <f>SUM(B44:M44)</f>
        <v>2810645</v>
      </c>
    </row>
    <row r="45" spans="1:14" s="6" customFormat="1" hidden="1" outlineLevel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219113</v>
      </c>
      <c r="D46" s="12">
        <f t="shared" ref="D46:N46" si="10">SUM(D44:D45)</f>
        <v>210081</v>
      </c>
      <c r="E46" s="12">
        <f t="shared" si="10"/>
        <v>259750</v>
      </c>
      <c r="F46" s="12">
        <f t="shared" si="10"/>
        <v>-183271</v>
      </c>
      <c r="G46" s="12">
        <f t="shared" si="10"/>
        <v>211175</v>
      </c>
      <c r="H46" s="12">
        <f t="shared" si="10"/>
        <v>247477</v>
      </c>
      <c r="I46" s="12">
        <f t="shared" si="10"/>
        <v>217202</v>
      </c>
      <c r="J46" s="12">
        <f t="shared" si="10"/>
        <v>225320</v>
      </c>
      <c r="K46" s="12">
        <f t="shared" si="10"/>
        <v>242086</v>
      </c>
      <c r="L46" s="12">
        <f t="shared" si="10"/>
        <v>213156</v>
      </c>
      <c r="M46" s="12">
        <v>233440</v>
      </c>
      <c r="N46" s="12">
        <f t="shared" si="10"/>
        <v>2810645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2346242</v>
      </c>
      <c r="D48" s="19">
        <f t="shared" si="11"/>
        <v>1348540</v>
      </c>
      <c r="E48" s="19">
        <f t="shared" si="11"/>
        <v>1419238</v>
      </c>
      <c r="F48" s="19">
        <f>+F20+F34+F42+F46</f>
        <v>537589</v>
      </c>
      <c r="G48" s="19">
        <f t="shared" si="11"/>
        <v>1031828</v>
      </c>
      <c r="H48" s="19">
        <f t="shared" si="11"/>
        <v>1720965</v>
      </c>
      <c r="I48" s="19">
        <f t="shared" si="11"/>
        <v>1099941</v>
      </c>
      <c r="J48" s="19">
        <f t="shared" si="11"/>
        <v>1250759</v>
      </c>
      <c r="K48" s="19">
        <f t="shared" si="11"/>
        <v>1470321</v>
      </c>
      <c r="L48" s="19">
        <f t="shared" si="11"/>
        <v>1071060</v>
      </c>
      <c r="M48" s="19">
        <f t="shared" si="11"/>
        <v>1120305</v>
      </c>
      <c r="N48" s="19">
        <f t="shared" si="11"/>
        <v>16080261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-77458</v>
      </c>
      <c r="D50" s="12">
        <f t="shared" si="12"/>
        <v>-284731</v>
      </c>
      <c r="E50" s="12">
        <f t="shared" si="12"/>
        <v>-706429</v>
      </c>
      <c r="F50" s="12">
        <f>+F13-F48</f>
        <v>-69747</v>
      </c>
      <c r="G50" s="12">
        <f t="shared" si="12"/>
        <v>-517423</v>
      </c>
      <c r="H50" s="12">
        <f>+H13-H48</f>
        <v>-225152</v>
      </c>
      <c r="I50" s="12">
        <f t="shared" si="12"/>
        <v>-354652</v>
      </c>
      <c r="J50" s="12">
        <f t="shared" si="12"/>
        <v>-219057</v>
      </c>
      <c r="K50" s="12">
        <f t="shared" si="12"/>
        <v>-422259</v>
      </c>
      <c r="L50" s="12">
        <f t="shared" si="12"/>
        <v>-201822</v>
      </c>
      <c r="M50" s="12">
        <f t="shared" si="12"/>
        <v>-246691</v>
      </c>
      <c r="N50" s="12">
        <f>SUM(B50:M50)</f>
        <v>-3831834</v>
      </c>
      <c r="O50" s="2">
        <f>+N50-N39-N40</f>
        <v>-2818990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107140</v>
      </c>
      <c r="D53" s="10">
        <v>2541</v>
      </c>
      <c r="E53" s="10">
        <v>42587</v>
      </c>
      <c r="F53" s="10">
        <v>7284</v>
      </c>
      <c r="G53" s="10">
        <v>970</v>
      </c>
      <c r="H53" s="23">
        <v>8623</v>
      </c>
      <c r="I53" s="10">
        <v>2438</v>
      </c>
      <c r="J53" s="10">
        <v>40383</v>
      </c>
      <c r="K53" s="10">
        <v>262</v>
      </c>
      <c r="L53" s="10">
        <v>3327</v>
      </c>
      <c r="M53" s="10">
        <v>27288</v>
      </c>
      <c r="N53" s="10">
        <f t="shared" ref="N53:N60" si="13">SUM(B53:M53)</f>
        <v>249883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13"/>
        <v>95000</v>
      </c>
    </row>
    <row r="55" spans="1:21" s="6" customFormat="1">
      <c r="A55" s="6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1024129</v>
      </c>
      <c r="N55" s="10">
        <f t="shared" si="13"/>
        <v>1404531</v>
      </c>
    </row>
    <row r="56" spans="1:21" s="6" customFormat="1">
      <c r="A56" s="128" t="s">
        <v>142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499860</v>
      </c>
      <c r="N56" s="10">
        <f>SUM(B56:M56)</f>
        <v>499860</v>
      </c>
    </row>
    <row r="57" spans="1:21" s="6" customFormat="1">
      <c r="A57" s="37" t="s">
        <v>144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-643647</v>
      </c>
      <c r="N57" s="10">
        <f t="shared" si="13"/>
        <v>-643647</v>
      </c>
    </row>
    <row r="58" spans="1:21" s="6" customFormat="1">
      <c r="A58" s="128" t="s">
        <v>143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-400000</v>
      </c>
      <c r="N58" s="10">
        <f t="shared" si="13"/>
        <v>-400000</v>
      </c>
    </row>
    <row r="59" spans="1:21" s="6" customFormat="1">
      <c r="A59" s="37" t="s">
        <v>58</v>
      </c>
      <c r="B59" s="7">
        <v>-19539</v>
      </c>
      <c r="C59" s="7">
        <v>-18488</v>
      </c>
      <c r="D59" s="7">
        <v>-23302</v>
      </c>
      <c r="E59" s="7">
        <v>-10141</v>
      </c>
      <c r="F59" s="7">
        <v>-16697</v>
      </c>
      <c r="G59" s="7">
        <v>-50933</v>
      </c>
      <c r="H59" s="7">
        <v>-10065</v>
      </c>
      <c r="I59" s="7">
        <v>-10991</v>
      </c>
      <c r="J59" s="7">
        <v>-15469</v>
      </c>
      <c r="K59" s="7">
        <v>-10418</v>
      </c>
      <c r="L59" s="7">
        <v>-11468</v>
      </c>
      <c r="M59" s="7">
        <v>-17768</v>
      </c>
      <c r="N59" s="7">
        <f t="shared" si="13"/>
        <v>-215279</v>
      </c>
    </row>
    <row r="60" spans="1:21" s="6" customFormat="1">
      <c r="A60" s="6" t="s">
        <v>134</v>
      </c>
      <c r="B60" s="22">
        <v>-463884</v>
      </c>
      <c r="C60" s="7">
        <v>-487459</v>
      </c>
      <c r="D60" s="7">
        <v>231583</v>
      </c>
      <c r="E60" s="7">
        <v>139067</v>
      </c>
      <c r="F60" s="7">
        <v>-1068714</v>
      </c>
      <c r="G60" s="7">
        <v>-344647</v>
      </c>
      <c r="H60" s="7">
        <v>35870</v>
      </c>
      <c r="I60" s="7">
        <v>-241094</v>
      </c>
      <c r="J60" s="7">
        <v>-105473</v>
      </c>
      <c r="K60" s="7">
        <v>-334684</v>
      </c>
      <c r="L60" s="7">
        <v>-71471</v>
      </c>
      <c r="M60" s="7">
        <v>-96268</v>
      </c>
      <c r="N60" s="22">
        <f t="shared" si="13"/>
        <v>-2807174</v>
      </c>
    </row>
    <row r="61" spans="1:21" s="6" customFormat="1">
      <c r="A61" s="13" t="s">
        <v>60</v>
      </c>
      <c r="B61" s="19">
        <f t="shared" ref="B61:N61" si="14">SUM(B53:B60)</f>
        <v>-95981</v>
      </c>
      <c r="C61" s="19">
        <f t="shared" si="14"/>
        <v>-398807</v>
      </c>
      <c r="D61" s="19">
        <f t="shared" si="14"/>
        <v>210822</v>
      </c>
      <c r="E61" s="19">
        <f t="shared" si="14"/>
        <v>171513</v>
      </c>
      <c r="F61" s="19">
        <f t="shared" si="14"/>
        <v>-983127</v>
      </c>
      <c r="G61" s="19">
        <f t="shared" si="14"/>
        <v>-394610</v>
      </c>
      <c r="H61" s="19">
        <f t="shared" si="14"/>
        <v>34428</v>
      </c>
      <c r="I61" s="19">
        <f t="shared" si="14"/>
        <v>-249647</v>
      </c>
      <c r="J61" s="19">
        <f t="shared" si="14"/>
        <v>-80559</v>
      </c>
      <c r="K61" s="19">
        <f t="shared" si="14"/>
        <v>-344840</v>
      </c>
      <c r="L61" s="19">
        <f t="shared" si="14"/>
        <v>-79612</v>
      </c>
      <c r="M61" s="19">
        <f t="shared" si="14"/>
        <v>393594</v>
      </c>
      <c r="N61" s="19">
        <f t="shared" si="14"/>
        <v>-1816826</v>
      </c>
    </row>
    <row r="62" spans="1:2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21">
      <c r="A63" s="1" t="s">
        <v>61</v>
      </c>
      <c r="B63" s="12">
        <v>15210291</v>
      </c>
      <c r="C63" s="7"/>
      <c r="D63" s="7"/>
      <c r="E63" s="7"/>
      <c r="F63" s="7"/>
      <c r="G63" s="7"/>
      <c r="H63" s="7" t="s">
        <v>38</v>
      </c>
      <c r="I63" s="7"/>
      <c r="J63" s="7"/>
      <c r="K63" s="7"/>
      <c r="L63" s="6"/>
      <c r="M63" s="6"/>
      <c r="N63" s="6"/>
    </row>
    <row r="64" spans="1:21">
      <c r="A64" s="13" t="s">
        <v>62</v>
      </c>
      <c r="B64" s="19">
        <f t="shared" ref="B64:N64" si="15">+B61+B48</f>
        <v>1087079</v>
      </c>
      <c r="C64" s="19">
        <f t="shared" si="15"/>
        <v>1947435</v>
      </c>
      <c r="D64" s="19">
        <f t="shared" si="15"/>
        <v>1559362</v>
      </c>
      <c r="E64" s="19">
        <f t="shared" si="15"/>
        <v>1590751</v>
      </c>
      <c r="F64" s="19">
        <f t="shared" si="15"/>
        <v>-445538</v>
      </c>
      <c r="G64" s="19">
        <f t="shared" si="15"/>
        <v>637218</v>
      </c>
      <c r="H64" s="19">
        <f t="shared" si="15"/>
        <v>1755393</v>
      </c>
      <c r="I64" s="19">
        <f t="shared" si="15"/>
        <v>850294</v>
      </c>
      <c r="J64" s="19">
        <f t="shared" si="15"/>
        <v>1170200</v>
      </c>
      <c r="K64" s="19">
        <f t="shared" si="15"/>
        <v>1125481</v>
      </c>
      <c r="L64" s="19">
        <f t="shared" si="15"/>
        <v>991448</v>
      </c>
      <c r="M64" s="19">
        <f t="shared" si="15"/>
        <v>1513899</v>
      </c>
      <c r="N64" s="19">
        <f t="shared" si="15"/>
        <v>14263435</v>
      </c>
    </row>
    <row r="65" spans="1:14" ht="13.5" thickBot="1">
      <c r="A65" s="13" t="s">
        <v>63</v>
      </c>
      <c r="B65" s="14">
        <f t="shared" ref="B65:N65" si="16">+B13-B64</f>
        <v>-410432</v>
      </c>
      <c r="C65" s="14">
        <f t="shared" si="16"/>
        <v>321349</v>
      </c>
      <c r="D65" s="14">
        <f t="shared" si="16"/>
        <v>-495553</v>
      </c>
      <c r="E65" s="14">
        <f t="shared" si="16"/>
        <v>-877942</v>
      </c>
      <c r="F65" s="14">
        <f t="shared" si="16"/>
        <v>913380</v>
      </c>
      <c r="G65" s="14">
        <f t="shared" si="16"/>
        <v>-122813</v>
      </c>
      <c r="H65" s="14">
        <f t="shared" si="16"/>
        <v>-259580</v>
      </c>
      <c r="I65" s="14">
        <f t="shared" si="16"/>
        <v>-105005</v>
      </c>
      <c r="J65" s="14">
        <f t="shared" si="16"/>
        <v>-138498</v>
      </c>
      <c r="K65" s="14">
        <f t="shared" si="16"/>
        <v>-77419</v>
      </c>
      <c r="L65" s="14">
        <f t="shared" si="16"/>
        <v>-122210</v>
      </c>
      <c r="M65" s="14">
        <f t="shared" si="16"/>
        <v>-640285</v>
      </c>
      <c r="N65" s="14">
        <f t="shared" si="16"/>
        <v>-2495421</v>
      </c>
    </row>
    <row r="66" spans="1:14" s="6" customFormat="1" ht="13.5" thickTop="1">
      <c r="A66" s="13" t="s">
        <v>64</v>
      </c>
      <c r="B66" s="12">
        <f>+B65</f>
        <v>-410432</v>
      </c>
      <c r="C66" s="12">
        <f t="shared" ref="C66:M66" si="17">B66+C65</f>
        <v>-89083</v>
      </c>
      <c r="D66" s="12">
        <f t="shared" si="17"/>
        <v>-584636</v>
      </c>
      <c r="E66" s="12">
        <f t="shared" si="17"/>
        <v>-1462578</v>
      </c>
      <c r="F66" s="12">
        <f t="shared" si="17"/>
        <v>-549198</v>
      </c>
      <c r="G66" s="12">
        <f t="shared" si="17"/>
        <v>-672011</v>
      </c>
      <c r="H66" s="12">
        <f t="shared" si="17"/>
        <v>-931591</v>
      </c>
      <c r="I66" s="12">
        <f>H66+I65</f>
        <v>-1036596</v>
      </c>
      <c r="J66" s="12">
        <f t="shared" si="17"/>
        <v>-1175094</v>
      </c>
      <c r="K66" s="12">
        <f t="shared" si="17"/>
        <v>-1252513</v>
      </c>
      <c r="L66" s="12">
        <f t="shared" si="17"/>
        <v>-1374723</v>
      </c>
      <c r="M66" s="12">
        <f t="shared" si="17"/>
        <v>-2015008</v>
      </c>
      <c r="N66" s="12"/>
    </row>
    <row r="67" spans="1:14">
      <c r="A67" s="13" t="s">
        <v>65</v>
      </c>
      <c r="B67" s="12">
        <f t="shared" ref="B67:M67" si="18">+$B$63+B66</f>
        <v>14799859</v>
      </c>
      <c r="C67" s="12">
        <f t="shared" si="18"/>
        <v>15121208</v>
      </c>
      <c r="D67" s="12">
        <f t="shared" si="18"/>
        <v>14625655</v>
      </c>
      <c r="E67" s="12">
        <f t="shared" si="18"/>
        <v>13747713</v>
      </c>
      <c r="F67" s="12">
        <f>+$B$63+F66</f>
        <v>14661093</v>
      </c>
      <c r="G67" s="12">
        <f t="shared" si="18"/>
        <v>14538280</v>
      </c>
      <c r="H67" s="12">
        <f t="shared" si="18"/>
        <v>14278700</v>
      </c>
      <c r="I67" s="12">
        <f t="shared" si="18"/>
        <v>14173695</v>
      </c>
      <c r="J67" s="12">
        <f t="shared" si="18"/>
        <v>14035197</v>
      </c>
      <c r="K67" s="12">
        <f t="shared" si="18"/>
        <v>13957778</v>
      </c>
      <c r="L67" s="12">
        <f t="shared" si="18"/>
        <v>13835568</v>
      </c>
      <c r="M67" s="12">
        <f t="shared" si="18"/>
        <v>13195283</v>
      </c>
      <c r="N67" s="12"/>
    </row>
    <row r="68" spans="1:14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6"/>
      <c r="M68" s="6"/>
      <c r="N68" s="6"/>
    </row>
    <row r="69" spans="1:14" s="6" customFormat="1">
      <c r="A69" s="112" t="s">
        <v>141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4"/>
    </row>
    <row r="70" spans="1:14" ht="13.5" thickBot="1">
      <c r="A70" s="115" t="s">
        <v>67</v>
      </c>
      <c r="B70" s="30">
        <v>-1206184.54570327</v>
      </c>
      <c r="C70" s="30">
        <v>-91236.09179938212</v>
      </c>
      <c r="D70" s="30">
        <v>-21884.721865982749</v>
      </c>
      <c r="E70" s="30">
        <v>-419084.90535577014</v>
      </c>
      <c r="F70" s="30">
        <v>-533603.18347677123</v>
      </c>
      <c r="G70" s="30">
        <v>-353332.60886835586</v>
      </c>
      <c r="H70" s="30">
        <v>-728137.69195192121</v>
      </c>
      <c r="I70" s="30">
        <v>-189749.94115324598</v>
      </c>
      <c r="J70" s="30">
        <v>-116329.26442024577</v>
      </c>
      <c r="K70" s="30">
        <v>-454940.62012809888</v>
      </c>
      <c r="L70" s="30">
        <v>-374500.46593584586</v>
      </c>
      <c r="M70" s="30">
        <v>-162560.93117498094</v>
      </c>
      <c r="N70" s="124"/>
    </row>
    <row r="71" spans="1:14" ht="13.5" thickTop="1">
      <c r="A71" s="115" t="s">
        <v>64</v>
      </c>
      <c r="B71" s="31">
        <f>+B70</f>
        <v>-1206184.54570327</v>
      </c>
      <c r="C71" s="31">
        <f t="shared" ref="C71:M71" si="19">+B71+C70</f>
        <v>-1297420.6375026521</v>
      </c>
      <c r="D71" s="31">
        <f t="shared" si="19"/>
        <v>-1319305.3593686349</v>
      </c>
      <c r="E71" s="31">
        <f t="shared" si="19"/>
        <v>-1738390.264724405</v>
      </c>
      <c r="F71" s="31">
        <f t="shared" si="19"/>
        <v>-2271993.4482011762</v>
      </c>
      <c r="G71" s="31">
        <f t="shared" si="19"/>
        <v>-2625326.0570695321</v>
      </c>
      <c r="H71" s="31">
        <f t="shared" si="19"/>
        <v>-3353463.7490214533</v>
      </c>
      <c r="I71" s="31">
        <f t="shared" si="19"/>
        <v>-3543213.6901746993</v>
      </c>
      <c r="J71" s="31">
        <f t="shared" si="19"/>
        <v>-3659542.9545949451</v>
      </c>
      <c r="K71" s="31">
        <f t="shared" si="19"/>
        <v>-4114483.5747230439</v>
      </c>
      <c r="L71" s="31">
        <f t="shared" si="19"/>
        <v>-4488984.0406588893</v>
      </c>
      <c r="M71" s="31">
        <f t="shared" si="19"/>
        <v>-4651544.9718338698</v>
      </c>
      <c r="N71" s="125"/>
    </row>
    <row r="72" spans="1:14">
      <c r="A72" s="115" t="s">
        <v>65</v>
      </c>
      <c r="B72" s="16">
        <f>+B63+B71</f>
        <v>14004106.45429673</v>
      </c>
      <c r="C72" s="16">
        <f>+B72+C70</f>
        <v>13912870.362497348</v>
      </c>
      <c r="D72" s="16">
        <f t="shared" ref="D72:M72" si="20">+C72+D70</f>
        <v>13890985.640631367</v>
      </c>
      <c r="E72" s="16">
        <f t="shared" si="20"/>
        <v>13471900.735275596</v>
      </c>
      <c r="F72" s="16">
        <f t="shared" si="20"/>
        <v>12938297.551798824</v>
      </c>
      <c r="G72" s="16">
        <f t="shared" si="20"/>
        <v>12584964.942930467</v>
      </c>
      <c r="H72" s="16">
        <f t="shared" si="20"/>
        <v>11856827.250978546</v>
      </c>
      <c r="I72" s="16">
        <f t="shared" si="20"/>
        <v>11667077.309825301</v>
      </c>
      <c r="J72" s="16">
        <f t="shared" si="20"/>
        <v>11550748.045405056</v>
      </c>
      <c r="K72" s="16">
        <f t="shared" si="20"/>
        <v>11095807.425276957</v>
      </c>
      <c r="L72" s="16">
        <f t="shared" si="20"/>
        <v>10721306.959341113</v>
      </c>
      <c r="M72" s="16">
        <f t="shared" si="20"/>
        <v>10558746.028166132</v>
      </c>
      <c r="N72" s="116"/>
    </row>
    <row r="73" spans="1:14">
      <c r="A73" s="117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118"/>
    </row>
    <row r="74" spans="1:14">
      <c r="A74" s="119" t="s">
        <v>68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20"/>
    </row>
    <row r="75" spans="1:14">
      <c r="A75" s="115" t="s">
        <v>63</v>
      </c>
      <c r="B75" s="31">
        <f t="shared" ref="B75:M77" si="21">+B65-B70</f>
        <v>795752.54570327001</v>
      </c>
      <c r="C75" s="31">
        <f t="shared" si="21"/>
        <v>412585.09179938212</v>
      </c>
      <c r="D75" s="31">
        <f t="shared" si="21"/>
        <v>-473668.27813401725</v>
      </c>
      <c r="E75" s="31">
        <f t="shared" si="21"/>
        <v>-458857.09464422986</v>
      </c>
      <c r="F75" s="31">
        <f t="shared" si="21"/>
        <v>1446983.1834767712</v>
      </c>
      <c r="G75" s="31">
        <f t="shared" si="21"/>
        <v>230519.60886835586</v>
      </c>
      <c r="H75" s="31">
        <f t="shared" si="21"/>
        <v>468557.69195192121</v>
      </c>
      <c r="I75" s="31">
        <f t="shared" si="21"/>
        <v>84744.941153245978</v>
      </c>
      <c r="J75" s="31">
        <f t="shared" si="21"/>
        <v>-22168.735579754226</v>
      </c>
      <c r="K75" s="31">
        <f t="shared" si="21"/>
        <v>377521.62012809888</v>
      </c>
      <c r="L75" s="31">
        <f t="shared" si="21"/>
        <v>252290.46593584586</v>
      </c>
      <c r="M75" s="31">
        <f t="shared" si="21"/>
        <v>-477724.06882501906</v>
      </c>
      <c r="N75" s="125"/>
    </row>
    <row r="76" spans="1:14" s="6" customFormat="1">
      <c r="A76" s="115" t="s">
        <v>64</v>
      </c>
      <c r="B76" s="31">
        <f t="shared" si="21"/>
        <v>795752.54570327001</v>
      </c>
      <c r="C76" s="31">
        <f t="shared" si="21"/>
        <v>1208337.6375026521</v>
      </c>
      <c r="D76" s="31">
        <f t="shared" si="21"/>
        <v>734669.35936863488</v>
      </c>
      <c r="E76" s="31">
        <f t="shared" si="21"/>
        <v>275812.26472440502</v>
      </c>
      <c r="F76" s="31">
        <f t="shared" si="21"/>
        <v>1722795.4482011762</v>
      </c>
      <c r="G76" s="31">
        <f t="shared" si="21"/>
        <v>1953315.0570695321</v>
      </c>
      <c r="H76" s="31">
        <f t="shared" si="21"/>
        <v>2421872.7490214533</v>
      </c>
      <c r="I76" s="31">
        <f t="shared" si="21"/>
        <v>2506617.6901746993</v>
      </c>
      <c r="J76" s="31">
        <f t="shared" si="21"/>
        <v>2484448.9545949451</v>
      </c>
      <c r="K76" s="31">
        <f t="shared" si="21"/>
        <v>2861970.5747230439</v>
      </c>
      <c r="L76" s="31">
        <f t="shared" si="21"/>
        <v>3114261.0406588893</v>
      </c>
      <c r="M76" s="31">
        <f t="shared" si="21"/>
        <v>2636536.9718338698</v>
      </c>
      <c r="N76" s="125">
        <f>+N66-N71</f>
        <v>0</v>
      </c>
    </row>
    <row r="77" spans="1:14">
      <c r="A77" s="121" t="s">
        <v>65</v>
      </c>
      <c r="B77" s="122">
        <f t="shared" si="21"/>
        <v>795752.54570326954</v>
      </c>
      <c r="C77" s="122">
        <f t="shared" si="21"/>
        <v>1208337.6375026517</v>
      </c>
      <c r="D77" s="122">
        <f t="shared" si="21"/>
        <v>734669.35936863348</v>
      </c>
      <c r="E77" s="122">
        <f t="shared" si="21"/>
        <v>275812.26472440362</v>
      </c>
      <c r="F77" s="122">
        <f>+F67-F72</f>
        <v>1722795.4482011758</v>
      </c>
      <c r="G77" s="122">
        <f t="shared" si="21"/>
        <v>1953315.0570695326</v>
      </c>
      <c r="H77" s="122">
        <f t="shared" si="21"/>
        <v>2421872.7490214538</v>
      </c>
      <c r="I77" s="122">
        <f t="shared" si="21"/>
        <v>2506617.6901746988</v>
      </c>
      <c r="J77" s="122">
        <f t="shared" si="21"/>
        <v>2484448.9545949437</v>
      </c>
      <c r="K77" s="122">
        <f t="shared" si="21"/>
        <v>2861970.5747230425</v>
      </c>
      <c r="L77" s="122">
        <f t="shared" si="21"/>
        <v>3114261.0406588875</v>
      </c>
      <c r="M77" s="122">
        <f t="shared" si="21"/>
        <v>2636536.971833868</v>
      </c>
      <c r="N77" s="123"/>
    </row>
    <row r="78" spans="1:14">
      <c r="B78" s="6"/>
      <c r="C78" s="6"/>
      <c r="E78" s="6"/>
      <c r="F78" s="6"/>
      <c r="H78" s="6"/>
      <c r="I78" s="6"/>
      <c r="J78" s="6"/>
      <c r="K78" s="6"/>
      <c r="L78" s="6"/>
      <c r="M78" s="6"/>
      <c r="N78" s="6"/>
    </row>
    <row r="79" spans="1:14">
      <c r="A79" s="1"/>
      <c r="B79" s="4"/>
      <c r="C79" s="8"/>
      <c r="D79" s="8"/>
      <c r="E79" s="8"/>
      <c r="F79" s="8"/>
      <c r="G79" s="96"/>
      <c r="H79" s="97"/>
      <c r="I79" s="5"/>
      <c r="J79" s="96"/>
      <c r="K79" s="96"/>
      <c r="L79" s="5"/>
    </row>
    <row r="80" spans="1:14">
      <c r="A80" s="1"/>
      <c r="B80" s="4"/>
      <c r="C80" s="8"/>
      <c r="D80" s="8"/>
      <c r="E80" s="8"/>
      <c r="F80" s="8"/>
      <c r="G80" s="96"/>
      <c r="H80" s="98"/>
      <c r="I80" s="99"/>
      <c r="J80" s="98"/>
      <c r="K80" s="98"/>
      <c r="L80" s="5"/>
    </row>
    <row r="81" spans="1:14">
      <c r="A81" s="1"/>
      <c r="B81" s="4"/>
      <c r="D81" s="8"/>
      <c r="E81" s="8"/>
      <c r="F81" s="8"/>
      <c r="H81" s="61"/>
      <c r="J81" s="6"/>
      <c r="K81" s="6"/>
    </row>
    <row r="82" spans="1:14">
      <c r="E82" s="6"/>
      <c r="H82" s="20"/>
      <c r="J82" s="6"/>
      <c r="K82" s="6"/>
      <c r="N82" s="25"/>
    </row>
    <row r="83" spans="1:14">
      <c r="D83"/>
      <c r="E83" s="6"/>
      <c r="J83" s="6"/>
      <c r="K83" s="6"/>
    </row>
    <row r="87" spans="1:14">
      <c r="D87"/>
      <c r="F87" s="2"/>
    </row>
    <row r="88" spans="1:14">
      <c r="D88"/>
      <c r="F88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1:U85"/>
  <sheetViews>
    <sheetView showGridLines="0" zoomScaleNormal="100" workbookViewId="0"/>
  </sheetViews>
  <sheetFormatPr defaultRowHeight="12.75" outlineLevelRow="1"/>
  <cols>
    <col min="1" max="1" width="34.7109375" style="127" bestFit="1" customWidth="1"/>
    <col min="2" max="2" width="14" style="127" customWidth="1"/>
    <col min="3" max="3" width="14.5703125" style="127" customWidth="1"/>
    <col min="4" max="4" width="14" style="129" customWidth="1"/>
    <col min="5" max="6" width="13.5703125" style="127" customWidth="1"/>
    <col min="7" max="7" width="12.28515625" style="129" bestFit="1" customWidth="1"/>
    <col min="8" max="8" width="14.140625" style="127" customWidth="1"/>
    <col min="9" max="9" width="14.42578125" style="127" customWidth="1"/>
    <col min="10" max="10" width="13.85546875" style="127" customWidth="1"/>
    <col min="11" max="11" width="14.7109375" style="127" customWidth="1"/>
    <col min="12" max="12" width="13.5703125" style="127" customWidth="1"/>
    <col min="13" max="13" width="14.42578125" style="127" customWidth="1"/>
    <col min="14" max="14" width="16.5703125" style="127" customWidth="1"/>
    <col min="15" max="16384" width="9.140625" style="127"/>
  </cols>
  <sheetData>
    <row r="1" spans="1:14" ht="13.5" thickBot="1">
      <c r="A1" s="164" t="s">
        <v>140</v>
      </c>
      <c r="E1" s="129"/>
      <c r="F1" s="129"/>
      <c r="J1" s="129"/>
      <c r="K1" s="129"/>
      <c r="N1" s="163"/>
    </row>
    <row r="2" spans="1:14">
      <c r="B2" s="162" t="s">
        <v>24</v>
      </c>
      <c r="C2" s="162" t="s">
        <v>24</v>
      </c>
      <c r="D2" s="162" t="s">
        <v>24</v>
      </c>
      <c r="E2" s="162" t="s">
        <v>24</v>
      </c>
      <c r="F2" s="162" t="s">
        <v>24</v>
      </c>
      <c r="G2" s="162" t="s">
        <v>24</v>
      </c>
      <c r="H2" s="162" t="s">
        <v>24</v>
      </c>
      <c r="I2" s="162" t="s">
        <v>24</v>
      </c>
      <c r="J2" s="162" t="s">
        <v>24</v>
      </c>
      <c r="K2" s="162" t="s">
        <v>24</v>
      </c>
      <c r="L2" s="162" t="s">
        <v>24</v>
      </c>
      <c r="M2" s="162" t="s">
        <v>76</v>
      </c>
      <c r="N2" s="161" t="s">
        <v>25</v>
      </c>
    </row>
    <row r="3" spans="1:14" s="137" customFormat="1">
      <c r="B3" s="159">
        <v>44013</v>
      </c>
      <c r="C3" s="160">
        <v>44044</v>
      </c>
      <c r="D3" s="160">
        <v>44075</v>
      </c>
      <c r="E3" s="159">
        <v>44105</v>
      </c>
      <c r="F3" s="159">
        <v>44136</v>
      </c>
      <c r="G3" s="160">
        <v>44166</v>
      </c>
      <c r="H3" s="159">
        <v>44197</v>
      </c>
      <c r="I3" s="159">
        <v>44228</v>
      </c>
      <c r="J3" s="159">
        <v>44256</v>
      </c>
      <c r="K3" s="159">
        <v>44287</v>
      </c>
      <c r="L3" s="159">
        <v>44317</v>
      </c>
      <c r="M3" s="159">
        <v>44348</v>
      </c>
      <c r="N3" s="159" t="s">
        <v>139</v>
      </c>
    </row>
    <row r="4" spans="1:14">
      <c r="A4" s="136" t="s">
        <v>27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>
        <f>SUM(B4:M4)</f>
        <v>0</v>
      </c>
    </row>
    <row r="5" spans="1:14" s="129" customFormat="1" ht="13.5" hidden="1" customHeight="1" outlineLevel="1">
      <c r="A5" s="156" t="s">
        <v>28</v>
      </c>
      <c r="B5" s="101">
        <v>476908</v>
      </c>
      <c r="C5" s="101">
        <v>2210992</v>
      </c>
      <c r="D5" s="101">
        <v>895797</v>
      </c>
      <c r="E5" s="101">
        <v>680181</v>
      </c>
      <c r="F5" s="101">
        <v>395507</v>
      </c>
      <c r="G5" s="101">
        <v>483547</v>
      </c>
      <c r="H5" s="101">
        <v>1462324</v>
      </c>
      <c r="I5" s="101">
        <v>546130</v>
      </c>
      <c r="J5" s="101">
        <v>813767</v>
      </c>
      <c r="K5" s="101">
        <v>1038673</v>
      </c>
      <c r="L5" s="101">
        <v>808463</v>
      </c>
      <c r="M5" s="101">
        <v>738619</v>
      </c>
      <c r="N5" s="102">
        <f>SUM(B5:M5)</f>
        <v>10550908</v>
      </c>
    </row>
    <row r="6" spans="1:14" s="129" customFormat="1" ht="12.75" hidden="1" customHeight="1" outlineLevel="1">
      <c r="A6" s="156" t="s">
        <v>29</v>
      </c>
      <c r="B6" s="101">
        <v>199739</v>
      </c>
      <c r="C6" s="101">
        <v>57792</v>
      </c>
      <c r="D6" s="101">
        <v>168012</v>
      </c>
      <c r="E6" s="101">
        <v>32628</v>
      </c>
      <c r="F6" s="101">
        <v>72335</v>
      </c>
      <c r="G6" s="101">
        <v>30858</v>
      </c>
      <c r="H6" s="101">
        <v>33489</v>
      </c>
      <c r="I6" s="101">
        <v>199159</v>
      </c>
      <c r="J6" s="101">
        <v>217935</v>
      </c>
      <c r="K6" s="101">
        <v>9389</v>
      </c>
      <c r="L6" s="101">
        <v>60775</v>
      </c>
      <c r="M6" s="101">
        <v>284877</v>
      </c>
      <c r="N6" s="157">
        <f>SUM(B6:M6)</f>
        <v>1366988</v>
      </c>
    </row>
    <row r="7" spans="1:14" s="129" customFormat="1" ht="12.75" hidden="1" customHeight="1" outlineLevel="1">
      <c r="A7" s="156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>
        <f>SUM(B7:M7)</f>
        <v>0</v>
      </c>
    </row>
    <row r="8" spans="1:14" s="129" customFormat="1" ht="12.75" hidden="1" customHeight="1" outlineLevel="1">
      <c r="A8" s="156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>
        <f>SUM(B8:M8)</f>
        <v>0</v>
      </c>
    </row>
    <row r="9" spans="1:14" s="129" customFormat="1" collapsed="1">
      <c r="A9" s="151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1063809</v>
      </c>
      <c r="E9" s="12">
        <f t="shared" si="0"/>
        <v>712809</v>
      </c>
      <c r="F9" s="12">
        <f t="shared" si="0"/>
        <v>467842</v>
      </c>
      <c r="G9" s="12">
        <f t="shared" si="0"/>
        <v>514405</v>
      </c>
      <c r="H9" s="12">
        <f t="shared" si="0"/>
        <v>1495813</v>
      </c>
      <c r="I9" s="12">
        <f t="shared" si="0"/>
        <v>745289</v>
      </c>
      <c r="J9" s="12">
        <f t="shared" si="0"/>
        <v>1031702</v>
      </c>
      <c r="K9" s="12">
        <f t="shared" si="0"/>
        <v>1048062</v>
      </c>
      <c r="L9" s="12">
        <f t="shared" si="0"/>
        <v>869238</v>
      </c>
      <c r="M9" s="12">
        <f t="shared" si="0"/>
        <v>1023496</v>
      </c>
      <c r="N9" s="12">
        <f t="shared" si="0"/>
        <v>11917896</v>
      </c>
    </row>
    <row r="10" spans="1:14" s="129" customFormat="1" ht="6.75" hidden="1" customHeight="1"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s="129" customFormat="1" hidden="1">
      <c r="A11" s="151" t="s">
        <v>31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>
        <f>SUM(B11:M11)</f>
        <v>0</v>
      </c>
    </row>
    <row r="12" spans="1:14" s="129" customFormat="1" ht="7.5" customHeight="1">
      <c r="A12" s="151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s="129" customFormat="1" ht="21" customHeight="1" thickBot="1">
      <c r="A13" s="151" t="s">
        <v>32</v>
      </c>
      <c r="B13" s="14">
        <f t="shared" ref="B13:N13" si="1">B9+B11</f>
        <v>676647</v>
      </c>
      <c r="C13" s="14">
        <f t="shared" si="1"/>
        <v>2268784</v>
      </c>
      <c r="D13" s="14">
        <f t="shared" si="1"/>
        <v>1063809</v>
      </c>
      <c r="E13" s="14">
        <f t="shared" si="1"/>
        <v>712809</v>
      </c>
      <c r="F13" s="14">
        <f t="shared" si="1"/>
        <v>467842</v>
      </c>
      <c r="G13" s="14">
        <f t="shared" si="1"/>
        <v>514405</v>
      </c>
      <c r="H13" s="14">
        <f t="shared" si="1"/>
        <v>1495813</v>
      </c>
      <c r="I13" s="14">
        <f t="shared" si="1"/>
        <v>745289</v>
      </c>
      <c r="J13" s="14">
        <f t="shared" si="1"/>
        <v>1031702</v>
      </c>
      <c r="K13" s="14">
        <f t="shared" si="1"/>
        <v>1048062</v>
      </c>
      <c r="L13" s="14">
        <f t="shared" si="1"/>
        <v>869238</v>
      </c>
      <c r="M13" s="14">
        <f t="shared" si="1"/>
        <v>1023496</v>
      </c>
      <c r="N13" s="14">
        <f t="shared" si="1"/>
        <v>11917896</v>
      </c>
    </row>
    <row r="14" spans="1:14" s="129" customFormat="1" ht="21" hidden="1" customHeight="1" outlineLevel="1" thickTop="1">
      <c r="A14" s="156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6"/>
    </row>
    <row r="15" spans="1:14" s="129" customFormat="1" ht="17.25" hidden="1" customHeight="1" outlineLevel="1">
      <c r="A15" s="154" t="s">
        <v>33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6"/>
    </row>
    <row r="16" spans="1:14" s="129" customFormat="1" ht="12" hidden="1" customHeight="1" outlineLevel="1">
      <c r="A16" s="156" t="s">
        <v>34</v>
      </c>
      <c r="B16" s="101">
        <v>336814</v>
      </c>
      <c r="C16" s="101">
        <v>1608163</v>
      </c>
      <c r="D16" s="101">
        <v>538743</v>
      </c>
      <c r="E16" s="101">
        <v>333634</v>
      </c>
      <c r="F16" s="101">
        <v>165810</v>
      </c>
      <c r="G16" s="101">
        <v>246277</v>
      </c>
      <c r="H16" s="101">
        <v>915207</v>
      </c>
      <c r="I16" s="101">
        <v>355342</v>
      </c>
      <c r="J16" s="101">
        <v>492354</v>
      </c>
      <c r="K16" s="101">
        <v>643579</v>
      </c>
      <c r="L16" s="101">
        <v>334574</v>
      </c>
      <c r="M16" s="101">
        <v>431870</v>
      </c>
      <c r="N16" s="157">
        <f>SUM(B16:M16)</f>
        <v>6402367</v>
      </c>
    </row>
    <row r="17" spans="1:14" s="129" customFormat="1" ht="20.25" hidden="1" customHeight="1" outlineLevel="1">
      <c r="A17" s="15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57">
        <f>SUM(B17:M17)</f>
        <v>0</v>
      </c>
    </row>
    <row r="18" spans="1:14" s="129" customFormat="1" ht="26.25" hidden="1" customHeight="1" outlineLevel="1">
      <c r="A18" s="156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>
        <v>0</v>
      </c>
    </row>
    <row r="19" spans="1:14" s="129" customFormat="1" ht="12" hidden="1" customHeight="1" outlineLevel="1">
      <c r="A19" s="156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>
        <f>SUM(B19:M19)</f>
        <v>0</v>
      </c>
    </row>
    <row r="20" spans="1:14" s="129" customFormat="1" ht="13.5" collapsed="1" thickTop="1">
      <c r="A20" s="151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538743</v>
      </c>
      <c r="E20" s="12">
        <f t="shared" si="2"/>
        <v>333634</v>
      </c>
      <c r="F20" s="12">
        <f t="shared" si="2"/>
        <v>165810</v>
      </c>
      <c r="G20" s="12">
        <f t="shared" si="2"/>
        <v>246277</v>
      </c>
      <c r="H20" s="12">
        <f t="shared" si="2"/>
        <v>915207</v>
      </c>
      <c r="I20" s="12">
        <f t="shared" si="2"/>
        <v>355342</v>
      </c>
      <c r="J20" s="12">
        <f t="shared" si="2"/>
        <v>492354</v>
      </c>
      <c r="K20" s="12">
        <f t="shared" si="2"/>
        <v>643579</v>
      </c>
      <c r="L20" s="12">
        <f t="shared" si="2"/>
        <v>334574</v>
      </c>
      <c r="M20" s="12">
        <f t="shared" si="2"/>
        <v>431870</v>
      </c>
      <c r="N20" s="12">
        <f t="shared" si="2"/>
        <v>6402367</v>
      </c>
    </row>
    <row r="21" spans="1:14" s="129" customFormat="1" ht="13.5" hidden="1" customHeight="1" outlineLevel="1"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4" s="129" customFormat="1" ht="17.25" hidden="1" customHeight="1" outlineLevel="1">
      <c r="A22" s="151" t="s">
        <v>36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4" s="129" customFormat="1" hidden="1" outlineLevel="1">
      <c r="A23" s="129" t="s">
        <v>37</v>
      </c>
      <c r="B23" s="150">
        <f t="shared" ref="B23:M23" si="3">+B5-B16</f>
        <v>140094</v>
      </c>
      <c r="C23" s="150">
        <f t="shared" si="3"/>
        <v>602829</v>
      </c>
      <c r="D23" s="150">
        <f t="shared" si="3"/>
        <v>357054</v>
      </c>
      <c r="E23" s="150">
        <f t="shared" si="3"/>
        <v>346547</v>
      </c>
      <c r="F23" s="150">
        <f t="shared" si="3"/>
        <v>229697</v>
      </c>
      <c r="G23" s="150">
        <f t="shared" si="3"/>
        <v>237270</v>
      </c>
      <c r="H23" s="150">
        <f t="shared" si="3"/>
        <v>547117</v>
      </c>
      <c r="I23" s="150">
        <f t="shared" si="3"/>
        <v>190788</v>
      </c>
      <c r="J23" s="150">
        <f t="shared" si="3"/>
        <v>321413</v>
      </c>
      <c r="K23" s="150">
        <f t="shared" si="3"/>
        <v>395094</v>
      </c>
      <c r="L23" s="150">
        <f t="shared" si="3"/>
        <v>473889</v>
      </c>
      <c r="M23" s="150">
        <f t="shared" si="3"/>
        <v>306749</v>
      </c>
      <c r="N23" s="150">
        <f>SUM(B23:M23)</f>
        <v>4148541</v>
      </c>
    </row>
    <row r="24" spans="1:14" s="129" customFormat="1" hidden="1" outlineLevel="1">
      <c r="A24" s="129" t="s">
        <v>37</v>
      </c>
      <c r="B24" s="150">
        <f t="shared" ref="B24:M24" si="4">+B6-B17</f>
        <v>199739</v>
      </c>
      <c r="C24" s="150">
        <f t="shared" si="4"/>
        <v>57792</v>
      </c>
      <c r="D24" s="150">
        <f t="shared" si="4"/>
        <v>168012</v>
      </c>
      <c r="E24" s="150">
        <f t="shared" si="4"/>
        <v>32628</v>
      </c>
      <c r="F24" s="150">
        <f t="shared" si="4"/>
        <v>72335</v>
      </c>
      <c r="G24" s="150">
        <f t="shared" si="4"/>
        <v>30858</v>
      </c>
      <c r="H24" s="150">
        <f t="shared" si="4"/>
        <v>33489</v>
      </c>
      <c r="I24" s="150">
        <f t="shared" si="4"/>
        <v>199159</v>
      </c>
      <c r="J24" s="150">
        <f t="shared" si="4"/>
        <v>217935</v>
      </c>
      <c r="K24" s="150">
        <f t="shared" si="4"/>
        <v>9389</v>
      </c>
      <c r="L24" s="150">
        <f t="shared" si="4"/>
        <v>60775</v>
      </c>
      <c r="M24" s="150">
        <f t="shared" si="4"/>
        <v>284877</v>
      </c>
      <c r="N24" s="150">
        <f>SUM(B24:M24)</f>
        <v>1366988</v>
      </c>
    </row>
    <row r="25" spans="1:14" s="129" customFormat="1" hidden="1" outlineLevel="1">
      <c r="A25" s="129" t="s">
        <v>38</v>
      </c>
      <c r="B25" s="150">
        <f t="shared" ref="B25:M25" si="5">+B7-B18</f>
        <v>0</v>
      </c>
      <c r="C25" s="150">
        <f t="shared" si="5"/>
        <v>0</v>
      </c>
      <c r="D25" s="150">
        <f t="shared" si="5"/>
        <v>0</v>
      </c>
      <c r="E25" s="150">
        <f t="shared" si="5"/>
        <v>0</v>
      </c>
      <c r="F25" s="150">
        <f t="shared" si="5"/>
        <v>0</v>
      </c>
      <c r="G25" s="150">
        <f t="shared" si="5"/>
        <v>0</v>
      </c>
      <c r="H25" s="150">
        <f t="shared" si="5"/>
        <v>0</v>
      </c>
      <c r="I25" s="150">
        <f t="shared" si="5"/>
        <v>0</v>
      </c>
      <c r="J25" s="150">
        <f t="shared" si="5"/>
        <v>0</v>
      </c>
      <c r="K25" s="150">
        <f t="shared" si="5"/>
        <v>0</v>
      </c>
      <c r="L25" s="150">
        <f t="shared" si="5"/>
        <v>0</v>
      </c>
      <c r="M25" s="150">
        <f t="shared" si="5"/>
        <v>0</v>
      </c>
      <c r="N25" s="150">
        <f>SUM(B25:M25)</f>
        <v>0</v>
      </c>
    </row>
    <row r="26" spans="1:14" s="129" customFormat="1" hidden="1" outlineLevel="1">
      <c r="A26" s="129" t="s">
        <v>38</v>
      </c>
      <c r="B26" s="158">
        <f t="shared" ref="B26:M26" si="6">+B8-B19</f>
        <v>0</v>
      </c>
      <c r="C26" s="158">
        <f t="shared" si="6"/>
        <v>0</v>
      </c>
      <c r="D26" s="158">
        <f t="shared" si="6"/>
        <v>0</v>
      </c>
      <c r="E26" s="158">
        <f t="shared" si="6"/>
        <v>0</v>
      </c>
      <c r="F26" s="158">
        <f t="shared" si="6"/>
        <v>0</v>
      </c>
      <c r="G26" s="158">
        <f t="shared" si="6"/>
        <v>0</v>
      </c>
      <c r="H26" s="158">
        <f t="shared" si="6"/>
        <v>0</v>
      </c>
      <c r="I26" s="158">
        <f t="shared" si="6"/>
        <v>0</v>
      </c>
      <c r="J26" s="158">
        <f t="shared" si="6"/>
        <v>0</v>
      </c>
      <c r="K26" s="158">
        <f t="shared" si="6"/>
        <v>0</v>
      </c>
      <c r="L26" s="158">
        <f t="shared" si="6"/>
        <v>0</v>
      </c>
      <c r="M26" s="158">
        <f t="shared" si="6"/>
        <v>0</v>
      </c>
      <c r="N26" s="158">
        <f>SUM(B26:M26)</f>
        <v>0</v>
      </c>
    </row>
    <row r="27" spans="1:14" s="129" customFormat="1" collapsed="1">
      <c r="A27" s="151" t="s">
        <v>39</v>
      </c>
      <c r="B27" s="12">
        <f t="shared" ref="B27:N27" si="7">SUM(B23:B26)</f>
        <v>339833</v>
      </c>
      <c r="C27" s="12">
        <f t="shared" si="7"/>
        <v>660621</v>
      </c>
      <c r="D27" s="12">
        <f t="shared" si="7"/>
        <v>525066</v>
      </c>
      <c r="E27" s="12">
        <f t="shared" si="7"/>
        <v>379175</v>
      </c>
      <c r="F27" s="12">
        <f t="shared" si="7"/>
        <v>302032</v>
      </c>
      <c r="G27" s="12">
        <f t="shared" si="7"/>
        <v>268128</v>
      </c>
      <c r="H27" s="12">
        <f t="shared" si="7"/>
        <v>580606</v>
      </c>
      <c r="I27" s="12">
        <f t="shared" si="7"/>
        <v>389947</v>
      </c>
      <c r="J27" s="12">
        <f t="shared" si="7"/>
        <v>539348</v>
      </c>
      <c r="K27" s="12">
        <f t="shared" si="7"/>
        <v>404483</v>
      </c>
      <c r="L27" s="12">
        <f t="shared" si="7"/>
        <v>534664</v>
      </c>
      <c r="M27" s="12">
        <f t="shared" si="7"/>
        <v>591626</v>
      </c>
      <c r="N27" s="12">
        <f t="shared" si="7"/>
        <v>5515529</v>
      </c>
    </row>
    <row r="28" spans="1:14" s="129" customFormat="1" ht="14.25" customHeight="1">
      <c r="B28" s="73">
        <f t="shared" ref="B28:M28" si="8">IFERROR(+B27/B9, 0)</f>
        <v>0.50223085301493986</v>
      </c>
      <c r="C28" s="73">
        <f t="shared" si="8"/>
        <v>0.291178446251384</v>
      </c>
      <c r="D28" s="73">
        <f t="shared" si="8"/>
        <v>0.49357168439071297</v>
      </c>
      <c r="E28" s="73">
        <f t="shared" si="8"/>
        <v>0.53194474256077018</v>
      </c>
      <c r="F28" s="73">
        <f t="shared" si="8"/>
        <v>0.64558547543828904</v>
      </c>
      <c r="G28" s="73">
        <f t="shared" si="8"/>
        <v>0.52123910148618302</v>
      </c>
      <c r="H28" s="73">
        <f t="shared" si="8"/>
        <v>0.38815413424004203</v>
      </c>
      <c r="I28" s="73">
        <f t="shared" si="8"/>
        <v>0.52321582634387465</v>
      </c>
      <c r="J28" s="73">
        <f t="shared" si="8"/>
        <v>0.52277498735099859</v>
      </c>
      <c r="K28" s="73">
        <f t="shared" si="8"/>
        <v>0.38593422908186731</v>
      </c>
      <c r="L28" s="73">
        <f t="shared" si="8"/>
        <v>0.61509506027117999</v>
      </c>
      <c r="M28" s="73">
        <f t="shared" si="8"/>
        <v>0.5780442717900216</v>
      </c>
      <c r="N28" s="73">
        <f>+N27/N9</f>
        <v>0.4627938522034426</v>
      </c>
    </row>
    <row r="29" spans="1:14" s="129" customFormat="1" ht="27" hidden="1" customHeight="1" outlineLevel="1">
      <c r="A29" s="154" t="s">
        <v>40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6"/>
    </row>
    <row r="30" spans="1:14" s="129" customFormat="1" hidden="1" outlineLevel="1">
      <c r="A30" s="156" t="s">
        <v>93</v>
      </c>
      <c r="B30" s="101">
        <v>277403</v>
      </c>
      <c r="C30" s="101">
        <v>314680</v>
      </c>
      <c r="D30" s="101">
        <v>302225</v>
      </c>
      <c r="E30" s="101">
        <v>322845</v>
      </c>
      <c r="F30" s="101">
        <v>249775</v>
      </c>
      <c r="G30" s="101">
        <v>257345</v>
      </c>
      <c r="H30" s="101">
        <v>328486</v>
      </c>
      <c r="I30" s="101">
        <v>255263</v>
      </c>
      <c r="J30" s="101">
        <v>271184</v>
      </c>
      <c r="K30" s="101">
        <v>295171</v>
      </c>
      <c r="L30" s="101">
        <v>258132</v>
      </c>
      <c r="M30" s="101">
        <v>309677.88845369231</v>
      </c>
      <c r="N30" s="157">
        <f>SUM(B30:M30)</f>
        <v>3442186.8884536922</v>
      </c>
    </row>
    <row r="31" spans="1:14" s="129" customFormat="1" hidden="1" outlineLevel="1">
      <c r="A31" s="156" t="s">
        <v>42</v>
      </c>
      <c r="B31" s="101">
        <v>154113</v>
      </c>
      <c r="C31" s="101">
        <v>151966</v>
      </c>
      <c r="D31" s="101">
        <v>157499</v>
      </c>
      <c r="E31" s="101">
        <v>172384</v>
      </c>
      <c r="F31" s="101">
        <v>158302</v>
      </c>
      <c r="G31" s="101">
        <v>149568</v>
      </c>
      <c r="H31" s="101">
        <v>150872</v>
      </c>
      <c r="I31" s="101">
        <v>145358</v>
      </c>
      <c r="J31" s="101">
        <v>147159</v>
      </c>
      <c r="K31" s="101">
        <v>166236</v>
      </c>
      <c r="L31" s="101">
        <v>149334</v>
      </c>
      <c r="M31" s="101">
        <v>166838.70938795508</v>
      </c>
      <c r="N31" s="157">
        <f>SUM(B31:M31)</f>
        <v>1869629.709387955</v>
      </c>
    </row>
    <row r="32" spans="1:14" s="129" customFormat="1" ht="15" hidden="1" outlineLevel="1">
      <c r="A32" s="156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57">
        <f>SUM(B32:M32)</f>
        <v>0</v>
      </c>
    </row>
    <row r="33" spans="1:14" s="129" customFormat="1" ht="13.5" hidden="1" customHeight="1" outlineLevel="1">
      <c r="A33" s="156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>
        <f>SUM(B33:M33)</f>
        <v>0</v>
      </c>
    </row>
    <row r="34" spans="1:14" s="129" customFormat="1" collapsed="1">
      <c r="A34" s="151" t="s">
        <v>43</v>
      </c>
      <c r="B34" s="12">
        <f t="shared" ref="B34:N34" si="9">SUM(B30:B33)</f>
        <v>431516</v>
      </c>
      <c r="C34" s="12">
        <f t="shared" si="9"/>
        <v>466646</v>
      </c>
      <c r="D34" s="12">
        <f t="shared" si="9"/>
        <v>459724</v>
      </c>
      <c r="E34" s="12">
        <f t="shared" si="9"/>
        <v>495229</v>
      </c>
      <c r="F34" s="12">
        <f t="shared" si="9"/>
        <v>408077</v>
      </c>
      <c r="G34" s="12">
        <f t="shared" si="9"/>
        <v>406913</v>
      </c>
      <c r="H34" s="12">
        <f t="shared" si="9"/>
        <v>479358</v>
      </c>
      <c r="I34" s="12">
        <f t="shared" si="9"/>
        <v>400621</v>
      </c>
      <c r="J34" s="12">
        <f t="shared" si="9"/>
        <v>418343</v>
      </c>
      <c r="K34" s="12">
        <f t="shared" si="9"/>
        <v>461407</v>
      </c>
      <c r="L34" s="12">
        <f t="shared" si="9"/>
        <v>407466</v>
      </c>
      <c r="M34" s="12">
        <f t="shared" si="9"/>
        <v>476516.5978416474</v>
      </c>
      <c r="N34" s="12">
        <f t="shared" si="9"/>
        <v>5311816.5978416475</v>
      </c>
    </row>
    <row r="35" spans="1:14" s="129" customFormat="1"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</row>
    <row r="36" spans="1:14" s="129" customFormat="1" ht="18" hidden="1" customHeight="1" outlineLevel="1">
      <c r="A36" s="154" t="s">
        <v>44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6"/>
    </row>
    <row r="37" spans="1:14" s="129" customFormat="1" ht="12.75" hidden="1" customHeight="1" outlineLevel="1">
      <c r="A37" s="156" t="s">
        <v>45</v>
      </c>
      <c r="B37" s="101">
        <v>699887</v>
      </c>
      <c r="C37" s="101">
        <v>609031</v>
      </c>
      <c r="D37" s="101">
        <v>689724</v>
      </c>
      <c r="E37" s="101">
        <v>914242</v>
      </c>
      <c r="F37" s="101">
        <v>643270</v>
      </c>
      <c r="G37" s="108">
        <v>667513</v>
      </c>
      <c r="H37" s="108">
        <v>646418</v>
      </c>
      <c r="I37" s="108">
        <v>615263</v>
      </c>
      <c r="J37" s="108">
        <v>620951</v>
      </c>
      <c r="K37" s="108">
        <v>672522</v>
      </c>
      <c r="L37" s="101">
        <v>611093</v>
      </c>
      <c r="M37" s="101">
        <v>781957.93117498083</v>
      </c>
      <c r="N37" s="157">
        <f>SUM(B37:M37)</f>
        <v>8171871.9311749805</v>
      </c>
    </row>
    <row r="38" spans="1:14" s="129" customFormat="1" ht="12.75" hidden="1" customHeight="1" outlineLevel="1">
      <c r="A38" s="129" t="s">
        <v>46</v>
      </c>
      <c r="B38" s="150">
        <f t="shared" ref="B38:M38" si="10">-B34</f>
        <v>-431516</v>
      </c>
      <c r="C38" s="150">
        <f t="shared" si="10"/>
        <v>-466646</v>
      </c>
      <c r="D38" s="150">
        <f t="shared" si="10"/>
        <v>-459724</v>
      </c>
      <c r="E38" s="150">
        <f t="shared" si="10"/>
        <v>-495229</v>
      </c>
      <c r="F38" s="150">
        <f t="shared" si="10"/>
        <v>-408077</v>
      </c>
      <c r="G38" s="150">
        <f t="shared" si="10"/>
        <v>-406913</v>
      </c>
      <c r="H38" s="150">
        <f t="shared" si="10"/>
        <v>-479358</v>
      </c>
      <c r="I38" s="150">
        <f t="shared" si="10"/>
        <v>-400621</v>
      </c>
      <c r="J38" s="150">
        <f t="shared" si="10"/>
        <v>-418343</v>
      </c>
      <c r="K38" s="150">
        <f t="shared" si="10"/>
        <v>-461407</v>
      </c>
      <c r="L38" s="150">
        <f t="shared" si="10"/>
        <v>-407466</v>
      </c>
      <c r="M38" s="150">
        <f t="shared" si="10"/>
        <v>-476516.5978416474</v>
      </c>
      <c r="N38" s="150">
        <f>SUM(B38:M38)</f>
        <v>-5311816.5978416475</v>
      </c>
    </row>
    <row r="39" spans="1:14" s="129" customFormat="1" ht="12.75" hidden="1" customHeight="1" outlineLevel="1">
      <c r="A39" s="156" t="s">
        <v>47</v>
      </c>
      <c r="B39" s="109">
        <v>-77387</v>
      </c>
      <c r="C39" s="109">
        <v>-79108</v>
      </c>
      <c r="D39" s="109">
        <v>-79051</v>
      </c>
      <c r="E39" s="109">
        <v>-77816</v>
      </c>
      <c r="F39" s="109">
        <v>-77648</v>
      </c>
      <c r="G39" s="109">
        <v>-77648</v>
      </c>
      <c r="H39" s="109">
        <v>-77648</v>
      </c>
      <c r="I39" s="109">
        <v>-77648</v>
      </c>
      <c r="J39" s="109">
        <v>-77648</v>
      </c>
      <c r="K39" s="109">
        <v>-77648</v>
      </c>
      <c r="L39" s="109">
        <v>-77648</v>
      </c>
      <c r="M39" s="109">
        <v>-74530</v>
      </c>
      <c r="N39" s="157">
        <f>SUM(B39:M39)</f>
        <v>-931428</v>
      </c>
    </row>
    <row r="40" spans="1:14" s="129" customFormat="1" ht="12.75" hidden="1" customHeight="1" outlineLevel="1">
      <c r="A40" s="156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57">
        <f>SUM(B40:M40)</f>
        <v>-85340</v>
      </c>
    </row>
    <row r="41" spans="1:14" s="129" customFormat="1" ht="12.75" hidden="1" customHeight="1" outlineLevel="1">
      <c r="A41" s="156" t="s">
        <v>48</v>
      </c>
      <c r="B41" s="110">
        <v>-3350</v>
      </c>
      <c r="C41" s="110">
        <v>-3350</v>
      </c>
      <c r="D41" s="110">
        <v>-3350</v>
      </c>
      <c r="E41" s="110">
        <v>-3350</v>
      </c>
      <c r="F41" s="110">
        <v>-3350</v>
      </c>
      <c r="G41" s="110">
        <v>-8350</v>
      </c>
      <c r="H41" s="110">
        <v>-3350</v>
      </c>
      <c r="I41" s="110">
        <v>-3350</v>
      </c>
      <c r="J41" s="110">
        <v>-3350</v>
      </c>
      <c r="K41" s="110">
        <v>-3350</v>
      </c>
      <c r="L41" s="110">
        <v>-3350</v>
      </c>
      <c r="M41" s="110">
        <v>-47350</v>
      </c>
      <c r="N41" s="155">
        <f>SUM(B41:M41)</f>
        <v>-89200</v>
      </c>
    </row>
    <row r="42" spans="1:14" s="129" customFormat="1" collapsed="1">
      <c r="A42" s="151" t="s">
        <v>49</v>
      </c>
      <c r="B42" s="12">
        <f t="shared" ref="B42:N42" si="11">SUM(B37:B41)</f>
        <v>180027</v>
      </c>
      <c r="C42" s="12">
        <f t="shared" si="11"/>
        <v>52320</v>
      </c>
      <c r="D42" s="12">
        <f t="shared" si="11"/>
        <v>139992</v>
      </c>
      <c r="E42" s="12">
        <f t="shared" si="11"/>
        <v>330625</v>
      </c>
      <c r="F42" s="12">
        <f t="shared" si="11"/>
        <v>146973</v>
      </c>
      <c r="G42" s="12">
        <f t="shared" si="11"/>
        <v>167463</v>
      </c>
      <c r="H42" s="12">
        <f t="shared" si="11"/>
        <v>78923</v>
      </c>
      <c r="I42" s="12">
        <f t="shared" si="11"/>
        <v>126776</v>
      </c>
      <c r="J42" s="12">
        <f t="shared" si="11"/>
        <v>114742</v>
      </c>
      <c r="K42" s="12">
        <f t="shared" si="11"/>
        <v>123249</v>
      </c>
      <c r="L42" s="12">
        <f t="shared" si="11"/>
        <v>115864</v>
      </c>
      <c r="M42" s="12">
        <f t="shared" si="11"/>
        <v>177133.33333333343</v>
      </c>
      <c r="N42" s="12">
        <f t="shared" si="11"/>
        <v>1754087.333333333</v>
      </c>
    </row>
    <row r="43" spans="1:14">
      <c r="A43" s="136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54" t="s">
        <v>50</v>
      </c>
      <c r="B44" s="110">
        <v>234703</v>
      </c>
      <c r="C44" s="111">
        <v>219113</v>
      </c>
      <c r="D44" s="111">
        <v>210081</v>
      </c>
      <c r="E44" s="111">
        <v>259750</v>
      </c>
      <c r="F44" s="111">
        <v>-183271</v>
      </c>
      <c r="G44" s="111">
        <v>211175</v>
      </c>
      <c r="H44" s="111">
        <v>247477</v>
      </c>
      <c r="I44" s="111">
        <v>217202</v>
      </c>
      <c r="J44" s="111">
        <v>225320</v>
      </c>
      <c r="K44" s="111">
        <v>242086</v>
      </c>
      <c r="L44" s="111">
        <v>213156</v>
      </c>
      <c r="M44" s="111">
        <v>-130463</v>
      </c>
      <c r="N44" s="126">
        <f>SUM(B44:M44)</f>
        <v>1966329</v>
      </c>
    </row>
    <row r="45" spans="1:14" s="129" customFormat="1" hidden="1" outlineLevel="1">
      <c r="A45" s="129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</row>
    <row r="46" spans="1:14" collapsed="1">
      <c r="A46" s="136" t="s">
        <v>50</v>
      </c>
      <c r="B46" s="12">
        <f t="shared" ref="B46:N46" si="12">SUM(B44:B45)</f>
        <v>234703</v>
      </c>
      <c r="C46" s="12">
        <f t="shared" si="12"/>
        <v>219113</v>
      </c>
      <c r="D46" s="12">
        <f t="shared" si="12"/>
        <v>210081</v>
      </c>
      <c r="E46" s="12">
        <f t="shared" si="12"/>
        <v>259750</v>
      </c>
      <c r="F46" s="12">
        <f t="shared" si="12"/>
        <v>-183271</v>
      </c>
      <c r="G46" s="12">
        <f t="shared" si="12"/>
        <v>211175</v>
      </c>
      <c r="H46" s="12">
        <f t="shared" si="12"/>
        <v>247477</v>
      </c>
      <c r="I46" s="12">
        <f t="shared" si="12"/>
        <v>217202</v>
      </c>
      <c r="J46" s="12">
        <f t="shared" si="12"/>
        <v>225320</v>
      </c>
      <c r="K46" s="12">
        <f t="shared" si="12"/>
        <v>242086</v>
      </c>
      <c r="L46" s="12">
        <f t="shared" si="12"/>
        <v>213156</v>
      </c>
      <c r="M46" s="12">
        <f t="shared" si="12"/>
        <v>-130463</v>
      </c>
      <c r="N46" s="12">
        <f t="shared" si="12"/>
        <v>1966329</v>
      </c>
    </row>
    <row r="47" spans="1:14"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29"/>
      <c r="M47" s="129"/>
      <c r="N47" s="129"/>
    </row>
    <row r="48" spans="1:14">
      <c r="A48" s="151" t="s">
        <v>52</v>
      </c>
      <c r="B48" s="19">
        <f t="shared" ref="B48:N48" si="13">+B20+B34+B42+B46</f>
        <v>1183060</v>
      </c>
      <c r="C48" s="19">
        <f t="shared" si="13"/>
        <v>2346242</v>
      </c>
      <c r="D48" s="19">
        <f t="shared" si="13"/>
        <v>1348540</v>
      </c>
      <c r="E48" s="19">
        <f t="shared" si="13"/>
        <v>1419238</v>
      </c>
      <c r="F48" s="19">
        <f t="shared" si="13"/>
        <v>537589</v>
      </c>
      <c r="G48" s="19">
        <f t="shared" si="13"/>
        <v>1031828</v>
      </c>
      <c r="H48" s="19">
        <f t="shared" si="13"/>
        <v>1720965</v>
      </c>
      <c r="I48" s="19">
        <f t="shared" si="13"/>
        <v>1099941</v>
      </c>
      <c r="J48" s="19">
        <f t="shared" si="13"/>
        <v>1250759</v>
      </c>
      <c r="K48" s="19">
        <f t="shared" si="13"/>
        <v>1470321</v>
      </c>
      <c r="L48" s="19">
        <f t="shared" si="13"/>
        <v>1071060</v>
      </c>
      <c r="M48" s="19">
        <f t="shared" si="13"/>
        <v>955056.93117498094</v>
      </c>
      <c r="N48" s="19">
        <f t="shared" si="13"/>
        <v>15434599.931174979</v>
      </c>
    </row>
    <row r="49" spans="1:21"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29"/>
      <c r="M49" s="129"/>
      <c r="N49" s="129"/>
    </row>
    <row r="50" spans="1:21">
      <c r="A50" s="136" t="s">
        <v>53</v>
      </c>
      <c r="B50" s="12">
        <f t="shared" ref="B50:M50" si="14">+B13-B48</f>
        <v>-506413</v>
      </c>
      <c r="C50" s="12">
        <f t="shared" si="14"/>
        <v>-77458</v>
      </c>
      <c r="D50" s="12">
        <f t="shared" si="14"/>
        <v>-284731</v>
      </c>
      <c r="E50" s="12">
        <f t="shared" si="14"/>
        <v>-706429</v>
      </c>
      <c r="F50" s="12">
        <f t="shared" si="14"/>
        <v>-69747</v>
      </c>
      <c r="G50" s="12">
        <f t="shared" si="14"/>
        <v>-517423</v>
      </c>
      <c r="H50" s="12">
        <f t="shared" si="14"/>
        <v>-225152</v>
      </c>
      <c r="I50" s="12">
        <f t="shared" si="14"/>
        <v>-354652</v>
      </c>
      <c r="J50" s="12">
        <f t="shared" si="14"/>
        <v>-219057</v>
      </c>
      <c r="K50" s="12">
        <f t="shared" si="14"/>
        <v>-422259</v>
      </c>
      <c r="L50" s="12">
        <f t="shared" si="14"/>
        <v>-201822</v>
      </c>
      <c r="M50" s="12">
        <f t="shared" si="14"/>
        <v>68439.068825019058</v>
      </c>
      <c r="N50" s="12">
        <f>SUM(B50:M50)</f>
        <v>-3516703.9311749809</v>
      </c>
    </row>
    <row r="51" spans="1:21" ht="7.5" customHeight="1"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29"/>
      <c r="M51" s="129"/>
      <c r="N51" s="129"/>
    </row>
    <row r="52" spans="1:21">
      <c r="A52" s="136" t="s">
        <v>54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0"/>
      <c r="L52" s="129"/>
      <c r="M52" s="129"/>
      <c r="N52" s="129"/>
    </row>
    <row r="53" spans="1:21" s="129" customFormat="1">
      <c r="A53" s="129" t="s">
        <v>55</v>
      </c>
      <c r="B53" s="10">
        <v>7040</v>
      </c>
      <c r="C53" s="10">
        <v>107140</v>
      </c>
      <c r="D53" s="10">
        <v>2541</v>
      </c>
      <c r="E53" s="10">
        <v>42587</v>
      </c>
      <c r="F53" s="10">
        <v>7284</v>
      </c>
      <c r="G53" s="10">
        <v>970</v>
      </c>
      <c r="H53" s="23">
        <v>8623</v>
      </c>
      <c r="I53" s="10">
        <v>2438</v>
      </c>
      <c r="J53" s="10">
        <v>40383</v>
      </c>
      <c r="K53" s="10">
        <v>262</v>
      </c>
      <c r="L53" s="10">
        <v>3327</v>
      </c>
      <c r="M53" s="10">
        <v>261000</v>
      </c>
      <c r="N53" s="10">
        <f>SUM(B53:M53)</f>
        <v>483595</v>
      </c>
      <c r="U53" s="153"/>
    </row>
    <row r="54" spans="1:21" s="129" customFormat="1">
      <c r="A54" s="129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95000</v>
      </c>
    </row>
    <row r="55" spans="1:21" s="129" customFormat="1">
      <c r="A55" s="129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>SUM(B55:M55)</f>
        <v>380402</v>
      </c>
    </row>
    <row r="56" spans="1:21" s="129" customFormat="1">
      <c r="A56" s="152" t="s">
        <v>58</v>
      </c>
      <c r="B56" s="150">
        <v>-19539</v>
      </c>
      <c r="C56" s="150">
        <v>-18488</v>
      </c>
      <c r="D56" s="150">
        <v>-23302</v>
      </c>
      <c r="E56" s="150">
        <v>-10141</v>
      </c>
      <c r="F56" s="150">
        <v>-16697</v>
      </c>
      <c r="G56" s="150">
        <v>-50933</v>
      </c>
      <c r="H56" s="150">
        <v>-10065</v>
      </c>
      <c r="I56" s="150">
        <v>-10991</v>
      </c>
      <c r="J56" s="150">
        <v>-15469</v>
      </c>
      <c r="K56" s="150">
        <v>-10418</v>
      </c>
      <c r="L56" s="150">
        <v>-11468</v>
      </c>
      <c r="M56" s="150">
        <v>-15000</v>
      </c>
      <c r="N56" s="150">
        <f>SUM(B56:M56)</f>
        <v>-212511</v>
      </c>
    </row>
    <row r="57" spans="1:21" s="129" customFormat="1">
      <c r="A57" s="129" t="s">
        <v>134</v>
      </c>
      <c r="B57" s="22">
        <v>-463884</v>
      </c>
      <c r="C57" s="150">
        <v>-487459</v>
      </c>
      <c r="D57" s="150">
        <v>231583</v>
      </c>
      <c r="E57" s="150">
        <v>139067</v>
      </c>
      <c r="F57" s="150">
        <v>-1068714</v>
      </c>
      <c r="G57" s="150">
        <v>-344647</v>
      </c>
      <c r="H57" s="150">
        <v>35870</v>
      </c>
      <c r="I57" s="150">
        <v>-241094</v>
      </c>
      <c r="J57" s="150">
        <v>-105473</v>
      </c>
      <c r="K57" s="150">
        <v>-334684</v>
      </c>
      <c r="L57" s="150">
        <v>-71471</v>
      </c>
      <c r="M57" s="150">
        <v>-15000</v>
      </c>
      <c r="N57" s="22">
        <f>SUM(B57:M57)</f>
        <v>-2725906</v>
      </c>
    </row>
    <row r="58" spans="1:21" s="129" customFormat="1">
      <c r="A58" s="151" t="s">
        <v>60</v>
      </c>
      <c r="B58" s="19">
        <f t="shared" ref="B58:N58" si="15">SUM(B53:B57)</f>
        <v>-95981</v>
      </c>
      <c r="C58" s="19">
        <f t="shared" si="15"/>
        <v>-398807</v>
      </c>
      <c r="D58" s="19">
        <f t="shared" si="15"/>
        <v>210822</v>
      </c>
      <c r="E58" s="19">
        <f t="shared" si="15"/>
        <v>171513</v>
      </c>
      <c r="F58" s="19">
        <f t="shared" si="15"/>
        <v>-983127</v>
      </c>
      <c r="G58" s="19">
        <f t="shared" si="15"/>
        <v>-394610</v>
      </c>
      <c r="H58" s="19">
        <f t="shared" si="15"/>
        <v>34428</v>
      </c>
      <c r="I58" s="19">
        <f t="shared" si="15"/>
        <v>-249647</v>
      </c>
      <c r="J58" s="19">
        <f t="shared" si="15"/>
        <v>-80559</v>
      </c>
      <c r="K58" s="19">
        <f t="shared" si="15"/>
        <v>-344840</v>
      </c>
      <c r="L58" s="19">
        <f t="shared" si="15"/>
        <v>-79612</v>
      </c>
      <c r="M58" s="19">
        <f t="shared" si="15"/>
        <v>231000</v>
      </c>
      <c r="N58" s="19">
        <f t="shared" si="15"/>
        <v>-1979420</v>
      </c>
    </row>
    <row r="59" spans="1:21"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</row>
    <row r="60" spans="1:21">
      <c r="A60" s="136" t="s">
        <v>61</v>
      </c>
      <c r="B60" s="12">
        <v>15210291</v>
      </c>
      <c r="C60" s="150"/>
      <c r="D60" s="150"/>
      <c r="E60" s="150"/>
      <c r="F60" s="150"/>
      <c r="G60" s="150"/>
      <c r="H60" s="150" t="s">
        <v>38</v>
      </c>
      <c r="I60" s="150"/>
      <c r="J60" s="150"/>
      <c r="K60" s="150"/>
      <c r="L60" s="129"/>
      <c r="M60" s="129"/>
      <c r="N60" s="129"/>
    </row>
    <row r="61" spans="1:21">
      <c r="A61" s="151" t="s">
        <v>62</v>
      </c>
      <c r="B61" s="19">
        <f t="shared" ref="B61:N61" si="16">+B58+B48</f>
        <v>1087079</v>
      </c>
      <c r="C61" s="19">
        <f t="shared" si="16"/>
        <v>1947435</v>
      </c>
      <c r="D61" s="19">
        <f t="shared" si="16"/>
        <v>1559362</v>
      </c>
      <c r="E61" s="19">
        <f t="shared" si="16"/>
        <v>1590751</v>
      </c>
      <c r="F61" s="19">
        <f t="shared" si="16"/>
        <v>-445538</v>
      </c>
      <c r="G61" s="19">
        <f t="shared" si="16"/>
        <v>637218</v>
      </c>
      <c r="H61" s="19">
        <f t="shared" si="16"/>
        <v>1755393</v>
      </c>
      <c r="I61" s="19">
        <f t="shared" si="16"/>
        <v>850294</v>
      </c>
      <c r="J61" s="19">
        <f t="shared" si="16"/>
        <v>1170200</v>
      </c>
      <c r="K61" s="19">
        <f t="shared" si="16"/>
        <v>1125481</v>
      </c>
      <c r="L61" s="19">
        <f t="shared" si="16"/>
        <v>991448</v>
      </c>
      <c r="M61" s="19">
        <f t="shared" si="16"/>
        <v>1186056.9311749809</v>
      </c>
      <c r="N61" s="19">
        <f t="shared" si="16"/>
        <v>13455179.931174979</v>
      </c>
    </row>
    <row r="62" spans="1:21" ht="13.5" thickBot="1">
      <c r="A62" s="151" t="s">
        <v>63</v>
      </c>
      <c r="B62" s="14">
        <f t="shared" ref="B62:N62" si="17">+B13-B61</f>
        <v>-410432</v>
      </c>
      <c r="C62" s="14">
        <f t="shared" si="17"/>
        <v>321349</v>
      </c>
      <c r="D62" s="14">
        <f t="shared" si="17"/>
        <v>-495553</v>
      </c>
      <c r="E62" s="14">
        <f t="shared" si="17"/>
        <v>-877942</v>
      </c>
      <c r="F62" s="14">
        <f t="shared" si="17"/>
        <v>913380</v>
      </c>
      <c r="G62" s="14">
        <f t="shared" si="17"/>
        <v>-122813</v>
      </c>
      <c r="H62" s="14">
        <f t="shared" si="17"/>
        <v>-259580</v>
      </c>
      <c r="I62" s="14">
        <f t="shared" si="17"/>
        <v>-105005</v>
      </c>
      <c r="J62" s="14">
        <f t="shared" si="17"/>
        <v>-138498</v>
      </c>
      <c r="K62" s="14">
        <f t="shared" si="17"/>
        <v>-77419</v>
      </c>
      <c r="L62" s="14">
        <f t="shared" si="17"/>
        <v>-122210</v>
      </c>
      <c r="M62" s="14">
        <f t="shared" si="17"/>
        <v>-162560.93117498094</v>
      </c>
      <c r="N62" s="14">
        <f t="shared" si="17"/>
        <v>-1537283.9311749786</v>
      </c>
    </row>
    <row r="63" spans="1:21" s="129" customFormat="1" ht="13.5" thickTop="1">
      <c r="A63" s="151" t="s">
        <v>64</v>
      </c>
      <c r="B63" s="12">
        <f>+B62</f>
        <v>-410432</v>
      </c>
      <c r="C63" s="12">
        <f t="shared" ref="C63:M63" si="18">B63+C62</f>
        <v>-89083</v>
      </c>
      <c r="D63" s="12">
        <f t="shared" si="18"/>
        <v>-584636</v>
      </c>
      <c r="E63" s="12">
        <f t="shared" si="18"/>
        <v>-1462578</v>
      </c>
      <c r="F63" s="12">
        <f t="shared" si="18"/>
        <v>-549198</v>
      </c>
      <c r="G63" s="12">
        <f t="shared" si="18"/>
        <v>-672011</v>
      </c>
      <c r="H63" s="12">
        <f t="shared" si="18"/>
        <v>-931591</v>
      </c>
      <c r="I63" s="12">
        <f t="shared" si="18"/>
        <v>-1036596</v>
      </c>
      <c r="J63" s="12">
        <f t="shared" si="18"/>
        <v>-1175094</v>
      </c>
      <c r="K63" s="12">
        <f t="shared" si="18"/>
        <v>-1252513</v>
      </c>
      <c r="L63" s="12">
        <f t="shared" si="18"/>
        <v>-1374723</v>
      </c>
      <c r="M63" s="12">
        <f t="shared" si="18"/>
        <v>-1537283.9311749809</v>
      </c>
      <c r="N63" s="12"/>
    </row>
    <row r="64" spans="1:21">
      <c r="A64" s="151" t="s">
        <v>65</v>
      </c>
      <c r="B64" s="12">
        <f t="shared" ref="B64:M64" si="19">+$B$60+B63</f>
        <v>14799859</v>
      </c>
      <c r="C64" s="12">
        <f t="shared" si="19"/>
        <v>15121208</v>
      </c>
      <c r="D64" s="12">
        <f t="shared" si="19"/>
        <v>14625655</v>
      </c>
      <c r="E64" s="12">
        <f t="shared" si="19"/>
        <v>13747713</v>
      </c>
      <c r="F64" s="12">
        <f t="shared" si="19"/>
        <v>14661093</v>
      </c>
      <c r="G64" s="12">
        <f t="shared" si="19"/>
        <v>14538280</v>
      </c>
      <c r="H64" s="12">
        <f t="shared" si="19"/>
        <v>14278700</v>
      </c>
      <c r="I64" s="12">
        <f t="shared" si="19"/>
        <v>14173695</v>
      </c>
      <c r="J64" s="12">
        <f t="shared" si="19"/>
        <v>14035197</v>
      </c>
      <c r="K64" s="12">
        <f t="shared" si="19"/>
        <v>13957778</v>
      </c>
      <c r="L64" s="12">
        <f t="shared" si="19"/>
        <v>13835568</v>
      </c>
      <c r="M64" s="12">
        <f t="shared" si="19"/>
        <v>13673007.06882502</v>
      </c>
      <c r="N64" s="12"/>
    </row>
    <row r="65" spans="1:14">
      <c r="A65" s="129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29"/>
      <c r="M65" s="129"/>
      <c r="N65" s="129"/>
    </row>
    <row r="66" spans="1:14" s="129" customFormat="1">
      <c r="A66" s="149" t="s">
        <v>141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7"/>
    </row>
    <row r="67" spans="1:14" ht="13.5" thickBot="1">
      <c r="A67" s="141" t="s">
        <v>67</v>
      </c>
      <c r="B67" s="30">
        <v>-1206184.54570327</v>
      </c>
      <c r="C67" s="30">
        <v>-91236.09179938212</v>
      </c>
      <c r="D67" s="30">
        <v>-21884.721865982749</v>
      </c>
      <c r="E67" s="30">
        <v>-419084.90535577014</v>
      </c>
      <c r="F67" s="30">
        <v>-533603.18347677123</v>
      </c>
      <c r="G67" s="30">
        <v>-353332.60886835586</v>
      </c>
      <c r="H67" s="30">
        <v>-728137.69195192121</v>
      </c>
      <c r="I67" s="30">
        <v>-189749.94115324598</v>
      </c>
      <c r="J67" s="30">
        <v>-116329.26442024577</v>
      </c>
      <c r="K67" s="30">
        <v>-454940.62012809888</v>
      </c>
      <c r="L67" s="30">
        <v>-374500.46593584586</v>
      </c>
      <c r="M67" s="30">
        <v>-162560.93117498094</v>
      </c>
      <c r="N67" s="124"/>
    </row>
    <row r="68" spans="1:14" ht="13.5" thickTop="1">
      <c r="A68" s="141" t="s">
        <v>64</v>
      </c>
      <c r="B68" s="31">
        <f>+B67</f>
        <v>-1206184.54570327</v>
      </c>
      <c r="C68" s="31">
        <f t="shared" ref="C68:M68" si="20">+B68+C67</f>
        <v>-1297420.6375026521</v>
      </c>
      <c r="D68" s="31">
        <f t="shared" si="20"/>
        <v>-1319305.3593686349</v>
      </c>
      <c r="E68" s="31">
        <f t="shared" si="20"/>
        <v>-1738390.264724405</v>
      </c>
      <c r="F68" s="31">
        <f t="shared" si="20"/>
        <v>-2271993.4482011762</v>
      </c>
      <c r="G68" s="31">
        <f t="shared" si="20"/>
        <v>-2625326.0570695321</v>
      </c>
      <c r="H68" s="31">
        <f t="shared" si="20"/>
        <v>-3353463.7490214533</v>
      </c>
      <c r="I68" s="31">
        <f t="shared" si="20"/>
        <v>-3543213.6901746993</v>
      </c>
      <c r="J68" s="31">
        <f t="shared" si="20"/>
        <v>-3659542.9545949451</v>
      </c>
      <c r="K68" s="31">
        <f t="shared" si="20"/>
        <v>-4114483.5747230439</v>
      </c>
      <c r="L68" s="31">
        <f t="shared" si="20"/>
        <v>-4488984.0406588893</v>
      </c>
      <c r="M68" s="31">
        <f t="shared" si="20"/>
        <v>-4651544.9718338698</v>
      </c>
      <c r="N68" s="125"/>
    </row>
    <row r="69" spans="1:14">
      <c r="A69" s="141" t="s">
        <v>65</v>
      </c>
      <c r="B69" s="16">
        <f>+B60+B68</f>
        <v>14004106.45429673</v>
      </c>
      <c r="C69" s="16">
        <f t="shared" ref="C69:M69" si="21">+B69+C67</f>
        <v>13912870.362497348</v>
      </c>
      <c r="D69" s="16">
        <f t="shared" si="21"/>
        <v>13890985.640631367</v>
      </c>
      <c r="E69" s="16">
        <f t="shared" si="21"/>
        <v>13471900.735275596</v>
      </c>
      <c r="F69" s="16">
        <f t="shared" si="21"/>
        <v>12938297.551798824</v>
      </c>
      <c r="G69" s="16">
        <f t="shared" si="21"/>
        <v>12584964.942930467</v>
      </c>
      <c r="H69" s="16">
        <f t="shared" si="21"/>
        <v>11856827.250978546</v>
      </c>
      <c r="I69" s="16">
        <f t="shared" si="21"/>
        <v>11667077.309825301</v>
      </c>
      <c r="J69" s="16">
        <f t="shared" si="21"/>
        <v>11550748.045405056</v>
      </c>
      <c r="K69" s="16">
        <f t="shared" si="21"/>
        <v>11095807.425276957</v>
      </c>
      <c r="L69" s="16">
        <f t="shared" si="21"/>
        <v>10721306.959341113</v>
      </c>
      <c r="M69" s="16">
        <f t="shared" si="21"/>
        <v>10558746.028166132</v>
      </c>
      <c r="N69" s="116"/>
    </row>
    <row r="70" spans="1:14">
      <c r="A70" s="146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45"/>
    </row>
    <row r="71" spans="1:14">
      <c r="A71" s="144" t="s">
        <v>68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2"/>
    </row>
    <row r="72" spans="1:14">
      <c r="A72" s="141" t="s">
        <v>63</v>
      </c>
      <c r="B72" s="31">
        <f t="shared" ref="B72:M72" si="22">+B62-B67</f>
        <v>795752.54570327001</v>
      </c>
      <c r="C72" s="31">
        <f t="shared" si="22"/>
        <v>412585.09179938212</v>
      </c>
      <c r="D72" s="31">
        <f t="shared" si="22"/>
        <v>-473668.27813401725</v>
      </c>
      <c r="E72" s="31">
        <f t="shared" si="22"/>
        <v>-458857.09464422986</v>
      </c>
      <c r="F72" s="31">
        <f t="shared" si="22"/>
        <v>1446983.1834767712</v>
      </c>
      <c r="G72" s="31">
        <f t="shared" si="22"/>
        <v>230519.60886835586</v>
      </c>
      <c r="H72" s="31">
        <f t="shared" si="22"/>
        <v>468557.69195192121</v>
      </c>
      <c r="I72" s="31">
        <f t="shared" si="22"/>
        <v>84744.941153245978</v>
      </c>
      <c r="J72" s="31">
        <f t="shared" si="22"/>
        <v>-22168.735579754226</v>
      </c>
      <c r="K72" s="31">
        <f t="shared" si="22"/>
        <v>377521.62012809888</v>
      </c>
      <c r="L72" s="31">
        <f t="shared" si="22"/>
        <v>252290.46593584586</v>
      </c>
      <c r="M72" s="31">
        <f t="shared" si="22"/>
        <v>0</v>
      </c>
      <c r="N72" s="125"/>
    </row>
    <row r="73" spans="1:14" s="129" customFormat="1">
      <c r="A73" s="141" t="s">
        <v>64</v>
      </c>
      <c r="B73" s="31">
        <f t="shared" ref="B73:M73" si="23">+B63-B68</f>
        <v>795752.54570327001</v>
      </c>
      <c r="C73" s="31">
        <f t="shared" si="23"/>
        <v>1208337.6375026521</v>
      </c>
      <c r="D73" s="31">
        <f t="shared" si="23"/>
        <v>734669.35936863488</v>
      </c>
      <c r="E73" s="31">
        <f t="shared" si="23"/>
        <v>275812.26472440502</v>
      </c>
      <c r="F73" s="31">
        <f t="shared" si="23"/>
        <v>1722795.4482011762</v>
      </c>
      <c r="G73" s="31">
        <f t="shared" si="23"/>
        <v>1953315.0570695321</v>
      </c>
      <c r="H73" s="31">
        <f t="shared" si="23"/>
        <v>2421872.7490214533</v>
      </c>
      <c r="I73" s="31">
        <f t="shared" si="23"/>
        <v>2506617.6901746993</v>
      </c>
      <c r="J73" s="31">
        <f t="shared" si="23"/>
        <v>2484448.9545949451</v>
      </c>
      <c r="K73" s="31">
        <f t="shared" si="23"/>
        <v>2861970.5747230439</v>
      </c>
      <c r="L73" s="31">
        <f t="shared" si="23"/>
        <v>3114261.0406588893</v>
      </c>
      <c r="M73" s="31">
        <f t="shared" si="23"/>
        <v>3114261.0406588889</v>
      </c>
      <c r="N73" s="125">
        <f>+N63-N68</f>
        <v>0</v>
      </c>
    </row>
    <row r="74" spans="1:14">
      <c r="A74" s="140" t="s">
        <v>65</v>
      </c>
      <c r="B74" s="122">
        <f t="shared" ref="B74:M74" si="24">+B64-B69</f>
        <v>795752.54570326954</v>
      </c>
      <c r="C74" s="122">
        <f t="shared" si="24"/>
        <v>1208337.6375026517</v>
      </c>
      <c r="D74" s="122">
        <f t="shared" si="24"/>
        <v>734669.35936863348</v>
      </c>
      <c r="E74" s="122">
        <f t="shared" si="24"/>
        <v>275812.26472440362</v>
      </c>
      <c r="F74" s="122">
        <f t="shared" si="24"/>
        <v>1722795.4482011758</v>
      </c>
      <c r="G74" s="122">
        <f t="shared" si="24"/>
        <v>1953315.0570695326</v>
      </c>
      <c r="H74" s="122">
        <f t="shared" si="24"/>
        <v>2421872.7490214538</v>
      </c>
      <c r="I74" s="122">
        <f t="shared" si="24"/>
        <v>2506617.6901746988</v>
      </c>
      <c r="J74" s="122">
        <f t="shared" si="24"/>
        <v>2484448.9545949437</v>
      </c>
      <c r="K74" s="122">
        <f t="shared" si="24"/>
        <v>2861970.5747230425</v>
      </c>
      <c r="L74" s="122">
        <f t="shared" si="24"/>
        <v>3114261.0406588875</v>
      </c>
      <c r="M74" s="122">
        <f t="shared" si="24"/>
        <v>3114261.0406588875</v>
      </c>
      <c r="N74" s="123"/>
    </row>
    <row r="75" spans="1:14">
      <c r="B75" s="129"/>
      <c r="C75" s="129"/>
      <c r="E75" s="129"/>
      <c r="F75" s="129"/>
      <c r="H75" s="129"/>
      <c r="I75" s="129"/>
      <c r="J75" s="129"/>
      <c r="K75" s="129"/>
      <c r="L75" s="129"/>
      <c r="M75" s="129"/>
      <c r="N75" s="129"/>
    </row>
    <row r="76" spans="1:14">
      <c r="A76" s="136"/>
      <c r="B76" s="135"/>
      <c r="C76" s="134"/>
      <c r="D76" s="134"/>
      <c r="E76" s="134"/>
      <c r="F76" s="134"/>
      <c r="G76" s="138"/>
      <c r="H76" s="139"/>
      <c r="I76" s="137"/>
      <c r="J76" s="138"/>
      <c r="K76" s="138"/>
      <c r="L76" s="137"/>
    </row>
    <row r="77" spans="1:14">
      <c r="A77" s="136"/>
      <c r="B77" s="135"/>
      <c r="C77" s="134"/>
      <c r="D77" s="134"/>
      <c r="E77" s="134"/>
      <c r="F77" s="134"/>
      <c r="G77" s="138"/>
      <c r="H77" s="98"/>
      <c r="I77" s="99"/>
      <c r="J77" s="98"/>
      <c r="K77" s="98"/>
      <c r="L77" s="137"/>
    </row>
    <row r="78" spans="1:14">
      <c r="A78" s="136"/>
      <c r="B78" s="135"/>
      <c r="D78" s="134"/>
      <c r="E78" s="134"/>
      <c r="F78" s="134"/>
      <c r="H78" s="133"/>
      <c r="J78" s="129"/>
      <c r="K78" s="129"/>
    </row>
    <row r="79" spans="1:14">
      <c r="E79" s="129"/>
      <c r="H79" s="132"/>
      <c r="J79" s="129"/>
      <c r="K79" s="129"/>
      <c r="N79" s="131"/>
    </row>
    <row r="80" spans="1:14">
      <c r="E80" s="129"/>
      <c r="J80" s="129"/>
      <c r="K80" s="129"/>
    </row>
    <row r="84" spans="6:6">
      <c r="F84" s="130"/>
    </row>
    <row r="85" spans="6:6">
      <c r="F85" s="130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1:U85"/>
  <sheetViews>
    <sheetView showGridLines="0" zoomScaleNormal="100" workbookViewId="0"/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24</v>
      </c>
      <c r="K2" s="92" t="s">
        <v>24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476908</v>
      </c>
      <c r="C5" s="101">
        <v>2210992</v>
      </c>
      <c r="D5" s="101">
        <v>895797</v>
      </c>
      <c r="E5" s="101">
        <v>680181</v>
      </c>
      <c r="F5" s="101">
        <v>395507</v>
      </c>
      <c r="G5" s="101">
        <v>483547</v>
      </c>
      <c r="H5" s="101">
        <v>1462324</v>
      </c>
      <c r="I5" s="101">
        <v>546130</v>
      </c>
      <c r="J5" s="101">
        <v>813767</v>
      </c>
      <c r="K5" s="101">
        <v>1038673</v>
      </c>
      <c r="L5" s="101">
        <v>1070364</v>
      </c>
      <c r="M5" s="101">
        <v>738619</v>
      </c>
      <c r="N5" s="102">
        <f>SUM(B5:M5)</f>
        <v>10812809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57792</v>
      </c>
      <c r="D6" s="101">
        <v>168012</v>
      </c>
      <c r="E6" s="101">
        <v>32628</v>
      </c>
      <c r="F6" s="101">
        <v>72335</v>
      </c>
      <c r="G6" s="101">
        <v>30858</v>
      </c>
      <c r="H6" s="101">
        <v>33489</v>
      </c>
      <c r="I6" s="101">
        <v>199159</v>
      </c>
      <c r="J6" s="101">
        <v>217935</v>
      </c>
      <c r="K6" s="101">
        <v>9389</v>
      </c>
      <c r="L6" s="101">
        <v>58717</v>
      </c>
      <c r="M6" s="101">
        <v>284877</v>
      </c>
      <c r="N6" s="103">
        <f>SUM(B6:M6)</f>
        <v>1364930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1063809</v>
      </c>
      <c r="E9" s="12">
        <f t="shared" si="0"/>
        <v>712809</v>
      </c>
      <c r="F9" s="12">
        <f t="shared" si="0"/>
        <v>467842</v>
      </c>
      <c r="G9" s="12">
        <f t="shared" si="0"/>
        <v>514405</v>
      </c>
      <c r="H9" s="12">
        <f t="shared" si="0"/>
        <v>1495813</v>
      </c>
      <c r="I9" s="12">
        <f t="shared" si="0"/>
        <v>745289</v>
      </c>
      <c r="J9" s="12">
        <f t="shared" si="0"/>
        <v>1031702</v>
      </c>
      <c r="K9" s="12">
        <f t="shared" si="0"/>
        <v>1048062</v>
      </c>
      <c r="L9" s="12">
        <f t="shared" si="0"/>
        <v>1129081</v>
      </c>
      <c r="M9" s="12">
        <f t="shared" si="0"/>
        <v>1023496</v>
      </c>
      <c r="N9" s="12">
        <f t="shared" si="0"/>
        <v>12177739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2268784</v>
      </c>
      <c r="D13" s="14">
        <f t="shared" si="1"/>
        <v>1063809</v>
      </c>
      <c r="E13" s="14">
        <f t="shared" si="1"/>
        <v>712809</v>
      </c>
      <c r="F13" s="14">
        <f t="shared" si="1"/>
        <v>467842</v>
      </c>
      <c r="G13" s="14">
        <f t="shared" si="1"/>
        <v>514405</v>
      </c>
      <c r="H13" s="14">
        <f t="shared" si="1"/>
        <v>1495813</v>
      </c>
      <c r="I13" s="14">
        <f t="shared" si="1"/>
        <v>745289</v>
      </c>
      <c r="J13" s="14">
        <f t="shared" si="1"/>
        <v>1031702</v>
      </c>
      <c r="K13" s="14">
        <f t="shared" si="1"/>
        <v>1048062</v>
      </c>
      <c r="L13" s="14">
        <f t="shared" si="1"/>
        <v>1129081</v>
      </c>
      <c r="M13" s="14">
        <f t="shared" si="1"/>
        <v>1023496</v>
      </c>
      <c r="N13" s="14">
        <f t="shared" si="1"/>
        <v>12177739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1608163</v>
      </c>
      <c r="D16" s="101">
        <v>538743</v>
      </c>
      <c r="E16" s="101">
        <v>333634</v>
      </c>
      <c r="F16" s="101">
        <v>165810</v>
      </c>
      <c r="G16" s="101">
        <v>246277</v>
      </c>
      <c r="H16" s="101">
        <v>915207</v>
      </c>
      <c r="I16" s="101">
        <v>355342</v>
      </c>
      <c r="J16" s="101">
        <v>492354</v>
      </c>
      <c r="K16" s="101">
        <v>643579</v>
      </c>
      <c r="L16" s="101">
        <v>493571</v>
      </c>
      <c r="M16" s="101">
        <v>431870</v>
      </c>
      <c r="N16" s="103">
        <f>SUM(B16:M16)</f>
        <v>6561364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538743</v>
      </c>
      <c r="E20" s="12">
        <f t="shared" si="2"/>
        <v>333634</v>
      </c>
      <c r="F20" s="12">
        <f t="shared" si="2"/>
        <v>165810</v>
      </c>
      <c r="G20" s="12">
        <f t="shared" si="2"/>
        <v>246277</v>
      </c>
      <c r="H20" s="12">
        <f t="shared" si="2"/>
        <v>915207</v>
      </c>
      <c r="I20" s="12">
        <f t="shared" si="2"/>
        <v>355342</v>
      </c>
      <c r="J20" s="12">
        <f t="shared" si="2"/>
        <v>492354</v>
      </c>
      <c r="K20" s="12">
        <f t="shared" si="2"/>
        <v>643579</v>
      </c>
      <c r="L20" s="12">
        <f t="shared" si="2"/>
        <v>493571</v>
      </c>
      <c r="M20" s="12">
        <f t="shared" si="2"/>
        <v>431870</v>
      </c>
      <c r="N20" s="12">
        <f t="shared" si="2"/>
        <v>6561364</v>
      </c>
    </row>
    <row r="21" spans="1:14" s="6" customFormat="1" ht="13.5" hidden="1" customHeight="1" outlineLevel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4" s="6" customFormat="1" ht="17.25" hidden="1" customHeight="1" outlineLevel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s="6" customFormat="1" hidden="1" outlineLevel="1">
      <c r="A23" s="6" t="s">
        <v>37</v>
      </c>
      <c r="B23" s="7">
        <f t="shared" ref="B23:M26" si="3">+B5-B16</f>
        <v>140094</v>
      </c>
      <c r="C23" s="7">
        <f t="shared" si="3"/>
        <v>602829</v>
      </c>
      <c r="D23" s="7">
        <f t="shared" si="3"/>
        <v>357054</v>
      </c>
      <c r="E23" s="7">
        <f t="shared" si="3"/>
        <v>346547</v>
      </c>
      <c r="F23" s="7">
        <f t="shared" si="3"/>
        <v>229697</v>
      </c>
      <c r="G23" s="7">
        <f t="shared" si="3"/>
        <v>237270</v>
      </c>
      <c r="H23" s="7">
        <f>+H5-H16</f>
        <v>547117</v>
      </c>
      <c r="I23" s="7">
        <f t="shared" si="3"/>
        <v>190788</v>
      </c>
      <c r="J23" s="7">
        <f t="shared" si="3"/>
        <v>321413</v>
      </c>
      <c r="K23" s="7">
        <f t="shared" si="3"/>
        <v>395094</v>
      </c>
      <c r="L23" s="7">
        <f t="shared" si="3"/>
        <v>576793</v>
      </c>
      <c r="M23" s="7">
        <f t="shared" si="3"/>
        <v>306749</v>
      </c>
      <c r="N23" s="7">
        <f>SUM(B23:M23)</f>
        <v>4251445</v>
      </c>
    </row>
    <row r="24" spans="1:14" s="6" customFormat="1" hidden="1" outlineLevel="1">
      <c r="A24" s="6" t="s">
        <v>37</v>
      </c>
      <c r="B24" s="7">
        <f t="shared" si="3"/>
        <v>199739</v>
      </c>
      <c r="C24" s="7">
        <f t="shared" si="3"/>
        <v>57792</v>
      </c>
      <c r="D24" s="7">
        <f t="shared" si="3"/>
        <v>168012</v>
      </c>
      <c r="E24" s="7">
        <f t="shared" si="3"/>
        <v>32628</v>
      </c>
      <c r="F24" s="7">
        <f t="shared" si="3"/>
        <v>72335</v>
      </c>
      <c r="G24" s="7">
        <f t="shared" si="3"/>
        <v>30858</v>
      </c>
      <c r="H24" s="7">
        <f>+H6-H17</f>
        <v>33489</v>
      </c>
      <c r="I24" s="7">
        <f t="shared" si="3"/>
        <v>199159</v>
      </c>
      <c r="J24" s="7">
        <f t="shared" si="3"/>
        <v>217935</v>
      </c>
      <c r="K24" s="7">
        <f t="shared" si="3"/>
        <v>9389</v>
      </c>
      <c r="L24" s="7">
        <f t="shared" si="3"/>
        <v>58717</v>
      </c>
      <c r="M24" s="7">
        <f t="shared" si="3"/>
        <v>284877</v>
      </c>
      <c r="N24" s="7">
        <f>SUM(B24:M24)</f>
        <v>1364930</v>
      </c>
    </row>
    <row r="25" spans="1:14" s="6" customFormat="1" hidden="1" outlineLevel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14" s="6" customFormat="1" hidden="1" outlineLevel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660621</v>
      </c>
      <c r="D27" s="12">
        <f t="shared" si="4"/>
        <v>525066</v>
      </c>
      <c r="E27" s="12">
        <f t="shared" si="4"/>
        <v>379175</v>
      </c>
      <c r="F27" s="12">
        <f t="shared" si="4"/>
        <v>302032</v>
      </c>
      <c r="G27" s="12">
        <f t="shared" si="4"/>
        <v>268128</v>
      </c>
      <c r="H27" s="12">
        <f>SUM(H23:H26)</f>
        <v>580606</v>
      </c>
      <c r="I27" s="12">
        <f t="shared" si="4"/>
        <v>389947</v>
      </c>
      <c r="J27" s="12">
        <f t="shared" si="4"/>
        <v>539348</v>
      </c>
      <c r="K27" s="12">
        <f t="shared" si="4"/>
        <v>404483</v>
      </c>
      <c r="L27" s="12">
        <f t="shared" si="4"/>
        <v>635510</v>
      </c>
      <c r="M27" s="12">
        <f>SUM(M23:M26)</f>
        <v>591626</v>
      </c>
      <c r="N27" s="12">
        <f t="shared" si="4"/>
        <v>5616375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0.291178446251384</v>
      </c>
      <c r="D28" s="73">
        <f t="shared" si="5"/>
        <v>0.49357168439071297</v>
      </c>
      <c r="E28" s="73">
        <f t="shared" si="5"/>
        <v>0.53194474256077018</v>
      </c>
      <c r="F28" s="73">
        <f t="shared" si="5"/>
        <v>0.64558547543828904</v>
      </c>
      <c r="G28" s="73">
        <f t="shared" si="5"/>
        <v>0.52123910148618302</v>
      </c>
      <c r="H28" s="73">
        <f t="shared" si="5"/>
        <v>0.38815413424004203</v>
      </c>
      <c r="I28" s="73">
        <f t="shared" si="5"/>
        <v>0.52321582634387465</v>
      </c>
      <c r="J28" s="73">
        <f t="shared" si="5"/>
        <v>0.52277498735099859</v>
      </c>
      <c r="K28" s="73">
        <f t="shared" si="5"/>
        <v>0.38593422908186731</v>
      </c>
      <c r="L28" s="73">
        <f t="shared" si="5"/>
        <v>0.56285598641727208</v>
      </c>
      <c r="M28" s="73">
        <f t="shared" si="5"/>
        <v>0.5780442717900216</v>
      </c>
      <c r="N28" s="73">
        <f t="shared" ref="N28" si="6">+N27/N9</f>
        <v>0.46120014560995271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314680</v>
      </c>
      <c r="D30" s="101">
        <v>302225</v>
      </c>
      <c r="E30" s="101">
        <v>322845</v>
      </c>
      <c r="F30" s="101">
        <v>249775</v>
      </c>
      <c r="G30" s="101">
        <v>257345</v>
      </c>
      <c r="H30" s="101">
        <v>328486</v>
      </c>
      <c r="I30" s="101">
        <v>255263</v>
      </c>
      <c r="J30" s="101">
        <v>271184</v>
      </c>
      <c r="K30" s="101">
        <v>295171</v>
      </c>
      <c r="L30" s="101">
        <v>361457.1899586923</v>
      </c>
      <c r="M30" s="101">
        <v>309677.88845369231</v>
      </c>
      <c r="N30" s="103">
        <f>SUM(B30:M30)</f>
        <v>3545512.0784123847</v>
      </c>
    </row>
    <row r="31" spans="1:14" s="6" customFormat="1" hidden="1" outlineLevel="1">
      <c r="A31" s="100" t="s">
        <v>42</v>
      </c>
      <c r="B31" s="101">
        <v>154113</v>
      </c>
      <c r="C31" s="101">
        <v>151966</v>
      </c>
      <c r="D31" s="101">
        <v>157499</v>
      </c>
      <c r="E31" s="101">
        <v>172384</v>
      </c>
      <c r="F31" s="101">
        <v>158302</v>
      </c>
      <c r="G31" s="101">
        <v>149568</v>
      </c>
      <c r="H31" s="101">
        <v>150872</v>
      </c>
      <c r="I31" s="101">
        <v>145358</v>
      </c>
      <c r="J31" s="101">
        <v>147159</v>
      </c>
      <c r="K31" s="101">
        <v>166236</v>
      </c>
      <c r="L31" s="101">
        <v>165873.94264382005</v>
      </c>
      <c r="M31" s="101">
        <v>166838.70938795508</v>
      </c>
      <c r="N31" s="103">
        <f>SUM(B31:M31)</f>
        <v>1886169.6520317751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466646</v>
      </c>
      <c r="D34" s="12">
        <f t="shared" si="7"/>
        <v>459724</v>
      </c>
      <c r="E34" s="12">
        <f t="shared" si="7"/>
        <v>495229</v>
      </c>
      <c r="F34" s="12">
        <f t="shared" si="7"/>
        <v>408077</v>
      </c>
      <c r="G34" s="12">
        <f t="shared" si="7"/>
        <v>406913</v>
      </c>
      <c r="H34" s="12">
        <f t="shared" si="7"/>
        <v>479358</v>
      </c>
      <c r="I34" s="12">
        <f t="shared" si="7"/>
        <v>400621</v>
      </c>
      <c r="J34" s="12">
        <f t="shared" si="7"/>
        <v>418343</v>
      </c>
      <c r="K34" s="12">
        <f t="shared" si="7"/>
        <v>461407</v>
      </c>
      <c r="L34" s="12">
        <f t="shared" si="7"/>
        <v>527331.13260251237</v>
      </c>
      <c r="M34" s="12">
        <f t="shared" si="7"/>
        <v>476516.5978416474</v>
      </c>
      <c r="N34" s="12">
        <f t="shared" si="7"/>
        <v>5431681.7304441594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609031</v>
      </c>
      <c r="D37" s="101">
        <v>689724</v>
      </c>
      <c r="E37" s="101">
        <v>914242</v>
      </c>
      <c r="F37" s="101">
        <v>643270</v>
      </c>
      <c r="G37" s="108">
        <v>667513</v>
      </c>
      <c r="H37" s="108">
        <v>646418</v>
      </c>
      <c r="I37" s="108">
        <v>615263</v>
      </c>
      <c r="J37" s="108">
        <v>620951</v>
      </c>
      <c r="K37" s="108">
        <v>672522</v>
      </c>
      <c r="L37" s="101">
        <v>879113.46593584574</v>
      </c>
      <c r="M37" s="101">
        <v>781957.93117498083</v>
      </c>
      <c r="N37" s="103">
        <f>SUM(B37:M37)</f>
        <v>8439892.3971108273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-466646</v>
      </c>
      <c r="D38" s="7">
        <f t="shared" si="8"/>
        <v>-459724</v>
      </c>
      <c r="E38" s="7">
        <f t="shared" si="8"/>
        <v>-495229</v>
      </c>
      <c r="F38" s="7">
        <f t="shared" si="8"/>
        <v>-408077</v>
      </c>
      <c r="G38" s="7">
        <f t="shared" si="8"/>
        <v>-406913</v>
      </c>
      <c r="H38" s="7">
        <f>-H34</f>
        <v>-479358</v>
      </c>
      <c r="I38" s="7">
        <f t="shared" si="8"/>
        <v>-400621</v>
      </c>
      <c r="J38" s="7">
        <f t="shared" si="8"/>
        <v>-418343</v>
      </c>
      <c r="K38" s="7">
        <f t="shared" si="8"/>
        <v>-461407</v>
      </c>
      <c r="L38" s="7">
        <f t="shared" si="8"/>
        <v>-527331.13260251237</v>
      </c>
      <c r="M38" s="7">
        <f t="shared" si="8"/>
        <v>-476516.5978416474</v>
      </c>
      <c r="N38" s="7">
        <f>SUM(B38:M38)</f>
        <v>-5431681.7304441603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-79108</v>
      </c>
      <c r="D39" s="109">
        <v>-79051</v>
      </c>
      <c r="E39" s="109">
        <v>-77816</v>
      </c>
      <c r="F39" s="109">
        <v>-77648</v>
      </c>
      <c r="G39" s="109">
        <v>-77648</v>
      </c>
      <c r="H39" s="109">
        <v>-77648</v>
      </c>
      <c r="I39" s="109">
        <v>-77648</v>
      </c>
      <c r="J39" s="109">
        <v>-77648</v>
      </c>
      <c r="K39" s="109">
        <v>-77648</v>
      </c>
      <c r="L39" s="109">
        <v>-77087</v>
      </c>
      <c r="M39" s="109">
        <v>-74530</v>
      </c>
      <c r="N39" s="103">
        <f>SUM(B39:M39)</f>
        <v>-930867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03">
        <f>SUM(B40:M40)</f>
        <v>-85340</v>
      </c>
    </row>
    <row r="41" spans="1:14" s="6" customFormat="1" ht="12.75" hidden="1" customHeight="1" outlineLevel="1">
      <c r="A41" s="100" t="s">
        <v>48</v>
      </c>
      <c r="B41" s="110">
        <v>-3350</v>
      </c>
      <c r="C41" s="110">
        <v>-3350</v>
      </c>
      <c r="D41" s="110">
        <v>-3350</v>
      </c>
      <c r="E41" s="110">
        <v>-3350</v>
      </c>
      <c r="F41" s="110">
        <v>-3350</v>
      </c>
      <c r="G41" s="110">
        <v>-8350</v>
      </c>
      <c r="H41" s="110">
        <v>-3350</v>
      </c>
      <c r="I41" s="110">
        <v>-3350</v>
      </c>
      <c r="J41" s="110">
        <v>-3350</v>
      </c>
      <c r="K41" s="110">
        <v>-3350</v>
      </c>
      <c r="L41" s="110">
        <v>-4350</v>
      </c>
      <c r="M41" s="110">
        <v>-47350</v>
      </c>
      <c r="N41" s="104">
        <f>SUM(B41:M41)</f>
        <v>-90200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52320</v>
      </c>
      <c r="D42" s="12">
        <f t="shared" si="9"/>
        <v>139992</v>
      </c>
      <c r="E42" s="12">
        <f t="shared" si="9"/>
        <v>330625</v>
      </c>
      <c r="F42" s="12">
        <f t="shared" si="9"/>
        <v>146973</v>
      </c>
      <c r="G42" s="12">
        <f t="shared" si="9"/>
        <v>167463</v>
      </c>
      <c r="H42" s="12">
        <f t="shared" si="9"/>
        <v>78923</v>
      </c>
      <c r="I42" s="12">
        <f t="shared" si="9"/>
        <v>126776</v>
      </c>
      <c r="J42" s="12">
        <f t="shared" si="9"/>
        <v>114742</v>
      </c>
      <c r="K42" s="12">
        <f t="shared" si="9"/>
        <v>123249</v>
      </c>
      <c r="L42" s="12">
        <f t="shared" si="9"/>
        <v>263580.33333333337</v>
      </c>
      <c r="M42" s="12">
        <f t="shared" si="9"/>
        <v>177133.33333333343</v>
      </c>
      <c r="N42" s="12">
        <f t="shared" si="9"/>
        <v>1901803.666666667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10">
        <v>234703</v>
      </c>
      <c r="C44" s="111">
        <v>219113</v>
      </c>
      <c r="D44" s="111">
        <v>210081</v>
      </c>
      <c r="E44" s="111">
        <v>259750</v>
      </c>
      <c r="F44" s="111">
        <v>-183271</v>
      </c>
      <c r="G44" s="111">
        <v>211175</v>
      </c>
      <c r="H44" s="111">
        <v>247477</v>
      </c>
      <c r="I44" s="111">
        <v>217202</v>
      </c>
      <c r="J44" s="111">
        <v>225320</v>
      </c>
      <c r="K44" s="111">
        <v>242086</v>
      </c>
      <c r="L44" s="111">
        <v>249099</v>
      </c>
      <c r="M44" s="111">
        <v>-130463</v>
      </c>
      <c r="N44" s="126">
        <f>SUM(B44:M44)</f>
        <v>2002272</v>
      </c>
    </row>
    <row r="45" spans="1:14" s="6" customFormat="1" hidden="1" outlineLevel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219113</v>
      </c>
      <c r="D46" s="12">
        <f t="shared" ref="D46:N46" si="10">SUM(D44:D45)</f>
        <v>210081</v>
      </c>
      <c r="E46" s="12">
        <f t="shared" si="10"/>
        <v>259750</v>
      </c>
      <c r="F46" s="12">
        <f t="shared" si="10"/>
        <v>-183271</v>
      </c>
      <c r="G46" s="12">
        <f t="shared" si="10"/>
        <v>211175</v>
      </c>
      <c r="H46" s="12">
        <f t="shared" si="10"/>
        <v>247477</v>
      </c>
      <c r="I46" s="12">
        <f t="shared" si="10"/>
        <v>217202</v>
      </c>
      <c r="J46" s="12">
        <f t="shared" si="10"/>
        <v>225320</v>
      </c>
      <c r="K46" s="12">
        <f t="shared" si="10"/>
        <v>242086</v>
      </c>
      <c r="L46" s="12">
        <f t="shared" si="10"/>
        <v>249099</v>
      </c>
      <c r="M46" s="12">
        <f t="shared" si="10"/>
        <v>-130463</v>
      </c>
      <c r="N46" s="12">
        <f t="shared" si="10"/>
        <v>2002272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2346242</v>
      </c>
      <c r="D48" s="19">
        <f t="shared" si="11"/>
        <v>1348540</v>
      </c>
      <c r="E48" s="19">
        <f t="shared" si="11"/>
        <v>1419238</v>
      </c>
      <c r="F48" s="19">
        <f>+F20+F34+F42+F46</f>
        <v>537589</v>
      </c>
      <c r="G48" s="19">
        <f t="shared" si="11"/>
        <v>1031828</v>
      </c>
      <c r="H48" s="19">
        <f t="shared" si="11"/>
        <v>1720965</v>
      </c>
      <c r="I48" s="19">
        <f t="shared" si="11"/>
        <v>1099941</v>
      </c>
      <c r="J48" s="19">
        <f t="shared" si="11"/>
        <v>1250759</v>
      </c>
      <c r="K48" s="19">
        <f t="shared" si="11"/>
        <v>1470321</v>
      </c>
      <c r="L48" s="19">
        <f t="shared" si="11"/>
        <v>1533581.4659358459</v>
      </c>
      <c r="M48" s="19">
        <f t="shared" si="11"/>
        <v>955056.93117498094</v>
      </c>
      <c r="N48" s="19">
        <f t="shared" si="11"/>
        <v>15897121.397110827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-77458</v>
      </c>
      <c r="D50" s="12">
        <f t="shared" si="12"/>
        <v>-284731</v>
      </c>
      <c r="E50" s="12">
        <f t="shared" si="12"/>
        <v>-706429</v>
      </c>
      <c r="F50" s="12">
        <f>+F13-F48</f>
        <v>-69747</v>
      </c>
      <c r="G50" s="12">
        <f t="shared" si="12"/>
        <v>-517423</v>
      </c>
      <c r="H50" s="12">
        <f>+H13-H48</f>
        <v>-225152</v>
      </c>
      <c r="I50" s="12">
        <f t="shared" si="12"/>
        <v>-354652</v>
      </c>
      <c r="J50" s="12">
        <f t="shared" si="12"/>
        <v>-219057</v>
      </c>
      <c r="K50" s="12">
        <f t="shared" si="12"/>
        <v>-422259</v>
      </c>
      <c r="L50" s="12">
        <f t="shared" si="12"/>
        <v>-404500.46593584586</v>
      </c>
      <c r="M50" s="12">
        <f t="shared" si="12"/>
        <v>68439.068825019058</v>
      </c>
      <c r="N50" s="12">
        <f>SUM(B50:M50)</f>
        <v>-3719382.3971108268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107140</v>
      </c>
      <c r="D53" s="10">
        <v>2541</v>
      </c>
      <c r="E53" s="10">
        <v>42587</v>
      </c>
      <c r="F53" s="10">
        <v>7284</v>
      </c>
      <c r="G53" s="10">
        <v>970</v>
      </c>
      <c r="H53" s="23">
        <v>8623</v>
      </c>
      <c r="I53" s="10">
        <v>2438</v>
      </c>
      <c r="J53" s="10">
        <v>40383</v>
      </c>
      <c r="K53" s="10">
        <v>262</v>
      </c>
      <c r="L53" s="10">
        <v>0</v>
      </c>
      <c r="M53" s="10">
        <v>261000</v>
      </c>
      <c r="N53" s="10">
        <f>SUM(B53:M53)</f>
        <v>480268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95000</v>
      </c>
    </row>
    <row r="55" spans="1:21" s="6" customFormat="1">
      <c r="A55" s="6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>SUM(B55:M55)</f>
        <v>380402</v>
      </c>
    </row>
    <row r="56" spans="1:21" s="6" customFormat="1">
      <c r="A56" s="37" t="s">
        <v>58</v>
      </c>
      <c r="B56" s="7">
        <v>-19539</v>
      </c>
      <c r="C56" s="7">
        <v>-18488</v>
      </c>
      <c r="D56" s="7">
        <v>-23302</v>
      </c>
      <c r="E56" s="7">
        <v>-10141</v>
      </c>
      <c r="F56" s="7">
        <v>-16697</v>
      </c>
      <c r="G56" s="7">
        <v>-50933</v>
      </c>
      <c r="H56" s="7">
        <v>-10065</v>
      </c>
      <c r="I56" s="7">
        <v>-10991</v>
      </c>
      <c r="J56" s="7">
        <v>-15469</v>
      </c>
      <c r="K56" s="7">
        <v>-10418</v>
      </c>
      <c r="L56" s="7">
        <v>-15000</v>
      </c>
      <c r="M56" s="7">
        <v>-15000</v>
      </c>
      <c r="N56" s="7">
        <f>SUM(B56:M56)</f>
        <v>-216043</v>
      </c>
    </row>
    <row r="57" spans="1:21" s="6" customFormat="1">
      <c r="A57" s="6" t="s">
        <v>134</v>
      </c>
      <c r="B57" s="22">
        <v>-463884</v>
      </c>
      <c r="C57" s="7">
        <v>-487459</v>
      </c>
      <c r="D57" s="7">
        <v>231583</v>
      </c>
      <c r="E57" s="7">
        <v>139067</v>
      </c>
      <c r="F57" s="7">
        <v>-1068714</v>
      </c>
      <c r="G57" s="7">
        <v>-344647</v>
      </c>
      <c r="H57" s="7">
        <v>35870</v>
      </c>
      <c r="I57" s="7">
        <v>-241094</v>
      </c>
      <c r="J57" s="7">
        <v>-105473</v>
      </c>
      <c r="K57" s="7">
        <v>-334684</v>
      </c>
      <c r="L57" s="7">
        <v>-15000</v>
      </c>
      <c r="M57" s="7">
        <v>-15000</v>
      </c>
      <c r="N57" s="22">
        <f>SUM(B57:M57)</f>
        <v>-2669435</v>
      </c>
    </row>
    <row r="58" spans="1:21" s="6" customFormat="1">
      <c r="A58" s="13" t="s">
        <v>60</v>
      </c>
      <c r="B58" s="19">
        <f t="shared" ref="B58:N58" si="13">SUM(B53:B57)</f>
        <v>-95981</v>
      </c>
      <c r="C58" s="19">
        <f t="shared" si="13"/>
        <v>-398807</v>
      </c>
      <c r="D58" s="19">
        <f t="shared" si="13"/>
        <v>210822</v>
      </c>
      <c r="E58" s="19">
        <f t="shared" si="13"/>
        <v>171513</v>
      </c>
      <c r="F58" s="19">
        <f t="shared" si="13"/>
        <v>-983127</v>
      </c>
      <c r="G58" s="19">
        <f t="shared" si="13"/>
        <v>-394610</v>
      </c>
      <c r="H58" s="19">
        <f>SUM(H53:H57)</f>
        <v>34428</v>
      </c>
      <c r="I58" s="19">
        <f t="shared" si="13"/>
        <v>-249647</v>
      </c>
      <c r="J58" s="19">
        <f t="shared" si="13"/>
        <v>-80559</v>
      </c>
      <c r="K58" s="19">
        <f t="shared" si="13"/>
        <v>-344840</v>
      </c>
      <c r="L58" s="19">
        <f t="shared" si="13"/>
        <v>-30000</v>
      </c>
      <c r="M58" s="19">
        <f t="shared" si="13"/>
        <v>231000</v>
      </c>
      <c r="N58" s="19">
        <f t="shared" si="13"/>
        <v>-1929808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15210291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4">+B58+B48</f>
        <v>1087079</v>
      </c>
      <c r="C61" s="19">
        <f t="shared" si="14"/>
        <v>1947435</v>
      </c>
      <c r="D61" s="19">
        <f t="shared" si="14"/>
        <v>1559362</v>
      </c>
      <c r="E61" s="19">
        <f t="shared" si="14"/>
        <v>1590751</v>
      </c>
      <c r="F61" s="19">
        <f>+F58+F48</f>
        <v>-445538</v>
      </c>
      <c r="G61" s="19">
        <f t="shared" si="14"/>
        <v>637218</v>
      </c>
      <c r="H61" s="19">
        <f t="shared" si="14"/>
        <v>1755393</v>
      </c>
      <c r="I61" s="19">
        <f t="shared" si="14"/>
        <v>850294</v>
      </c>
      <c r="J61" s="19">
        <f t="shared" si="14"/>
        <v>1170200</v>
      </c>
      <c r="K61" s="19">
        <f t="shared" si="14"/>
        <v>1125481</v>
      </c>
      <c r="L61" s="19">
        <f t="shared" si="14"/>
        <v>1503581.4659358459</v>
      </c>
      <c r="M61" s="19">
        <f t="shared" si="14"/>
        <v>1186056.9311749809</v>
      </c>
      <c r="N61" s="19">
        <f t="shared" si="14"/>
        <v>13967313.397110827</v>
      </c>
    </row>
    <row r="62" spans="1:21" ht="13.5" thickBot="1">
      <c r="A62" s="13" t="s">
        <v>63</v>
      </c>
      <c r="B62" s="14">
        <f t="shared" ref="B62:N62" si="15">+B13-B61</f>
        <v>-410432</v>
      </c>
      <c r="C62" s="14">
        <f t="shared" si="15"/>
        <v>321349</v>
      </c>
      <c r="D62" s="14">
        <f t="shared" si="15"/>
        <v>-495553</v>
      </c>
      <c r="E62" s="14">
        <f t="shared" si="15"/>
        <v>-877942</v>
      </c>
      <c r="F62" s="14">
        <f>+F13-F61</f>
        <v>913380</v>
      </c>
      <c r="G62" s="14">
        <f t="shared" si="15"/>
        <v>-122813</v>
      </c>
      <c r="H62" s="14">
        <f t="shared" si="15"/>
        <v>-259580</v>
      </c>
      <c r="I62" s="14">
        <f t="shared" si="15"/>
        <v>-105005</v>
      </c>
      <c r="J62" s="14">
        <f t="shared" si="15"/>
        <v>-138498</v>
      </c>
      <c r="K62" s="14">
        <f t="shared" si="15"/>
        <v>-77419</v>
      </c>
      <c r="L62" s="14">
        <f t="shared" si="15"/>
        <v>-374500.46593584586</v>
      </c>
      <c r="M62" s="14">
        <f t="shared" si="15"/>
        <v>-162560.93117498094</v>
      </c>
      <c r="N62" s="14">
        <f t="shared" si="15"/>
        <v>-1789574.3971108273</v>
      </c>
    </row>
    <row r="63" spans="1:21" s="6" customFormat="1" ht="13.5" thickTop="1">
      <c r="A63" s="13" t="s">
        <v>64</v>
      </c>
      <c r="B63" s="12">
        <f>+B62</f>
        <v>-410432</v>
      </c>
      <c r="C63" s="12">
        <f t="shared" ref="C63:M63" si="16">B63+C62</f>
        <v>-89083</v>
      </c>
      <c r="D63" s="12">
        <f t="shared" si="16"/>
        <v>-584636</v>
      </c>
      <c r="E63" s="12">
        <f t="shared" si="16"/>
        <v>-1462578</v>
      </c>
      <c r="F63" s="12">
        <f t="shared" si="16"/>
        <v>-549198</v>
      </c>
      <c r="G63" s="12">
        <f t="shared" si="16"/>
        <v>-672011</v>
      </c>
      <c r="H63" s="12">
        <f t="shared" si="16"/>
        <v>-931591</v>
      </c>
      <c r="I63" s="12">
        <f>H63+I62</f>
        <v>-1036596</v>
      </c>
      <c r="J63" s="12">
        <f t="shared" si="16"/>
        <v>-1175094</v>
      </c>
      <c r="K63" s="12">
        <f t="shared" si="16"/>
        <v>-1252513</v>
      </c>
      <c r="L63" s="12">
        <f t="shared" si="16"/>
        <v>-1627013.4659358459</v>
      </c>
      <c r="M63" s="12">
        <f t="shared" si="16"/>
        <v>-1789574.3971108268</v>
      </c>
      <c r="N63" s="12"/>
    </row>
    <row r="64" spans="1:21">
      <c r="A64" s="13" t="s">
        <v>65</v>
      </c>
      <c r="B64" s="12">
        <f t="shared" ref="B64:M64" si="17">+$B$60+B63</f>
        <v>14799859</v>
      </c>
      <c r="C64" s="12">
        <f t="shared" si="17"/>
        <v>15121208</v>
      </c>
      <c r="D64" s="12">
        <f t="shared" si="17"/>
        <v>14625655</v>
      </c>
      <c r="E64" s="12">
        <f t="shared" si="17"/>
        <v>13747713</v>
      </c>
      <c r="F64" s="12">
        <f>+$B$60+F63</f>
        <v>14661093</v>
      </c>
      <c r="G64" s="12">
        <f t="shared" si="17"/>
        <v>14538280</v>
      </c>
      <c r="H64" s="12">
        <f t="shared" si="17"/>
        <v>14278700</v>
      </c>
      <c r="I64" s="12">
        <f t="shared" si="17"/>
        <v>14173695</v>
      </c>
      <c r="J64" s="12">
        <f t="shared" si="17"/>
        <v>14035197</v>
      </c>
      <c r="K64" s="12">
        <f t="shared" si="17"/>
        <v>13957778</v>
      </c>
      <c r="L64" s="12">
        <f t="shared" si="17"/>
        <v>13583277.534064155</v>
      </c>
      <c r="M64" s="12">
        <f t="shared" si="17"/>
        <v>13420716.602889173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141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-1206184.54570327</v>
      </c>
      <c r="C67" s="30">
        <v>-91236.09179938212</v>
      </c>
      <c r="D67" s="30">
        <v>-21884.721865982749</v>
      </c>
      <c r="E67" s="30">
        <v>-419084.90535577014</v>
      </c>
      <c r="F67" s="30">
        <v>-533603.18347677123</v>
      </c>
      <c r="G67" s="30">
        <v>-353332.60886835586</v>
      </c>
      <c r="H67" s="30">
        <v>-728137.69195192121</v>
      </c>
      <c r="I67" s="30">
        <v>-189749.94115324598</v>
      </c>
      <c r="J67" s="30">
        <v>-116329.26442024577</v>
      </c>
      <c r="K67" s="30">
        <v>-454940.62012809888</v>
      </c>
      <c r="L67" s="30">
        <v>-374500.46593584586</v>
      </c>
      <c r="M67" s="30">
        <v>-162560.93117498094</v>
      </c>
      <c r="N67" s="124"/>
    </row>
    <row r="68" spans="1:14" ht="13.5" thickTop="1">
      <c r="A68" s="115" t="s">
        <v>64</v>
      </c>
      <c r="B68" s="31">
        <f>+B67</f>
        <v>-1206184.54570327</v>
      </c>
      <c r="C68" s="31">
        <f t="shared" ref="C68:M68" si="18">+B68+C67</f>
        <v>-1297420.6375026521</v>
      </c>
      <c r="D68" s="31">
        <f t="shared" si="18"/>
        <v>-1319305.3593686349</v>
      </c>
      <c r="E68" s="31">
        <f t="shared" si="18"/>
        <v>-1738390.264724405</v>
      </c>
      <c r="F68" s="31">
        <f t="shared" si="18"/>
        <v>-2271993.4482011762</v>
      </c>
      <c r="G68" s="31">
        <f t="shared" si="18"/>
        <v>-2625326.0570695321</v>
      </c>
      <c r="H68" s="31">
        <f t="shared" si="18"/>
        <v>-3353463.7490214533</v>
      </c>
      <c r="I68" s="31">
        <f t="shared" si="18"/>
        <v>-3543213.6901746993</v>
      </c>
      <c r="J68" s="31">
        <f t="shared" si="18"/>
        <v>-3659542.9545949451</v>
      </c>
      <c r="K68" s="31">
        <f t="shared" si="18"/>
        <v>-4114483.5747230439</v>
      </c>
      <c r="L68" s="31">
        <f t="shared" si="18"/>
        <v>-4488984.0406588893</v>
      </c>
      <c r="M68" s="31">
        <f t="shared" si="18"/>
        <v>-4651544.9718338698</v>
      </c>
      <c r="N68" s="125"/>
    </row>
    <row r="69" spans="1:14">
      <c r="A69" s="115" t="s">
        <v>65</v>
      </c>
      <c r="B69" s="16">
        <f>+B60+B68</f>
        <v>14004106.45429673</v>
      </c>
      <c r="C69" s="16">
        <f>+B69+C67</f>
        <v>13912870.362497348</v>
      </c>
      <c r="D69" s="16">
        <f t="shared" ref="D69:M69" si="19">+C69+D67</f>
        <v>13890985.640631367</v>
      </c>
      <c r="E69" s="16">
        <f t="shared" si="19"/>
        <v>13471900.735275596</v>
      </c>
      <c r="F69" s="16">
        <f t="shared" si="19"/>
        <v>12938297.551798824</v>
      </c>
      <c r="G69" s="16">
        <f t="shared" si="19"/>
        <v>12584964.942930467</v>
      </c>
      <c r="H69" s="16">
        <f t="shared" si="19"/>
        <v>11856827.250978546</v>
      </c>
      <c r="I69" s="16">
        <f t="shared" si="19"/>
        <v>11667077.309825301</v>
      </c>
      <c r="J69" s="16">
        <f t="shared" si="19"/>
        <v>11550748.045405056</v>
      </c>
      <c r="K69" s="16">
        <f t="shared" si="19"/>
        <v>11095807.425276957</v>
      </c>
      <c r="L69" s="16">
        <f t="shared" si="19"/>
        <v>10721306.959341113</v>
      </c>
      <c r="M69" s="16">
        <f t="shared" si="19"/>
        <v>10558746.028166132</v>
      </c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M74" si="20">+B62-B67</f>
        <v>795752.54570327001</v>
      </c>
      <c r="C72" s="31">
        <f t="shared" si="20"/>
        <v>412585.09179938212</v>
      </c>
      <c r="D72" s="31">
        <f t="shared" si="20"/>
        <v>-473668.27813401725</v>
      </c>
      <c r="E72" s="31">
        <f t="shared" si="20"/>
        <v>-458857.09464422986</v>
      </c>
      <c r="F72" s="31">
        <f t="shared" si="20"/>
        <v>1446983.1834767712</v>
      </c>
      <c r="G72" s="31">
        <f t="shared" si="20"/>
        <v>230519.60886835586</v>
      </c>
      <c r="H72" s="31">
        <f t="shared" si="20"/>
        <v>468557.69195192121</v>
      </c>
      <c r="I72" s="31">
        <f t="shared" si="20"/>
        <v>84744.941153245978</v>
      </c>
      <c r="J72" s="31">
        <f t="shared" si="20"/>
        <v>-22168.735579754226</v>
      </c>
      <c r="K72" s="31">
        <f t="shared" si="20"/>
        <v>377521.62012809888</v>
      </c>
      <c r="L72" s="31">
        <f t="shared" si="20"/>
        <v>0</v>
      </c>
      <c r="M72" s="31">
        <f t="shared" si="20"/>
        <v>0</v>
      </c>
      <c r="N72" s="125"/>
    </row>
    <row r="73" spans="1:14" s="6" customFormat="1">
      <c r="A73" s="115" t="s">
        <v>64</v>
      </c>
      <c r="B73" s="31">
        <f t="shared" si="20"/>
        <v>795752.54570327001</v>
      </c>
      <c r="C73" s="31">
        <f t="shared" si="20"/>
        <v>1208337.6375026521</v>
      </c>
      <c r="D73" s="31">
        <f t="shared" si="20"/>
        <v>734669.35936863488</v>
      </c>
      <c r="E73" s="31">
        <f t="shared" si="20"/>
        <v>275812.26472440502</v>
      </c>
      <c r="F73" s="31">
        <f t="shared" si="20"/>
        <v>1722795.4482011762</v>
      </c>
      <c r="G73" s="31">
        <f t="shared" si="20"/>
        <v>1953315.0570695321</v>
      </c>
      <c r="H73" s="31">
        <f t="shared" si="20"/>
        <v>2421872.7490214533</v>
      </c>
      <c r="I73" s="31">
        <f t="shared" si="20"/>
        <v>2506617.6901746993</v>
      </c>
      <c r="J73" s="31">
        <f t="shared" si="20"/>
        <v>2484448.9545949451</v>
      </c>
      <c r="K73" s="31">
        <f t="shared" si="20"/>
        <v>2861970.5747230439</v>
      </c>
      <c r="L73" s="31">
        <f t="shared" si="20"/>
        <v>2861970.5747230435</v>
      </c>
      <c r="M73" s="31">
        <f t="shared" si="20"/>
        <v>2861970.574723043</v>
      </c>
      <c r="N73" s="125">
        <f>+N63-N68</f>
        <v>0</v>
      </c>
    </row>
    <row r="74" spans="1:14">
      <c r="A74" s="121" t="s">
        <v>65</v>
      </c>
      <c r="B74" s="122">
        <f t="shared" si="20"/>
        <v>795752.54570326954</v>
      </c>
      <c r="C74" s="122">
        <f t="shared" si="20"/>
        <v>1208337.6375026517</v>
      </c>
      <c r="D74" s="122">
        <f t="shared" si="20"/>
        <v>734669.35936863348</v>
      </c>
      <c r="E74" s="122">
        <f t="shared" si="20"/>
        <v>275812.26472440362</v>
      </c>
      <c r="F74" s="122">
        <f>+F64-F69</f>
        <v>1722795.4482011758</v>
      </c>
      <c r="G74" s="122">
        <f t="shared" si="20"/>
        <v>1953315.0570695326</v>
      </c>
      <c r="H74" s="122">
        <f t="shared" si="20"/>
        <v>2421872.7490214538</v>
      </c>
      <c r="I74" s="122">
        <f t="shared" si="20"/>
        <v>2506617.6901746988</v>
      </c>
      <c r="J74" s="122">
        <f t="shared" si="20"/>
        <v>2484448.9545949437</v>
      </c>
      <c r="K74" s="122">
        <f t="shared" si="20"/>
        <v>2861970.5747230425</v>
      </c>
      <c r="L74" s="122">
        <f t="shared" si="20"/>
        <v>2861970.5747230425</v>
      </c>
      <c r="M74" s="122">
        <f t="shared" si="20"/>
        <v>2861970.5747230407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1:U85"/>
  <sheetViews>
    <sheetView showGridLines="0" zoomScaleNormal="100" workbookViewId="0">
      <selection activeCell="J69" sqref="J69"/>
    </sheetView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24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476908</v>
      </c>
      <c r="C5" s="101">
        <v>2210992</v>
      </c>
      <c r="D5" s="101">
        <v>895797</v>
      </c>
      <c r="E5" s="101">
        <v>680181</v>
      </c>
      <c r="F5" s="101">
        <v>395507</v>
      </c>
      <c r="G5" s="101">
        <v>483547</v>
      </c>
      <c r="H5" s="101">
        <v>1462324</v>
      </c>
      <c r="I5" s="101">
        <v>546130</v>
      </c>
      <c r="J5" s="101">
        <v>813767</v>
      </c>
      <c r="K5" s="101">
        <v>1395071</v>
      </c>
      <c r="L5" s="101">
        <v>1070364</v>
      </c>
      <c r="M5" s="101">
        <v>738619</v>
      </c>
      <c r="N5" s="102">
        <f>SUM(B5:M5)</f>
        <v>11169207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57792</v>
      </c>
      <c r="D6" s="101">
        <v>168012</v>
      </c>
      <c r="E6" s="101">
        <v>32628</v>
      </c>
      <c r="F6" s="101">
        <v>72335</v>
      </c>
      <c r="G6" s="101">
        <v>30858</v>
      </c>
      <c r="H6" s="101">
        <v>33489</v>
      </c>
      <c r="I6" s="101">
        <v>199159</v>
      </c>
      <c r="J6" s="101">
        <v>217935</v>
      </c>
      <c r="K6" s="101">
        <v>51978</v>
      </c>
      <c r="L6" s="101">
        <v>58717</v>
      </c>
      <c r="M6" s="101">
        <v>284877</v>
      </c>
      <c r="N6" s="103">
        <f>SUM(B6:M6)</f>
        <v>1407519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1063809</v>
      </c>
      <c r="E9" s="12">
        <f t="shared" si="0"/>
        <v>712809</v>
      </c>
      <c r="F9" s="12">
        <f t="shared" si="0"/>
        <v>467842</v>
      </c>
      <c r="G9" s="12">
        <f t="shared" si="0"/>
        <v>514405</v>
      </c>
      <c r="H9" s="12">
        <f t="shared" si="0"/>
        <v>1495813</v>
      </c>
      <c r="I9" s="12">
        <f t="shared" si="0"/>
        <v>745289</v>
      </c>
      <c r="J9" s="12">
        <f t="shared" si="0"/>
        <v>1031702</v>
      </c>
      <c r="K9" s="12">
        <f t="shared" si="0"/>
        <v>1447049</v>
      </c>
      <c r="L9" s="12">
        <f t="shared" si="0"/>
        <v>1129081</v>
      </c>
      <c r="M9" s="12">
        <f t="shared" si="0"/>
        <v>1023496</v>
      </c>
      <c r="N9" s="12">
        <f t="shared" si="0"/>
        <v>12576726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2268784</v>
      </c>
      <c r="D13" s="14">
        <f t="shared" si="1"/>
        <v>1063809</v>
      </c>
      <c r="E13" s="14">
        <f t="shared" si="1"/>
        <v>712809</v>
      </c>
      <c r="F13" s="14">
        <f t="shared" si="1"/>
        <v>467842</v>
      </c>
      <c r="G13" s="14">
        <f t="shared" si="1"/>
        <v>514405</v>
      </c>
      <c r="H13" s="14">
        <f t="shared" si="1"/>
        <v>1495813</v>
      </c>
      <c r="I13" s="14">
        <f t="shared" si="1"/>
        <v>745289</v>
      </c>
      <c r="J13" s="14">
        <f t="shared" si="1"/>
        <v>1031702</v>
      </c>
      <c r="K13" s="14">
        <f t="shared" si="1"/>
        <v>1447049</v>
      </c>
      <c r="L13" s="14">
        <f t="shared" si="1"/>
        <v>1129081</v>
      </c>
      <c r="M13" s="14">
        <f t="shared" si="1"/>
        <v>1023496</v>
      </c>
      <c r="N13" s="14">
        <f t="shared" si="1"/>
        <v>12576726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1608163</v>
      </c>
      <c r="D16" s="101">
        <v>538743</v>
      </c>
      <c r="E16" s="101">
        <v>333634</v>
      </c>
      <c r="F16" s="101">
        <v>165810</v>
      </c>
      <c r="G16" s="101">
        <v>246277</v>
      </c>
      <c r="H16" s="101">
        <v>915207</v>
      </c>
      <c r="I16" s="101">
        <v>355342</v>
      </c>
      <c r="J16" s="101">
        <v>492354</v>
      </c>
      <c r="K16" s="101">
        <v>665472</v>
      </c>
      <c r="L16" s="101">
        <v>493571</v>
      </c>
      <c r="M16" s="101">
        <v>431870</v>
      </c>
      <c r="N16" s="103">
        <f>SUM(B16:M16)</f>
        <v>6583257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538743</v>
      </c>
      <c r="E20" s="12">
        <f t="shared" si="2"/>
        <v>333634</v>
      </c>
      <c r="F20" s="12">
        <f t="shared" si="2"/>
        <v>165810</v>
      </c>
      <c r="G20" s="12">
        <f t="shared" si="2"/>
        <v>246277</v>
      </c>
      <c r="H20" s="12">
        <f t="shared" si="2"/>
        <v>915207</v>
      </c>
      <c r="I20" s="12">
        <f t="shared" si="2"/>
        <v>355342</v>
      </c>
      <c r="J20" s="12">
        <f t="shared" si="2"/>
        <v>492354</v>
      </c>
      <c r="K20" s="12">
        <f t="shared" si="2"/>
        <v>665472</v>
      </c>
      <c r="L20" s="12">
        <f t="shared" si="2"/>
        <v>493571</v>
      </c>
      <c r="M20" s="12">
        <f t="shared" si="2"/>
        <v>431870</v>
      </c>
      <c r="N20" s="12">
        <f t="shared" si="2"/>
        <v>6583257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140094</v>
      </c>
      <c r="C23" s="103">
        <f t="shared" si="3"/>
        <v>602829</v>
      </c>
      <c r="D23" s="103">
        <f t="shared" si="3"/>
        <v>357054</v>
      </c>
      <c r="E23" s="103">
        <f t="shared" si="3"/>
        <v>346547</v>
      </c>
      <c r="F23" s="103">
        <f t="shared" si="3"/>
        <v>229697</v>
      </c>
      <c r="G23" s="103">
        <f t="shared" si="3"/>
        <v>237270</v>
      </c>
      <c r="H23" s="103">
        <f>+H5-H16</f>
        <v>547117</v>
      </c>
      <c r="I23" s="103">
        <f t="shared" si="3"/>
        <v>190788</v>
      </c>
      <c r="J23" s="103">
        <f t="shared" si="3"/>
        <v>321413</v>
      </c>
      <c r="K23" s="103">
        <f t="shared" si="3"/>
        <v>729599</v>
      </c>
      <c r="L23" s="103">
        <f t="shared" si="3"/>
        <v>576793</v>
      </c>
      <c r="M23" s="103">
        <f t="shared" si="3"/>
        <v>306749</v>
      </c>
      <c r="N23" s="103">
        <f>SUM(B23:M23)</f>
        <v>4585950</v>
      </c>
    </row>
    <row r="24" spans="1:14" s="6" customFormat="1" hidden="1" outlineLevel="1">
      <c r="A24" s="100" t="s">
        <v>37</v>
      </c>
      <c r="B24" s="103">
        <f t="shared" si="3"/>
        <v>199739</v>
      </c>
      <c r="C24" s="103">
        <f t="shared" si="3"/>
        <v>57792</v>
      </c>
      <c r="D24" s="103">
        <f t="shared" si="3"/>
        <v>168012</v>
      </c>
      <c r="E24" s="103">
        <f t="shared" si="3"/>
        <v>32628</v>
      </c>
      <c r="F24" s="103">
        <f t="shared" si="3"/>
        <v>72335</v>
      </c>
      <c r="G24" s="103">
        <f t="shared" si="3"/>
        <v>30858</v>
      </c>
      <c r="H24" s="103">
        <f>+H6-H17</f>
        <v>33489</v>
      </c>
      <c r="I24" s="103">
        <f t="shared" si="3"/>
        <v>199159</v>
      </c>
      <c r="J24" s="103">
        <f t="shared" si="3"/>
        <v>217935</v>
      </c>
      <c r="K24" s="103">
        <f t="shared" si="3"/>
        <v>51978</v>
      </c>
      <c r="L24" s="103">
        <f t="shared" si="3"/>
        <v>58717</v>
      </c>
      <c r="M24" s="103">
        <f t="shared" si="3"/>
        <v>284877</v>
      </c>
      <c r="N24" s="103">
        <f>SUM(B24:M24)</f>
        <v>1407519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660621</v>
      </c>
      <c r="D27" s="12">
        <f t="shared" si="4"/>
        <v>525066</v>
      </c>
      <c r="E27" s="12">
        <f t="shared" si="4"/>
        <v>379175</v>
      </c>
      <c r="F27" s="12">
        <f t="shared" si="4"/>
        <v>302032</v>
      </c>
      <c r="G27" s="12">
        <f t="shared" si="4"/>
        <v>268128</v>
      </c>
      <c r="H27" s="12">
        <f>SUM(H23:H26)</f>
        <v>580606</v>
      </c>
      <c r="I27" s="12">
        <f t="shared" si="4"/>
        <v>389947</v>
      </c>
      <c r="J27" s="12">
        <f t="shared" si="4"/>
        <v>539348</v>
      </c>
      <c r="K27" s="12">
        <f t="shared" si="4"/>
        <v>781577</v>
      </c>
      <c r="L27" s="12">
        <f t="shared" si="4"/>
        <v>635510</v>
      </c>
      <c r="M27" s="12">
        <f>SUM(M23:M26)</f>
        <v>591626</v>
      </c>
      <c r="N27" s="12">
        <f t="shared" si="4"/>
        <v>5993469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0.291178446251384</v>
      </c>
      <c r="D28" s="73">
        <f t="shared" si="5"/>
        <v>0.49357168439071297</v>
      </c>
      <c r="E28" s="73">
        <f t="shared" si="5"/>
        <v>0.53194474256077018</v>
      </c>
      <c r="F28" s="73">
        <f t="shared" si="5"/>
        <v>0.64558547543828904</v>
      </c>
      <c r="G28" s="73">
        <f t="shared" si="5"/>
        <v>0.52123910148618302</v>
      </c>
      <c r="H28" s="73">
        <f t="shared" si="5"/>
        <v>0.38815413424004203</v>
      </c>
      <c r="I28" s="73">
        <f t="shared" si="5"/>
        <v>0.52321582634387465</v>
      </c>
      <c r="J28" s="73">
        <f t="shared" si="5"/>
        <v>0.52277498735099859</v>
      </c>
      <c r="K28" s="73">
        <f t="shared" si="5"/>
        <v>0.54011785364559184</v>
      </c>
      <c r="L28" s="73">
        <f t="shared" si="5"/>
        <v>0.56285598641727208</v>
      </c>
      <c r="M28" s="73">
        <f t="shared" si="5"/>
        <v>0.5780442717900216</v>
      </c>
      <c r="N28" s="73">
        <f t="shared" ref="N28" si="6">+N27/N9</f>
        <v>0.47655240322481385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314680</v>
      </c>
      <c r="D30" s="101">
        <v>302225</v>
      </c>
      <c r="E30" s="101">
        <v>322845</v>
      </c>
      <c r="F30" s="101">
        <v>249775</v>
      </c>
      <c r="G30" s="101">
        <v>257345</v>
      </c>
      <c r="H30" s="101">
        <v>328486</v>
      </c>
      <c r="I30" s="101">
        <v>255263</v>
      </c>
      <c r="J30" s="101">
        <v>271184</v>
      </c>
      <c r="K30" s="101">
        <v>470518.20239961543</v>
      </c>
      <c r="L30" s="101">
        <v>361457.1899586923</v>
      </c>
      <c r="M30" s="101">
        <v>309677.88845369231</v>
      </c>
      <c r="N30" s="103">
        <f>SUM(B30:M30)</f>
        <v>3720859.2808119999</v>
      </c>
    </row>
    <row r="31" spans="1:14" s="6" customFormat="1" hidden="1" outlineLevel="1">
      <c r="A31" s="100" t="s">
        <v>42</v>
      </c>
      <c r="B31" s="101">
        <v>154113</v>
      </c>
      <c r="C31" s="101">
        <v>151966</v>
      </c>
      <c r="D31" s="101">
        <v>157499</v>
      </c>
      <c r="E31" s="101">
        <v>172384</v>
      </c>
      <c r="F31" s="101">
        <v>158302</v>
      </c>
      <c r="G31" s="101">
        <v>149568</v>
      </c>
      <c r="H31" s="101">
        <v>150872</v>
      </c>
      <c r="I31" s="101">
        <v>145358</v>
      </c>
      <c r="J31" s="101">
        <v>147159</v>
      </c>
      <c r="K31" s="101">
        <v>196120.0843951499</v>
      </c>
      <c r="L31" s="101">
        <v>165873.94264382005</v>
      </c>
      <c r="M31" s="101">
        <v>166838.70938795508</v>
      </c>
      <c r="N31" s="103">
        <f>SUM(B31:M31)</f>
        <v>1916053.7364269251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466646</v>
      </c>
      <c r="D34" s="12">
        <f t="shared" si="7"/>
        <v>459724</v>
      </c>
      <c r="E34" s="12">
        <f t="shared" si="7"/>
        <v>495229</v>
      </c>
      <c r="F34" s="12">
        <f t="shared" si="7"/>
        <v>408077</v>
      </c>
      <c r="G34" s="12">
        <f t="shared" si="7"/>
        <v>406913</v>
      </c>
      <c r="H34" s="12">
        <f t="shared" si="7"/>
        <v>479358</v>
      </c>
      <c r="I34" s="12">
        <f t="shared" si="7"/>
        <v>400621</v>
      </c>
      <c r="J34" s="12">
        <f t="shared" si="7"/>
        <v>418343</v>
      </c>
      <c r="K34" s="12">
        <f t="shared" si="7"/>
        <v>666638.28679476539</v>
      </c>
      <c r="L34" s="12">
        <f t="shared" si="7"/>
        <v>527331.13260251237</v>
      </c>
      <c r="M34" s="12">
        <f t="shared" si="7"/>
        <v>476516.5978416474</v>
      </c>
      <c r="N34" s="12">
        <f t="shared" si="7"/>
        <v>5636913.0172389252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609031</v>
      </c>
      <c r="D37" s="101">
        <v>689724</v>
      </c>
      <c r="E37" s="101">
        <v>914242</v>
      </c>
      <c r="F37" s="101">
        <v>643270</v>
      </c>
      <c r="G37" s="108">
        <v>667513</v>
      </c>
      <c r="H37" s="108">
        <v>646418</v>
      </c>
      <c r="I37" s="108">
        <v>615263</v>
      </c>
      <c r="J37" s="108">
        <v>620951</v>
      </c>
      <c r="K37" s="108">
        <v>1045019.6201280988</v>
      </c>
      <c r="L37" s="101">
        <v>879113.46593584574</v>
      </c>
      <c r="M37" s="101">
        <v>781957.93117498083</v>
      </c>
      <c r="N37" s="103">
        <f>SUM(B37:M37)</f>
        <v>8812390.0172389261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-466646</v>
      </c>
      <c r="D38" s="7">
        <f t="shared" si="8"/>
        <v>-459724</v>
      </c>
      <c r="E38" s="7">
        <f t="shared" si="8"/>
        <v>-495229</v>
      </c>
      <c r="F38" s="7">
        <f t="shared" si="8"/>
        <v>-408077</v>
      </c>
      <c r="G38" s="7">
        <f t="shared" si="8"/>
        <v>-406913</v>
      </c>
      <c r="H38" s="7">
        <f>-H34</f>
        <v>-479358</v>
      </c>
      <c r="I38" s="7">
        <f t="shared" si="8"/>
        <v>-400621</v>
      </c>
      <c r="J38" s="7">
        <f t="shared" si="8"/>
        <v>-418343</v>
      </c>
      <c r="K38" s="7">
        <f t="shared" si="8"/>
        <v>-666638.28679476539</v>
      </c>
      <c r="L38" s="7">
        <f t="shared" si="8"/>
        <v>-527331.13260251237</v>
      </c>
      <c r="M38" s="7">
        <f t="shared" si="8"/>
        <v>-476516.5978416474</v>
      </c>
      <c r="N38" s="7">
        <f>SUM(B38:M38)</f>
        <v>-5636913.0172389252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-79108</v>
      </c>
      <c r="D39" s="109">
        <v>-79051</v>
      </c>
      <c r="E39" s="109">
        <v>-77816</v>
      </c>
      <c r="F39" s="109">
        <v>-77648</v>
      </c>
      <c r="G39" s="109">
        <v>-77648</v>
      </c>
      <c r="H39" s="109">
        <v>-77648</v>
      </c>
      <c r="I39" s="109">
        <v>-77648</v>
      </c>
      <c r="J39" s="109">
        <v>-77648</v>
      </c>
      <c r="K39" s="109">
        <v>-77087</v>
      </c>
      <c r="L39" s="109">
        <v>-77087</v>
      </c>
      <c r="M39" s="109">
        <v>-74530</v>
      </c>
      <c r="N39" s="103">
        <f>SUM(B39:M39)</f>
        <v>-930306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03">
        <f>SUM(B40:M40)</f>
        <v>-85340</v>
      </c>
    </row>
    <row r="41" spans="1:14" s="6" customFormat="1" ht="12.75" hidden="1" customHeight="1" outlineLevel="1">
      <c r="A41" s="100" t="s">
        <v>48</v>
      </c>
      <c r="B41" s="110">
        <v>-3350</v>
      </c>
      <c r="C41" s="110">
        <v>-3350</v>
      </c>
      <c r="D41" s="110">
        <v>-3350</v>
      </c>
      <c r="E41" s="110">
        <v>-3350</v>
      </c>
      <c r="F41" s="110">
        <v>-3350</v>
      </c>
      <c r="G41" s="110">
        <v>-8350</v>
      </c>
      <c r="H41" s="110">
        <v>-3350</v>
      </c>
      <c r="I41" s="110">
        <v>-3350</v>
      </c>
      <c r="J41" s="110">
        <v>-3350</v>
      </c>
      <c r="K41" s="110">
        <v>-4350</v>
      </c>
      <c r="L41" s="110">
        <v>-4350</v>
      </c>
      <c r="M41" s="110">
        <v>-47350</v>
      </c>
      <c r="N41" s="104">
        <f>SUM(B41:M41)</f>
        <v>-91200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52320</v>
      </c>
      <c r="D42" s="12">
        <f t="shared" si="9"/>
        <v>139992</v>
      </c>
      <c r="E42" s="12">
        <f t="shared" si="9"/>
        <v>330625</v>
      </c>
      <c r="F42" s="12">
        <f t="shared" si="9"/>
        <v>146973</v>
      </c>
      <c r="G42" s="12">
        <f t="shared" si="9"/>
        <v>167463</v>
      </c>
      <c r="H42" s="12">
        <f t="shared" si="9"/>
        <v>78923</v>
      </c>
      <c r="I42" s="12">
        <f t="shared" si="9"/>
        <v>126776</v>
      </c>
      <c r="J42" s="12">
        <f t="shared" si="9"/>
        <v>114742</v>
      </c>
      <c r="K42" s="12">
        <f t="shared" si="9"/>
        <v>290076.33333333337</v>
      </c>
      <c r="L42" s="12">
        <f t="shared" si="9"/>
        <v>263580.33333333337</v>
      </c>
      <c r="M42" s="12">
        <f t="shared" si="9"/>
        <v>177133.33333333343</v>
      </c>
      <c r="N42" s="12">
        <f t="shared" si="9"/>
        <v>2068631.0000000009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10">
        <v>234703</v>
      </c>
      <c r="C44" s="111">
        <v>219113</v>
      </c>
      <c r="D44" s="111">
        <v>210081</v>
      </c>
      <c r="E44" s="111">
        <v>259750</v>
      </c>
      <c r="F44" s="111">
        <v>-183271</v>
      </c>
      <c r="G44" s="111">
        <v>211175</v>
      </c>
      <c r="H44" s="111">
        <v>247477</v>
      </c>
      <c r="I44" s="111">
        <v>217202</v>
      </c>
      <c r="J44" s="111">
        <v>225320</v>
      </c>
      <c r="K44" s="111">
        <v>309803</v>
      </c>
      <c r="L44" s="111">
        <v>249099</v>
      </c>
      <c r="M44" s="111">
        <v>-130463</v>
      </c>
      <c r="N44" s="126">
        <f>SUM(B44:M44)</f>
        <v>2069989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219113</v>
      </c>
      <c r="D46" s="12">
        <f t="shared" ref="D46:N46" si="10">SUM(D44:D45)</f>
        <v>210081</v>
      </c>
      <c r="E46" s="12">
        <f t="shared" si="10"/>
        <v>259750</v>
      </c>
      <c r="F46" s="12">
        <f t="shared" si="10"/>
        <v>-183271</v>
      </c>
      <c r="G46" s="12">
        <f t="shared" si="10"/>
        <v>211175</v>
      </c>
      <c r="H46" s="12">
        <f t="shared" si="10"/>
        <v>247477</v>
      </c>
      <c r="I46" s="12">
        <f t="shared" si="10"/>
        <v>217202</v>
      </c>
      <c r="J46" s="12">
        <f t="shared" si="10"/>
        <v>225320</v>
      </c>
      <c r="K46" s="12">
        <f t="shared" si="10"/>
        <v>309803</v>
      </c>
      <c r="L46" s="12">
        <f t="shared" si="10"/>
        <v>249099</v>
      </c>
      <c r="M46" s="12">
        <f t="shared" si="10"/>
        <v>-130463</v>
      </c>
      <c r="N46" s="12">
        <f t="shared" si="10"/>
        <v>2069989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2346242</v>
      </c>
      <c r="D48" s="19">
        <f t="shared" si="11"/>
        <v>1348540</v>
      </c>
      <c r="E48" s="19">
        <f t="shared" si="11"/>
        <v>1419238</v>
      </c>
      <c r="F48" s="19">
        <f>+F20+F34+F42+F46</f>
        <v>537589</v>
      </c>
      <c r="G48" s="19">
        <f t="shared" si="11"/>
        <v>1031828</v>
      </c>
      <c r="H48" s="19">
        <f t="shared" si="11"/>
        <v>1720965</v>
      </c>
      <c r="I48" s="19">
        <f t="shared" si="11"/>
        <v>1099941</v>
      </c>
      <c r="J48" s="19">
        <f t="shared" si="11"/>
        <v>1250759</v>
      </c>
      <c r="K48" s="19">
        <f t="shared" si="11"/>
        <v>1931989.6201280989</v>
      </c>
      <c r="L48" s="19">
        <f t="shared" si="11"/>
        <v>1533581.4659358459</v>
      </c>
      <c r="M48" s="19">
        <f t="shared" si="11"/>
        <v>955056.93117498094</v>
      </c>
      <c r="N48" s="19">
        <f t="shared" si="11"/>
        <v>16358790.017238926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-77458</v>
      </c>
      <c r="D50" s="12">
        <f t="shared" si="12"/>
        <v>-284731</v>
      </c>
      <c r="E50" s="12">
        <f t="shared" si="12"/>
        <v>-706429</v>
      </c>
      <c r="F50" s="12">
        <f>+F13-F48</f>
        <v>-69747</v>
      </c>
      <c r="G50" s="12">
        <f t="shared" si="12"/>
        <v>-517423</v>
      </c>
      <c r="H50" s="12">
        <f>+H13-H48</f>
        <v>-225152</v>
      </c>
      <c r="I50" s="12">
        <f t="shared" si="12"/>
        <v>-354652</v>
      </c>
      <c r="J50" s="12">
        <f t="shared" si="12"/>
        <v>-219057</v>
      </c>
      <c r="K50" s="12">
        <f t="shared" si="12"/>
        <v>-484940.62012809888</v>
      </c>
      <c r="L50" s="12">
        <f t="shared" si="12"/>
        <v>-404500.46593584586</v>
      </c>
      <c r="M50" s="12">
        <f t="shared" si="12"/>
        <v>68439.068825019058</v>
      </c>
      <c r="N50" s="12">
        <f>SUM(B50:M50)</f>
        <v>-3782064.0172389257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107140</v>
      </c>
      <c r="D53" s="10">
        <v>2541</v>
      </c>
      <c r="E53" s="10">
        <v>42587</v>
      </c>
      <c r="F53" s="10">
        <v>7284</v>
      </c>
      <c r="G53" s="10">
        <v>970</v>
      </c>
      <c r="H53" s="23">
        <v>8623</v>
      </c>
      <c r="I53" s="10">
        <v>2438</v>
      </c>
      <c r="J53" s="10">
        <v>40383</v>
      </c>
      <c r="K53" s="10">
        <v>0</v>
      </c>
      <c r="L53" s="10">
        <v>0</v>
      </c>
      <c r="M53" s="10">
        <v>261000</v>
      </c>
      <c r="N53" s="10">
        <f>SUM(B53:M53)</f>
        <v>480006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95000</v>
      </c>
    </row>
    <row r="55" spans="1:21" s="6" customFormat="1">
      <c r="A55" s="6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>SUM(B55:M55)</f>
        <v>380402</v>
      </c>
    </row>
    <row r="56" spans="1:21" s="6" customFormat="1">
      <c r="A56" s="37" t="s">
        <v>58</v>
      </c>
      <c r="B56" s="7">
        <v>-19539</v>
      </c>
      <c r="C56" s="7">
        <v>-18488</v>
      </c>
      <c r="D56" s="7">
        <v>-23302</v>
      </c>
      <c r="E56" s="7">
        <v>-10141</v>
      </c>
      <c r="F56" s="7">
        <v>-16697</v>
      </c>
      <c r="G56" s="7">
        <v>-50933</v>
      </c>
      <c r="H56" s="7">
        <v>-10065</v>
      </c>
      <c r="I56" s="7">
        <v>-10991</v>
      </c>
      <c r="J56" s="7">
        <v>-15469</v>
      </c>
      <c r="K56" s="7">
        <v>-15000</v>
      </c>
      <c r="L56" s="7">
        <v>-15000</v>
      </c>
      <c r="M56" s="7">
        <v>-15000</v>
      </c>
      <c r="N56" s="7">
        <f>SUM(B56:M56)</f>
        <v>-220625</v>
      </c>
    </row>
    <row r="57" spans="1:21" s="6" customFormat="1">
      <c r="A57" s="6" t="s">
        <v>134</v>
      </c>
      <c r="B57" s="22">
        <v>-463884</v>
      </c>
      <c r="C57" s="7">
        <v>-487459</v>
      </c>
      <c r="D57" s="7">
        <v>231583</v>
      </c>
      <c r="E57" s="7">
        <v>139067</v>
      </c>
      <c r="F57" s="7">
        <v>-1068714</v>
      </c>
      <c r="G57" s="7">
        <v>-344647</v>
      </c>
      <c r="H57" s="7">
        <v>35870</v>
      </c>
      <c r="I57" s="7">
        <v>-241094</v>
      </c>
      <c r="J57" s="7">
        <v>-105473</v>
      </c>
      <c r="K57" s="7">
        <v>-15000</v>
      </c>
      <c r="L57" s="7">
        <v>-15000</v>
      </c>
      <c r="M57" s="7">
        <v>-15000</v>
      </c>
      <c r="N57" s="22">
        <f>SUM(B57:M57)</f>
        <v>-2349751</v>
      </c>
    </row>
    <row r="58" spans="1:21" s="6" customFormat="1">
      <c r="A58" s="13" t="s">
        <v>60</v>
      </c>
      <c r="B58" s="19">
        <f t="shared" ref="B58:N58" si="13">SUM(B53:B57)</f>
        <v>-95981</v>
      </c>
      <c r="C58" s="19">
        <f t="shared" si="13"/>
        <v>-398807</v>
      </c>
      <c r="D58" s="19">
        <f t="shared" si="13"/>
        <v>210822</v>
      </c>
      <c r="E58" s="19">
        <f t="shared" si="13"/>
        <v>171513</v>
      </c>
      <c r="F58" s="19">
        <f t="shared" si="13"/>
        <v>-983127</v>
      </c>
      <c r="G58" s="19">
        <f t="shared" si="13"/>
        <v>-394610</v>
      </c>
      <c r="H58" s="19">
        <f>SUM(H53:H57)</f>
        <v>34428</v>
      </c>
      <c r="I58" s="19">
        <f t="shared" si="13"/>
        <v>-249647</v>
      </c>
      <c r="J58" s="19">
        <f t="shared" si="13"/>
        <v>-80559</v>
      </c>
      <c r="K58" s="19">
        <f t="shared" si="13"/>
        <v>-30000</v>
      </c>
      <c r="L58" s="19">
        <f t="shared" si="13"/>
        <v>-30000</v>
      </c>
      <c r="M58" s="19">
        <f t="shared" si="13"/>
        <v>231000</v>
      </c>
      <c r="N58" s="19">
        <f t="shared" si="13"/>
        <v>-1614968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15210291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4">+B58+B48</f>
        <v>1087079</v>
      </c>
      <c r="C61" s="19">
        <f t="shared" si="14"/>
        <v>1947435</v>
      </c>
      <c r="D61" s="19">
        <f t="shared" si="14"/>
        <v>1559362</v>
      </c>
      <c r="E61" s="19">
        <f t="shared" si="14"/>
        <v>1590751</v>
      </c>
      <c r="F61" s="19">
        <f>+F58+F48</f>
        <v>-445538</v>
      </c>
      <c r="G61" s="19">
        <f t="shared" si="14"/>
        <v>637218</v>
      </c>
      <c r="H61" s="19">
        <f t="shared" si="14"/>
        <v>1755393</v>
      </c>
      <c r="I61" s="19">
        <f t="shared" si="14"/>
        <v>850294</v>
      </c>
      <c r="J61" s="19">
        <f t="shared" si="14"/>
        <v>1170200</v>
      </c>
      <c r="K61" s="19">
        <f t="shared" si="14"/>
        <v>1901989.6201280989</v>
      </c>
      <c r="L61" s="19">
        <f t="shared" si="14"/>
        <v>1503581.4659358459</v>
      </c>
      <c r="M61" s="19">
        <f t="shared" si="14"/>
        <v>1186056.9311749809</v>
      </c>
      <c r="N61" s="19">
        <f t="shared" si="14"/>
        <v>14743822.017238926</v>
      </c>
    </row>
    <row r="62" spans="1:21" ht="13.5" thickBot="1">
      <c r="A62" s="13" t="s">
        <v>63</v>
      </c>
      <c r="B62" s="14">
        <f t="shared" ref="B62:N62" si="15">+B13-B61</f>
        <v>-410432</v>
      </c>
      <c r="C62" s="14">
        <f t="shared" si="15"/>
        <v>321349</v>
      </c>
      <c r="D62" s="14">
        <f t="shared" si="15"/>
        <v>-495553</v>
      </c>
      <c r="E62" s="14">
        <f t="shared" si="15"/>
        <v>-877942</v>
      </c>
      <c r="F62" s="14">
        <f>+F13-F61</f>
        <v>913380</v>
      </c>
      <c r="G62" s="14">
        <f t="shared" si="15"/>
        <v>-122813</v>
      </c>
      <c r="H62" s="14">
        <f t="shared" si="15"/>
        <v>-259580</v>
      </c>
      <c r="I62" s="14">
        <f t="shared" si="15"/>
        <v>-105005</v>
      </c>
      <c r="J62" s="14">
        <f t="shared" si="15"/>
        <v>-138498</v>
      </c>
      <c r="K62" s="14">
        <f t="shared" si="15"/>
        <v>-454940.62012809888</v>
      </c>
      <c r="L62" s="14">
        <f t="shared" si="15"/>
        <v>-374500.46593584586</v>
      </c>
      <c r="M62" s="14">
        <f t="shared" si="15"/>
        <v>-162560.93117498094</v>
      </c>
      <c r="N62" s="14">
        <f t="shared" si="15"/>
        <v>-2167096.0172389261</v>
      </c>
    </row>
    <row r="63" spans="1:21" s="6" customFormat="1" ht="13.5" thickTop="1">
      <c r="A63" s="13" t="s">
        <v>64</v>
      </c>
      <c r="B63" s="12">
        <f>+B62</f>
        <v>-410432</v>
      </c>
      <c r="C63" s="12">
        <f t="shared" ref="C63:M63" si="16">B63+C62</f>
        <v>-89083</v>
      </c>
      <c r="D63" s="12">
        <f t="shared" si="16"/>
        <v>-584636</v>
      </c>
      <c r="E63" s="12">
        <f t="shared" si="16"/>
        <v>-1462578</v>
      </c>
      <c r="F63" s="12">
        <f t="shared" si="16"/>
        <v>-549198</v>
      </c>
      <c r="G63" s="12">
        <f t="shared" si="16"/>
        <v>-672011</v>
      </c>
      <c r="H63" s="12">
        <f t="shared" si="16"/>
        <v>-931591</v>
      </c>
      <c r="I63" s="12">
        <f>H63+I62</f>
        <v>-1036596</v>
      </c>
      <c r="J63" s="12">
        <f t="shared" si="16"/>
        <v>-1175094</v>
      </c>
      <c r="K63" s="12">
        <f t="shared" si="16"/>
        <v>-1630034.6201280989</v>
      </c>
      <c r="L63" s="12">
        <f t="shared" si="16"/>
        <v>-2004535.0860639447</v>
      </c>
      <c r="M63" s="12">
        <f t="shared" si="16"/>
        <v>-2167096.0172389257</v>
      </c>
      <c r="N63" s="12"/>
    </row>
    <row r="64" spans="1:21">
      <c r="A64" s="13" t="s">
        <v>65</v>
      </c>
      <c r="B64" s="12">
        <f t="shared" ref="B64:M64" si="17">+$B$60+B63</f>
        <v>14799859</v>
      </c>
      <c r="C64" s="12">
        <f t="shared" si="17"/>
        <v>15121208</v>
      </c>
      <c r="D64" s="12">
        <f t="shared" si="17"/>
        <v>14625655</v>
      </c>
      <c r="E64" s="12">
        <f t="shared" si="17"/>
        <v>13747713</v>
      </c>
      <c r="F64" s="12">
        <f>+$B$60+F63</f>
        <v>14661093</v>
      </c>
      <c r="G64" s="12">
        <f t="shared" si="17"/>
        <v>14538280</v>
      </c>
      <c r="H64" s="12">
        <f t="shared" si="17"/>
        <v>14278700</v>
      </c>
      <c r="I64" s="12">
        <f t="shared" si="17"/>
        <v>14173695</v>
      </c>
      <c r="J64" s="12">
        <f t="shared" si="17"/>
        <v>14035197</v>
      </c>
      <c r="K64" s="12">
        <f t="shared" si="17"/>
        <v>13580256.379871901</v>
      </c>
      <c r="L64" s="12">
        <f t="shared" si="17"/>
        <v>13205755.913936056</v>
      </c>
      <c r="M64" s="12">
        <f t="shared" si="17"/>
        <v>13043194.982761074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141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-1206184.54570327</v>
      </c>
      <c r="C67" s="30">
        <v>-91236.09179938212</v>
      </c>
      <c r="D67" s="30">
        <v>-21884.721865982749</v>
      </c>
      <c r="E67" s="30">
        <v>-419084.90535577014</v>
      </c>
      <c r="F67" s="30">
        <v>-533603.18347677123</v>
      </c>
      <c r="G67" s="30">
        <v>-353332.60886835586</v>
      </c>
      <c r="H67" s="30">
        <v>-728137.69195192121</v>
      </c>
      <c r="I67" s="30">
        <v>-189749.94115324598</v>
      </c>
      <c r="J67" s="30">
        <v>-116329.26442024577</v>
      </c>
      <c r="K67" s="30">
        <v>-454940.62012809888</v>
      </c>
      <c r="L67" s="30">
        <v>-374500.46593584586</v>
      </c>
      <c r="M67" s="30">
        <v>-162560.93117498094</v>
      </c>
      <c r="N67" s="124"/>
    </row>
    <row r="68" spans="1:14" ht="13.5" thickTop="1">
      <c r="A68" s="115" t="s">
        <v>64</v>
      </c>
      <c r="B68" s="31">
        <f>+B67</f>
        <v>-1206184.54570327</v>
      </c>
      <c r="C68" s="31">
        <f t="shared" ref="C68:M68" si="18">+B68+C67</f>
        <v>-1297420.6375026521</v>
      </c>
      <c r="D68" s="31">
        <f t="shared" si="18"/>
        <v>-1319305.3593686349</v>
      </c>
      <c r="E68" s="31">
        <f t="shared" si="18"/>
        <v>-1738390.264724405</v>
      </c>
      <c r="F68" s="31">
        <f t="shared" si="18"/>
        <v>-2271993.4482011762</v>
      </c>
      <c r="G68" s="31">
        <f t="shared" si="18"/>
        <v>-2625326.0570695321</v>
      </c>
      <c r="H68" s="31">
        <f t="shared" si="18"/>
        <v>-3353463.7490214533</v>
      </c>
      <c r="I68" s="31">
        <f t="shared" si="18"/>
        <v>-3543213.6901746993</v>
      </c>
      <c r="J68" s="31">
        <f t="shared" si="18"/>
        <v>-3659542.9545949451</v>
      </c>
      <c r="K68" s="31">
        <f t="shared" si="18"/>
        <v>-4114483.5747230439</v>
      </c>
      <c r="L68" s="31">
        <f t="shared" si="18"/>
        <v>-4488984.0406588893</v>
      </c>
      <c r="M68" s="31">
        <f t="shared" si="18"/>
        <v>-4651544.9718338698</v>
      </c>
      <c r="N68" s="125"/>
    </row>
    <row r="69" spans="1:14">
      <c r="A69" s="115" t="s">
        <v>65</v>
      </c>
      <c r="B69" s="16">
        <f>+B60+B68</f>
        <v>14004106.45429673</v>
      </c>
      <c r="C69" s="16">
        <f>+B69+C67</f>
        <v>13912870.362497348</v>
      </c>
      <c r="D69" s="16">
        <f t="shared" ref="D69:M69" si="19">+C69+D67</f>
        <v>13890985.640631367</v>
      </c>
      <c r="E69" s="16">
        <f t="shared" si="19"/>
        <v>13471900.735275596</v>
      </c>
      <c r="F69" s="16">
        <f t="shared" si="19"/>
        <v>12938297.551798824</v>
      </c>
      <c r="G69" s="16">
        <f t="shared" si="19"/>
        <v>12584964.942930467</v>
      </c>
      <c r="H69" s="16">
        <f t="shared" si="19"/>
        <v>11856827.250978546</v>
      </c>
      <c r="I69" s="16">
        <f t="shared" si="19"/>
        <v>11667077.309825301</v>
      </c>
      <c r="J69" s="16">
        <f t="shared" si="19"/>
        <v>11550748.045405056</v>
      </c>
      <c r="K69" s="16">
        <f t="shared" si="19"/>
        <v>11095807.425276957</v>
      </c>
      <c r="L69" s="16">
        <f t="shared" si="19"/>
        <v>10721306.959341113</v>
      </c>
      <c r="M69" s="16">
        <f t="shared" si="19"/>
        <v>10558746.028166132</v>
      </c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M74" si="20">+B62-B67</f>
        <v>795752.54570327001</v>
      </c>
      <c r="C72" s="31">
        <f t="shared" si="20"/>
        <v>412585.09179938212</v>
      </c>
      <c r="D72" s="31">
        <f t="shared" si="20"/>
        <v>-473668.27813401725</v>
      </c>
      <c r="E72" s="31">
        <f t="shared" si="20"/>
        <v>-458857.09464422986</v>
      </c>
      <c r="F72" s="31">
        <f t="shared" si="20"/>
        <v>1446983.1834767712</v>
      </c>
      <c r="G72" s="31">
        <f t="shared" si="20"/>
        <v>230519.60886835586</v>
      </c>
      <c r="H72" s="31">
        <f t="shared" si="20"/>
        <v>468557.69195192121</v>
      </c>
      <c r="I72" s="31">
        <f t="shared" si="20"/>
        <v>84744.941153245978</v>
      </c>
      <c r="J72" s="31">
        <f t="shared" si="20"/>
        <v>-22168.735579754226</v>
      </c>
      <c r="K72" s="31">
        <f t="shared" si="20"/>
        <v>0</v>
      </c>
      <c r="L72" s="31">
        <f t="shared" si="20"/>
        <v>0</v>
      </c>
      <c r="M72" s="31">
        <f t="shared" si="20"/>
        <v>0</v>
      </c>
      <c r="N72" s="125"/>
    </row>
    <row r="73" spans="1:14" s="6" customFormat="1">
      <c r="A73" s="115" t="s">
        <v>64</v>
      </c>
      <c r="B73" s="31">
        <f t="shared" si="20"/>
        <v>795752.54570327001</v>
      </c>
      <c r="C73" s="31">
        <f t="shared" si="20"/>
        <v>1208337.6375026521</v>
      </c>
      <c r="D73" s="31">
        <f t="shared" si="20"/>
        <v>734669.35936863488</v>
      </c>
      <c r="E73" s="31">
        <f t="shared" si="20"/>
        <v>275812.26472440502</v>
      </c>
      <c r="F73" s="31">
        <f t="shared" si="20"/>
        <v>1722795.4482011762</v>
      </c>
      <c r="G73" s="31">
        <f t="shared" si="20"/>
        <v>1953315.0570695321</v>
      </c>
      <c r="H73" s="31">
        <f t="shared" si="20"/>
        <v>2421872.7490214533</v>
      </c>
      <c r="I73" s="31">
        <f t="shared" si="20"/>
        <v>2506617.6901746993</v>
      </c>
      <c r="J73" s="31">
        <f t="shared" si="20"/>
        <v>2484448.9545949451</v>
      </c>
      <c r="K73" s="31">
        <f t="shared" si="20"/>
        <v>2484448.9545949451</v>
      </c>
      <c r="L73" s="31">
        <f t="shared" si="20"/>
        <v>2484448.9545949446</v>
      </c>
      <c r="M73" s="31">
        <f t="shared" si="20"/>
        <v>2484448.9545949441</v>
      </c>
      <c r="N73" s="125">
        <f>+N63-N68</f>
        <v>0</v>
      </c>
    </row>
    <row r="74" spans="1:14">
      <c r="A74" s="121" t="s">
        <v>65</v>
      </c>
      <c r="B74" s="122">
        <f t="shared" si="20"/>
        <v>795752.54570326954</v>
      </c>
      <c r="C74" s="122">
        <f t="shared" si="20"/>
        <v>1208337.6375026517</v>
      </c>
      <c r="D74" s="122">
        <f t="shared" si="20"/>
        <v>734669.35936863348</v>
      </c>
      <c r="E74" s="122">
        <f t="shared" si="20"/>
        <v>275812.26472440362</v>
      </c>
      <c r="F74" s="122">
        <f>+F64-F69</f>
        <v>1722795.4482011758</v>
      </c>
      <c r="G74" s="122">
        <f t="shared" si="20"/>
        <v>1953315.0570695326</v>
      </c>
      <c r="H74" s="122">
        <f t="shared" si="20"/>
        <v>2421872.7490214538</v>
      </c>
      <c r="I74" s="122">
        <f t="shared" si="20"/>
        <v>2506617.6901746988</v>
      </c>
      <c r="J74" s="122">
        <f t="shared" si="20"/>
        <v>2484448.9545949437</v>
      </c>
      <c r="K74" s="122">
        <f t="shared" si="20"/>
        <v>2484448.9545949437</v>
      </c>
      <c r="L74" s="122">
        <f t="shared" si="20"/>
        <v>2484448.9545949437</v>
      </c>
      <c r="M74" s="122">
        <f t="shared" si="20"/>
        <v>2484448.9545949418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1:U85"/>
  <sheetViews>
    <sheetView showGridLines="0" zoomScaleNormal="100" workbookViewId="0"/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476908</v>
      </c>
      <c r="C5" s="101">
        <v>2210992</v>
      </c>
      <c r="D5" s="101">
        <v>895797</v>
      </c>
      <c r="E5" s="101">
        <v>680181</v>
      </c>
      <c r="F5" s="101">
        <v>395507</v>
      </c>
      <c r="G5" s="101">
        <v>483547</v>
      </c>
      <c r="H5" s="101">
        <v>1462324</v>
      </c>
      <c r="I5" s="101">
        <v>546130</v>
      </c>
      <c r="J5" s="101">
        <v>1187116</v>
      </c>
      <c r="K5" s="101">
        <v>1395071</v>
      </c>
      <c r="L5" s="101">
        <v>1070364</v>
      </c>
      <c r="M5" s="101">
        <v>738619</v>
      </c>
      <c r="N5" s="102">
        <f>SUM(B5:M5)</f>
        <v>11542556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57792</v>
      </c>
      <c r="D6" s="101">
        <v>168012</v>
      </c>
      <c r="E6" s="101">
        <v>32628</v>
      </c>
      <c r="F6" s="101">
        <v>72335</v>
      </c>
      <c r="G6" s="101">
        <v>30858</v>
      </c>
      <c r="H6" s="101">
        <v>33489</v>
      </c>
      <c r="I6" s="101">
        <v>199159</v>
      </c>
      <c r="J6" s="101">
        <v>223279</v>
      </c>
      <c r="K6" s="101">
        <v>51978</v>
      </c>
      <c r="L6" s="101">
        <v>58717</v>
      </c>
      <c r="M6" s="101">
        <v>284877</v>
      </c>
      <c r="N6" s="103">
        <f>SUM(B6:M6)</f>
        <v>1412863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1063809</v>
      </c>
      <c r="E9" s="12">
        <f t="shared" si="0"/>
        <v>712809</v>
      </c>
      <c r="F9" s="12">
        <f t="shared" si="0"/>
        <v>467842</v>
      </c>
      <c r="G9" s="12">
        <f t="shared" si="0"/>
        <v>514405</v>
      </c>
      <c r="H9" s="12">
        <f t="shared" si="0"/>
        <v>1495813</v>
      </c>
      <c r="I9" s="12">
        <f t="shared" si="0"/>
        <v>745289</v>
      </c>
      <c r="J9" s="12">
        <f t="shared" si="0"/>
        <v>1410395</v>
      </c>
      <c r="K9" s="12">
        <f t="shared" si="0"/>
        <v>1447049</v>
      </c>
      <c r="L9" s="12">
        <f t="shared" si="0"/>
        <v>1129081</v>
      </c>
      <c r="M9" s="12">
        <f t="shared" si="0"/>
        <v>1023496</v>
      </c>
      <c r="N9" s="12">
        <f t="shared" si="0"/>
        <v>12955419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2268784</v>
      </c>
      <c r="D13" s="14">
        <f t="shared" si="1"/>
        <v>1063809</v>
      </c>
      <c r="E13" s="14">
        <f t="shared" si="1"/>
        <v>712809</v>
      </c>
      <c r="F13" s="14">
        <f t="shared" si="1"/>
        <v>467842</v>
      </c>
      <c r="G13" s="14">
        <f t="shared" si="1"/>
        <v>514405</v>
      </c>
      <c r="H13" s="14">
        <f t="shared" si="1"/>
        <v>1495813</v>
      </c>
      <c r="I13" s="14">
        <f t="shared" si="1"/>
        <v>745289</v>
      </c>
      <c r="J13" s="14">
        <f t="shared" si="1"/>
        <v>1410395</v>
      </c>
      <c r="K13" s="14">
        <f t="shared" si="1"/>
        <v>1447049</v>
      </c>
      <c r="L13" s="14">
        <f t="shared" si="1"/>
        <v>1129081</v>
      </c>
      <c r="M13" s="14">
        <f t="shared" si="1"/>
        <v>1023496</v>
      </c>
      <c r="N13" s="14">
        <f t="shared" si="1"/>
        <v>12955419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1608163</v>
      </c>
      <c r="D16" s="101">
        <v>538743</v>
      </c>
      <c r="E16" s="101">
        <v>333634</v>
      </c>
      <c r="F16" s="101">
        <v>165810</v>
      </c>
      <c r="G16" s="101">
        <v>246277</v>
      </c>
      <c r="H16" s="101">
        <v>915207</v>
      </c>
      <c r="I16" s="101">
        <v>355342</v>
      </c>
      <c r="J16" s="101">
        <v>456948</v>
      </c>
      <c r="K16" s="101">
        <v>665472</v>
      </c>
      <c r="L16" s="101">
        <v>493571</v>
      </c>
      <c r="M16" s="101">
        <v>431870</v>
      </c>
      <c r="N16" s="103">
        <f>SUM(B16:M16)</f>
        <v>6547851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538743</v>
      </c>
      <c r="E20" s="12">
        <f t="shared" si="2"/>
        <v>333634</v>
      </c>
      <c r="F20" s="12">
        <f t="shared" si="2"/>
        <v>165810</v>
      </c>
      <c r="G20" s="12">
        <f t="shared" si="2"/>
        <v>246277</v>
      </c>
      <c r="H20" s="12">
        <f t="shared" si="2"/>
        <v>915207</v>
      </c>
      <c r="I20" s="12">
        <f t="shared" si="2"/>
        <v>355342</v>
      </c>
      <c r="J20" s="12">
        <f t="shared" si="2"/>
        <v>456948</v>
      </c>
      <c r="K20" s="12">
        <f t="shared" si="2"/>
        <v>665472</v>
      </c>
      <c r="L20" s="12">
        <f t="shared" si="2"/>
        <v>493571</v>
      </c>
      <c r="M20" s="12">
        <f t="shared" si="2"/>
        <v>431870</v>
      </c>
      <c r="N20" s="12">
        <f t="shared" si="2"/>
        <v>6547851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140094</v>
      </c>
      <c r="C23" s="103">
        <f t="shared" si="3"/>
        <v>602829</v>
      </c>
      <c r="D23" s="103">
        <f t="shared" si="3"/>
        <v>357054</v>
      </c>
      <c r="E23" s="103">
        <f t="shared" si="3"/>
        <v>346547</v>
      </c>
      <c r="F23" s="103">
        <f t="shared" si="3"/>
        <v>229697</v>
      </c>
      <c r="G23" s="103">
        <f t="shared" si="3"/>
        <v>237270</v>
      </c>
      <c r="H23" s="103">
        <f>+H5-H16</f>
        <v>547117</v>
      </c>
      <c r="I23" s="103">
        <f t="shared" si="3"/>
        <v>190788</v>
      </c>
      <c r="J23" s="103">
        <f t="shared" si="3"/>
        <v>730168</v>
      </c>
      <c r="K23" s="103">
        <f t="shared" si="3"/>
        <v>729599</v>
      </c>
      <c r="L23" s="103">
        <f t="shared" si="3"/>
        <v>576793</v>
      </c>
      <c r="M23" s="103">
        <f t="shared" si="3"/>
        <v>306749</v>
      </c>
      <c r="N23" s="103">
        <f>SUM(B23:M23)</f>
        <v>4994705</v>
      </c>
    </row>
    <row r="24" spans="1:14" s="6" customFormat="1" hidden="1" outlineLevel="1">
      <c r="A24" s="100" t="s">
        <v>37</v>
      </c>
      <c r="B24" s="103">
        <f t="shared" si="3"/>
        <v>199739</v>
      </c>
      <c r="C24" s="103">
        <f t="shared" si="3"/>
        <v>57792</v>
      </c>
      <c r="D24" s="103">
        <f t="shared" si="3"/>
        <v>168012</v>
      </c>
      <c r="E24" s="103">
        <f t="shared" si="3"/>
        <v>32628</v>
      </c>
      <c r="F24" s="103">
        <f t="shared" si="3"/>
        <v>72335</v>
      </c>
      <c r="G24" s="103">
        <f t="shared" si="3"/>
        <v>30858</v>
      </c>
      <c r="H24" s="103">
        <f>+H6-H17</f>
        <v>33489</v>
      </c>
      <c r="I24" s="103">
        <f t="shared" si="3"/>
        <v>199159</v>
      </c>
      <c r="J24" s="103">
        <f t="shared" si="3"/>
        <v>223279</v>
      </c>
      <c r="K24" s="103">
        <f t="shared" si="3"/>
        <v>51978</v>
      </c>
      <c r="L24" s="103">
        <f t="shared" si="3"/>
        <v>58717</v>
      </c>
      <c r="M24" s="103">
        <f t="shared" si="3"/>
        <v>284877</v>
      </c>
      <c r="N24" s="103">
        <f>SUM(B24:M24)</f>
        <v>1412863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660621</v>
      </c>
      <c r="D27" s="12">
        <f t="shared" si="4"/>
        <v>525066</v>
      </c>
      <c r="E27" s="12">
        <f t="shared" si="4"/>
        <v>379175</v>
      </c>
      <c r="F27" s="12">
        <f t="shared" si="4"/>
        <v>302032</v>
      </c>
      <c r="G27" s="12">
        <f t="shared" si="4"/>
        <v>268128</v>
      </c>
      <c r="H27" s="12">
        <f>SUM(H23:H26)</f>
        <v>580606</v>
      </c>
      <c r="I27" s="12">
        <f t="shared" si="4"/>
        <v>389947</v>
      </c>
      <c r="J27" s="12">
        <f t="shared" si="4"/>
        <v>953447</v>
      </c>
      <c r="K27" s="12">
        <f t="shared" si="4"/>
        <v>781577</v>
      </c>
      <c r="L27" s="12">
        <f t="shared" si="4"/>
        <v>635510</v>
      </c>
      <c r="M27" s="12">
        <f>SUM(M23:M26)</f>
        <v>591626</v>
      </c>
      <c r="N27" s="12">
        <f t="shared" si="4"/>
        <v>6407568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0.291178446251384</v>
      </c>
      <c r="D28" s="73">
        <f t="shared" si="5"/>
        <v>0.49357168439071297</v>
      </c>
      <c r="E28" s="73">
        <f t="shared" si="5"/>
        <v>0.53194474256077018</v>
      </c>
      <c r="F28" s="73">
        <f t="shared" si="5"/>
        <v>0.64558547543828904</v>
      </c>
      <c r="G28" s="73">
        <f t="shared" si="5"/>
        <v>0.52123910148618302</v>
      </c>
      <c r="H28" s="73">
        <f t="shared" si="5"/>
        <v>0.38815413424004203</v>
      </c>
      <c r="I28" s="73">
        <f t="shared" si="5"/>
        <v>0.52321582634387465</v>
      </c>
      <c r="J28" s="73">
        <f t="shared" si="5"/>
        <v>0.67601416624420818</v>
      </c>
      <c r="K28" s="73">
        <f t="shared" si="5"/>
        <v>0.54011785364559184</v>
      </c>
      <c r="L28" s="73">
        <f t="shared" si="5"/>
        <v>0.56285598641727208</v>
      </c>
      <c r="M28" s="73">
        <f t="shared" si="5"/>
        <v>0.5780442717900216</v>
      </c>
      <c r="N28" s="73">
        <f t="shared" ref="N28" si="6">+N27/N9</f>
        <v>0.49458593350010527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314680</v>
      </c>
      <c r="D30" s="101">
        <v>302225</v>
      </c>
      <c r="E30" s="101">
        <v>322845</v>
      </c>
      <c r="F30" s="101">
        <v>249775</v>
      </c>
      <c r="G30" s="101">
        <v>257345</v>
      </c>
      <c r="H30" s="101">
        <v>328486</v>
      </c>
      <c r="I30" s="101">
        <v>255263</v>
      </c>
      <c r="J30" s="101">
        <v>392403.38610869233</v>
      </c>
      <c r="K30" s="101">
        <v>470518.20239961543</v>
      </c>
      <c r="L30" s="101">
        <v>361457.1899586923</v>
      </c>
      <c r="M30" s="101">
        <v>309677.88845369231</v>
      </c>
      <c r="N30" s="103">
        <f>SUM(B30:M30)</f>
        <v>3842078.6669206927</v>
      </c>
    </row>
    <row r="31" spans="1:14" s="6" customFormat="1" hidden="1" outlineLevel="1">
      <c r="A31" s="100" t="s">
        <v>42</v>
      </c>
      <c r="B31" s="101">
        <v>154113</v>
      </c>
      <c r="C31" s="101">
        <v>151966</v>
      </c>
      <c r="D31" s="101">
        <v>157499</v>
      </c>
      <c r="E31" s="101">
        <v>172384</v>
      </c>
      <c r="F31" s="101">
        <v>158302</v>
      </c>
      <c r="G31" s="101">
        <v>149568</v>
      </c>
      <c r="H31" s="101">
        <v>150872</v>
      </c>
      <c r="I31" s="101">
        <v>145358</v>
      </c>
      <c r="J31" s="101">
        <v>167875.54497822007</v>
      </c>
      <c r="K31" s="101">
        <v>196120.0843951499</v>
      </c>
      <c r="L31" s="101">
        <v>165873.94264382005</v>
      </c>
      <c r="M31" s="101">
        <v>166838.70938795508</v>
      </c>
      <c r="N31" s="103">
        <f>SUM(B31:M31)</f>
        <v>1936770.2814051451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466646</v>
      </c>
      <c r="D34" s="12">
        <f t="shared" si="7"/>
        <v>459724</v>
      </c>
      <c r="E34" s="12">
        <f t="shared" si="7"/>
        <v>495229</v>
      </c>
      <c r="F34" s="12">
        <f t="shared" si="7"/>
        <v>408077</v>
      </c>
      <c r="G34" s="12">
        <f t="shared" si="7"/>
        <v>406913</v>
      </c>
      <c r="H34" s="12">
        <f t="shared" si="7"/>
        <v>479358</v>
      </c>
      <c r="I34" s="12">
        <f t="shared" si="7"/>
        <v>400621</v>
      </c>
      <c r="J34" s="12">
        <f t="shared" si="7"/>
        <v>560278.9310869124</v>
      </c>
      <c r="K34" s="12">
        <f t="shared" si="7"/>
        <v>666638.28679476539</v>
      </c>
      <c r="L34" s="12">
        <f t="shared" si="7"/>
        <v>527331.13260251237</v>
      </c>
      <c r="M34" s="12">
        <f t="shared" si="7"/>
        <v>476516.5978416474</v>
      </c>
      <c r="N34" s="12">
        <f t="shared" si="7"/>
        <v>5778848.948325838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609031</v>
      </c>
      <c r="D37" s="101">
        <v>689724</v>
      </c>
      <c r="E37" s="101">
        <v>914242</v>
      </c>
      <c r="F37" s="101">
        <v>643270</v>
      </c>
      <c r="G37" s="108">
        <v>667513</v>
      </c>
      <c r="H37" s="108">
        <v>646418</v>
      </c>
      <c r="I37" s="108">
        <v>615263</v>
      </c>
      <c r="J37" s="108">
        <v>916858.26442024577</v>
      </c>
      <c r="K37" s="108">
        <v>1045019.6201280988</v>
      </c>
      <c r="L37" s="101">
        <v>879113.46593584574</v>
      </c>
      <c r="M37" s="101">
        <v>781957.93117498083</v>
      </c>
      <c r="N37" s="103">
        <f>SUM(B37:M37)</f>
        <v>9108297.281659171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-466646</v>
      </c>
      <c r="D38" s="7">
        <f t="shared" si="8"/>
        <v>-459724</v>
      </c>
      <c r="E38" s="7">
        <f t="shared" si="8"/>
        <v>-495229</v>
      </c>
      <c r="F38" s="7">
        <f t="shared" si="8"/>
        <v>-408077</v>
      </c>
      <c r="G38" s="7">
        <f t="shared" si="8"/>
        <v>-406913</v>
      </c>
      <c r="H38" s="7">
        <f>-H34</f>
        <v>-479358</v>
      </c>
      <c r="I38" s="7">
        <f t="shared" si="8"/>
        <v>-400621</v>
      </c>
      <c r="J38" s="7">
        <f t="shared" si="8"/>
        <v>-560278.9310869124</v>
      </c>
      <c r="K38" s="7">
        <f t="shared" si="8"/>
        <v>-666638.28679476539</v>
      </c>
      <c r="L38" s="7">
        <f t="shared" si="8"/>
        <v>-527331.13260251237</v>
      </c>
      <c r="M38" s="7">
        <f t="shared" si="8"/>
        <v>-476516.5978416474</v>
      </c>
      <c r="N38" s="7">
        <f>SUM(B38:M38)</f>
        <v>-5778848.948325838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-79108</v>
      </c>
      <c r="D39" s="109">
        <v>-79051</v>
      </c>
      <c r="E39" s="109">
        <v>-77816</v>
      </c>
      <c r="F39" s="109">
        <v>-77648</v>
      </c>
      <c r="G39" s="109">
        <v>-77648</v>
      </c>
      <c r="H39" s="109">
        <v>-77648</v>
      </c>
      <c r="I39" s="109">
        <v>-77648</v>
      </c>
      <c r="J39" s="109">
        <v>-77087</v>
      </c>
      <c r="K39" s="109">
        <v>-77087</v>
      </c>
      <c r="L39" s="109">
        <v>-77087</v>
      </c>
      <c r="M39" s="109">
        <v>-74530</v>
      </c>
      <c r="N39" s="103">
        <f>SUM(B39:M39)</f>
        <v>-929745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03">
        <f>SUM(B40:M40)</f>
        <v>-85340</v>
      </c>
    </row>
    <row r="41" spans="1:14" s="6" customFormat="1" ht="12.75" hidden="1" customHeight="1" outlineLevel="1">
      <c r="A41" s="100" t="s">
        <v>48</v>
      </c>
      <c r="B41" s="110">
        <v>-3350</v>
      </c>
      <c r="C41" s="110">
        <v>-3350</v>
      </c>
      <c r="D41" s="110">
        <v>-3350</v>
      </c>
      <c r="E41" s="110">
        <v>-3350</v>
      </c>
      <c r="F41" s="110">
        <v>-3350</v>
      </c>
      <c r="G41" s="110">
        <v>-8350</v>
      </c>
      <c r="H41" s="110">
        <v>-3350</v>
      </c>
      <c r="I41" s="110">
        <v>-3350</v>
      </c>
      <c r="J41" s="110">
        <v>-4350</v>
      </c>
      <c r="K41" s="110">
        <v>-4350</v>
      </c>
      <c r="L41" s="110">
        <v>-4350</v>
      </c>
      <c r="M41" s="110">
        <v>-47350</v>
      </c>
      <c r="N41" s="104">
        <f>SUM(B41:M41)</f>
        <v>-92200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52320</v>
      </c>
      <c r="D42" s="12">
        <f t="shared" si="9"/>
        <v>139992</v>
      </c>
      <c r="E42" s="12">
        <f t="shared" si="9"/>
        <v>330625</v>
      </c>
      <c r="F42" s="12">
        <f t="shared" si="9"/>
        <v>146973</v>
      </c>
      <c r="G42" s="12">
        <f t="shared" si="9"/>
        <v>167463</v>
      </c>
      <c r="H42" s="12">
        <f t="shared" si="9"/>
        <v>78923</v>
      </c>
      <c r="I42" s="12">
        <f t="shared" si="9"/>
        <v>126776</v>
      </c>
      <c r="J42" s="12">
        <f t="shared" si="9"/>
        <v>268274.33333333337</v>
      </c>
      <c r="K42" s="12">
        <f t="shared" si="9"/>
        <v>290076.33333333337</v>
      </c>
      <c r="L42" s="12">
        <f t="shared" si="9"/>
        <v>263580.33333333337</v>
      </c>
      <c r="M42" s="12">
        <f t="shared" si="9"/>
        <v>177133.33333333343</v>
      </c>
      <c r="N42" s="12">
        <f t="shared" si="9"/>
        <v>2222163.333333333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10">
        <v>234703</v>
      </c>
      <c r="C44" s="111">
        <v>219113</v>
      </c>
      <c r="D44" s="111">
        <v>210081</v>
      </c>
      <c r="E44" s="111">
        <v>259750</v>
      </c>
      <c r="F44" s="111">
        <v>-183271</v>
      </c>
      <c r="G44" s="111">
        <v>211175</v>
      </c>
      <c r="H44" s="111">
        <v>247477</v>
      </c>
      <c r="I44" s="111">
        <v>217202</v>
      </c>
      <c r="J44" s="111">
        <v>271223</v>
      </c>
      <c r="K44" s="111">
        <v>309803</v>
      </c>
      <c r="L44" s="111">
        <v>249099</v>
      </c>
      <c r="M44" s="111">
        <v>-130463</v>
      </c>
      <c r="N44" s="126">
        <f>SUM(B44:M44)</f>
        <v>2115892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219113</v>
      </c>
      <c r="D46" s="12">
        <f t="shared" ref="D46:N46" si="10">SUM(D44:D45)</f>
        <v>210081</v>
      </c>
      <c r="E46" s="12">
        <f t="shared" si="10"/>
        <v>259750</v>
      </c>
      <c r="F46" s="12">
        <f t="shared" si="10"/>
        <v>-183271</v>
      </c>
      <c r="G46" s="12">
        <f t="shared" si="10"/>
        <v>211175</v>
      </c>
      <c r="H46" s="12">
        <f t="shared" si="10"/>
        <v>247477</v>
      </c>
      <c r="I46" s="12">
        <f t="shared" si="10"/>
        <v>217202</v>
      </c>
      <c r="J46" s="12">
        <f t="shared" si="10"/>
        <v>271223</v>
      </c>
      <c r="K46" s="12">
        <f t="shared" si="10"/>
        <v>309803</v>
      </c>
      <c r="L46" s="12">
        <f t="shared" si="10"/>
        <v>249099</v>
      </c>
      <c r="M46" s="12">
        <f t="shared" si="10"/>
        <v>-130463</v>
      </c>
      <c r="N46" s="12">
        <f t="shared" si="10"/>
        <v>2115892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2346242</v>
      </c>
      <c r="D48" s="19">
        <f t="shared" si="11"/>
        <v>1348540</v>
      </c>
      <c r="E48" s="19">
        <f t="shared" si="11"/>
        <v>1419238</v>
      </c>
      <c r="F48" s="19">
        <f>+F20+F34+F42+F46</f>
        <v>537589</v>
      </c>
      <c r="G48" s="19">
        <f t="shared" si="11"/>
        <v>1031828</v>
      </c>
      <c r="H48" s="19">
        <f t="shared" si="11"/>
        <v>1720965</v>
      </c>
      <c r="I48" s="19">
        <f t="shared" si="11"/>
        <v>1099941</v>
      </c>
      <c r="J48" s="19">
        <f t="shared" si="11"/>
        <v>1556724.2644202458</v>
      </c>
      <c r="K48" s="19">
        <f t="shared" si="11"/>
        <v>1931989.6201280989</v>
      </c>
      <c r="L48" s="19">
        <f t="shared" si="11"/>
        <v>1533581.4659358459</v>
      </c>
      <c r="M48" s="19">
        <f t="shared" si="11"/>
        <v>955056.93117498094</v>
      </c>
      <c r="N48" s="19">
        <f t="shared" si="11"/>
        <v>16664755.281659171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-77458</v>
      </c>
      <c r="D50" s="12">
        <f t="shared" si="12"/>
        <v>-284731</v>
      </c>
      <c r="E50" s="12">
        <f t="shared" si="12"/>
        <v>-706429</v>
      </c>
      <c r="F50" s="12">
        <f>+F13-F48</f>
        <v>-69747</v>
      </c>
      <c r="G50" s="12">
        <f t="shared" si="12"/>
        <v>-517423</v>
      </c>
      <c r="H50" s="12">
        <f>+H13-H48</f>
        <v>-225152</v>
      </c>
      <c r="I50" s="12">
        <f t="shared" si="12"/>
        <v>-354652</v>
      </c>
      <c r="J50" s="12">
        <f t="shared" si="12"/>
        <v>-146329.26442024577</v>
      </c>
      <c r="K50" s="12">
        <f t="shared" si="12"/>
        <v>-484940.62012809888</v>
      </c>
      <c r="L50" s="12">
        <f t="shared" si="12"/>
        <v>-404500.46593584586</v>
      </c>
      <c r="M50" s="12">
        <f t="shared" si="12"/>
        <v>68439.068825019058</v>
      </c>
      <c r="N50" s="12">
        <f>SUM(B50:M50)</f>
        <v>-3709336.2816591715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107140</v>
      </c>
      <c r="D53" s="10">
        <v>2541</v>
      </c>
      <c r="E53" s="10">
        <v>42587</v>
      </c>
      <c r="F53" s="10">
        <v>7284</v>
      </c>
      <c r="G53" s="10">
        <v>970</v>
      </c>
      <c r="H53" s="23">
        <v>8623</v>
      </c>
      <c r="I53" s="10">
        <v>2438</v>
      </c>
      <c r="J53" s="10">
        <v>0</v>
      </c>
      <c r="K53" s="10">
        <v>0</v>
      </c>
      <c r="L53" s="10">
        <v>0</v>
      </c>
      <c r="M53" s="10">
        <v>261000</v>
      </c>
      <c r="N53" s="10">
        <f>SUM(B53:M53)</f>
        <v>439623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95000</v>
      </c>
    </row>
    <row r="55" spans="1:21" s="6" customFormat="1">
      <c r="A55" s="6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>SUM(B55:M55)</f>
        <v>380402</v>
      </c>
    </row>
    <row r="56" spans="1:21" s="6" customFormat="1">
      <c r="A56" s="37" t="s">
        <v>58</v>
      </c>
      <c r="B56" s="7">
        <v>-19539</v>
      </c>
      <c r="C56" s="7">
        <v>-18488</v>
      </c>
      <c r="D56" s="7">
        <v>-23302</v>
      </c>
      <c r="E56" s="7">
        <v>-10141</v>
      </c>
      <c r="F56" s="7">
        <v>-16697</v>
      </c>
      <c r="G56" s="7">
        <v>-50933</v>
      </c>
      <c r="H56" s="7">
        <v>-10065</v>
      </c>
      <c r="I56" s="7">
        <v>-10991</v>
      </c>
      <c r="J56" s="7">
        <v>-15000</v>
      </c>
      <c r="K56" s="7">
        <v>-15000</v>
      </c>
      <c r="L56" s="7">
        <v>-15000</v>
      </c>
      <c r="M56" s="7">
        <v>-15000</v>
      </c>
      <c r="N56" s="7">
        <f>SUM(B56:M56)</f>
        <v>-220156</v>
      </c>
    </row>
    <row r="57" spans="1:21" s="6" customFormat="1">
      <c r="A57" s="6" t="s">
        <v>134</v>
      </c>
      <c r="B57" s="22">
        <v>-463884</v>
      </c>
      <c r="C57" s="7">
        <v>-487459</v>
      </c>
      <c r="D57" s="7">
        <v>231583</v>
      </c>
      <c r="E57" s="7">
        <v>139067</v>
      </c>
      <c r="F57" s="7">
        <v>-1068714</v>
      </c>
      <c r="G57" s="7">
        <v>-344647</v>
      </c>
      <c r="H57" s="7">
        <v>35870</v>
      </c>
      <c r="I57" s="7">
        <v>-241094</v>
      </c>
      <c r="J57" s="7">
        <v>-15000</v>
      </c>
      <c r="K57" s="7">
        <v>-15000</v>
      </c>
      <c r="L57" s="7">
        <v>-15000</v>
      </c>
      <c r="M57" s="7">
        <v>-15000</v>
      </c>
      <c r="N57" s="22">
        <f>SUM(B57:M57)</f>
        <v>-2259278</v>
      </c>
    </row>
    <row r="58" spans="1:21" s="6" customFormat="1">
      <c r="A58" s="13" t="s">
        <v>60</v>
      </c>
      <c r="B58" s="19">
        <f t="shared" ref="B58:N58" si="13">SUM(B53:B57)</f>
        <v>-95981</v>
      </c>
      <c r="C58" s="19">
        <f t="shared" si="13"/>
        <v>-398807</v>
      </c>
      <c r="D58" s="19">
        <f t="shared" si="13"/>
        <v>210822</v>
      </c>
      <c r="E58" s="19">
        <f t="shared" si="13"/>
        <v>171513</v>
      </c>
      <c r="F58" s="19">
        <f t="shared" si="13"/>
        <v>-983127</v>
      </c>
      <c r="G58" s="19">
        <f t="shared" si="13"/>
        <v>-394610</v>
      </c>
      <c r="H58" s="19">
        <f>SUM(H53:H57)</f>
        <v>34428</v>
      </c>
      <c r="I58" s="19">
        <f t="shared" si="13"/>
        <v>-249647</v>
      </c>
      <c r="J58" s="19">
        <f t="shared" si="13"/>
        <v>-30000</v>
      </c>
      <c r="K58" s="19">
        <f t="shared" si="13"/>
        <v>-30000</v>
      </c>
      <c r="L58" s="19">
        <f t="shared" si="13"/>
        <v>-30000</v>
      </c>
      <c r="M58" s="19">
        <f t="shared" si="13"/>
        <v>231000</v>
      </c>
      <c r="N58" s="19">
        <f t="shared" si="13"/>
        <v>-1564409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15210291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4">+B58+B48</f>
        <v>1087079</v>
      </c>
      <c r="C61" s="19">
        <f t="shared" si="14"/>
        <v>1947435</v>
      </c>
      <c r="D61" s="19">
        <f t="shared" si="14"/>
        <v>1559362</v>
      </c>
      <c r="E61" s="19">
        <f t="shared" si="14"/>
        <v>1590751</v>
      </c>
      <c r="F61" s="19">
        <f>+F58+F48</f>
        <v>-445538</v>
      </c>
      <c r="G61" s="19">
        <f t="shared" si="14"/>
        <v>637218</v>
      </c>
      <c r="H61" s="19">
        <f t="shared" si="14"/>
        <v>1755393</v>
      </c>
      <c r="I61" s="19">
        <f t="shared" si="14"/>
        <v>850294</v>
      </c>
      <c r="J61" s="19">
        <f t="shared" si="14"/>
        <v>1526724.2644202458</v>
      </c>
      <c r="K61" s="19">
        <f t="shared" si="14"/>
        <v>1901989.6201280989</v>
      </c>
      <c r="L61" s="19">
        <f t="shared" si="14"/>
        <v>1503581.4659358459</v>
      </c>
      <c r="M61" s="19">
        <f t="shared" si="14"/>
        <v>1186056.9311749809</v>
      </c>
      <c r="N61" s="19">
        <f t="shared" si="14"/>
        <v>15100346.281659171</v>
      </c>
    </row>
    <row r="62" spans="1:21" ht="13.5" thickBot="1">
      <c r="A62" s="13" t="s">
        <v>63</v>
      </c>
      <c r="B62" s="14">
        <f t="shared" ref="B62:N62" si="15">+B13-B61</f>
        <v>-410432</v>
      </c>
      <c r="C62" s="14">
        <f t="shared" si="15"/>
        <v>321349</v>
      </c>
      <c r="D62" s="14">
        <f t="shared" si="15"/>
        <v>-495553</v>
      </c>
      <c r="E62" s="14">
        <f t="shared" si="15"/>
        <v>-877942</v>
      </c>
      <c r="F62" s="14">
        <f>+F13-F61</f>
        <v>913380</v>
      </c>
      <c r="G62" s="14">
        <f t="shared" si="15"/>
        <v>-122813</v>
      </c>
      <c r="H62" s="14">
        <f t="shared" si="15"/>
        <v>-259580</v>
      </c>
      <c r="I62" s="14">
        <f t="shared" si="15"/>
        <v>-105005</v>
      </c>
      <c r="J62" s="14">
        <f t="shared" si="15"/>
        <v>-116329.26442024577</v>
      </c>
      <c r="K62" s="14">
        <f t="shared" si="15"/>
        <v>-454940.62012809888</v>
      </c>
      <c r="L62" s="14">
        <f t="shared" si="15"/>
        <v>-374500.46593584586</v>
      </c>
      <c r="M62" s="14">
        <f t="shared" si="15"/>
        <v>-162560.93117498094</v>
      </c>
      <c r="N62" s="14">
        <f t="shared" si="15"/>
        <v>-2144927.281659171</v>
      </c>
    </row>
    <row r="63" spans="1:21" s="6" customFormat="1" ht="13.5" thickTop="1">
      <c r="A63" s="13" t="s">
        <v>64</v>
      </c>
      <c r="B63" s="12">
        <f>+B62</f>
        <v>-410432</v>
      </c>
      <c r="C63" s="12">
        <f t="shared" ref="C63:M63" si="16">B63+C62</f>
        <v>-89083</v>
      </c>
      <c r="D63" s="12">
        <f t="shared" si="16"/>
        <v>-584636</v>
      </c>
      <c r="E63" s="12">
        <f t="shared" si="16"/>
        <v>-1462578</v>
      </c>
      <c r="F63" s="12">
        <f t="shared" si="16"/>
        <v>-549198</v>
      </c>
      <c r="G63" s="12">
        <f t="shared" si="16"/>
        <v>-672011</v>
      </c>
      <c r="H63" s="12">
        <f t="shared" si="16"/>
        <v>-931591</v>
      </c>
      <c r="I63" s="12">
        <f>H63+I62</f>
        <v>-1036596</v>
      </c>
      <c r="J63" s="12">
        <f t="shared" si="16"/>
        <v>-1152925.2644202458</v>
      </c>
      <c r="K63" s="12">
        <f t="shared" si="16"/>
        <v>-1607865.8845483446</v>
      </c>
      <c r="L63" s="12">
        <f t="shared" si="16"/>
        <v>-1982366.3504841905</v>
      </c>
      <c r="M63" s="12">
        <f t="shared" si="16"/>
        <v>-2144927.2816591715</v>
      </c>
      <c r="N63" s="12"/>
    </row>
    <row r="64" spans="1:21">
      <c r="A64" s="13" t="s">
        <v>65</v>
      </c>
      <c r="B64" s="12">
        <f t="shared" ref="B64:M64" si="17">+$B$60+B63</f>
        <v>14799859</v>
      </c>
      <c r="C64" s="12">
        <f t="shared" si="17"/>
        <v>15121208</v>
      </c>
      <c r="D64" s="12">
        <f t="shared" si="17"/>
        <v>14625655</v>
      </c>
      <c r="E64" s="12">
        <f t="shared" si="17"/>
        <v>13747713</v>
      </c>
      <c r="F64" s="12">
        <f>+$B$60+F63</f>
        <v>14661093</v>
      </c>
      <c r="G64" s="12">
        <f t="shared" si="17"/>
        <v>14538280</v>
      </c>
      <c r="H64" s="12">
        <f t="shared" si="17"/>
        <v>14278700</v>
      </c>
      <c r="I64" s="12">
        <f t="shared" si="17"/>
        <v>14173695</v>
      </c>
      <c r="J64" s="12">
        <f t="shared" si="17"/>
        <v>14057365.735579755</v>
      </c>
      <c r="K64" s="12">
        <f t="shared" si="17"/>
        <v>13602425.115451656</v>
      </c>
      <c r="L64" s="12">
        <f t="shared" si="17"/>
        <v>13227924.649515809</v>
      </c>
      <c r="M64" s="12">
        <f t="shared" si="17"/>
        <v>13065363.718340829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141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-1206184.54570327</v>
      </c>
      <c r="C67" s="30">
        <v>-91236.09179938212</v>
      </c>
      <c r="D67" s="30">
        <v>-21884.721865982749</v>
      </c>
      <c r="E67" s="30">
        <v>-419084.90535577014</v>
      </c>
      <c r="F67" s="30">
        <v>-533603.18347677123</v>
      </c>
      <c r="G67" s="30">
        <v>-353332.60886835586</v>
      </c>
      <c r="H67" s="30">
        <v>-728137.69195192121</v>
      </c>
      <c r="I67" s="30">
        <v>-189749.94115324598</v>
      </c>
      <c r="J67" s="30">
        <v>-116329.26442024577</v>
      </c>
      <c r="K67" s="30">
        <v>-454940.62012809888</v>
      </c>
      <c r="L67" s="30">
        <v>-374500.46593584586</v>
      </c>
      <c r="M67" s="30">
        <v>-162560.93117498094</v>
      </c>
      <c r="N67" s="124"/>
    </row>
    <row r="68" spans="1:14" ht="13.5" thickTop="1">
      <c r="A68" s="115" t="s">
        <v>64</v>
      </c>
      <c r="B68" s="31">
        <f>+B67</f>
        <v>-1206184.54570327</v>
      </c>
      <c r="C68" s="31">
        <f t="shared" ref="C68:M68" si="18">+B68+C67</f>
        <v>-1297420.6375026521</v>
      </c>
      <c r="D68" s="31">
        <f t="shared" si="18"/>
        <v>-1319305.3593686349</v>
      </c>
      <c r="E68" s="31">
        <f t="shared" si="18"/>
        <v>-1738390.264724405</v>
      </c>
      <c r="F68" s="31">
        <f t="shared" si="18"/>
        <v>-2271993.4482011762</v>
      </c>
      <c r="G68" s="31">
        <f t="shared" si="18"/>
        <v>-2625326.0570695321</v>
      </c>
      <c r="H68" s="31">
        <f t="shared" si="18"/>
        <v>-3353463.7490214533</v>
      </c>
      <c r="I68" s="31">
        <f t="shared" si="18"/>
        <v>-3543213.6901746993</v>
      </c>
      <c r="J68" s="31">
        <f t="shared" si="18"/>
        <v>-3659542.9545949451</v>
      </c>
      <c r="K68" s="31">
        <f t="shared" si="18"/>
        <v>-4114483.5747230439</v>
      </c>
      <c r="L68" s="31">
        <f t="shared" si="18"/>
        <v>-4488984.0406588893</v>
      </c>
      <c r="M68" s="31">
        <f t="shared" si="18"/>
        <v>-4651544.9718338698</v>
      </c>
      <c r="N68" s="125"/>
    </row>
    <row r="69" spans="1:14">
      <c r="A69" s="115" t="s">
        <v>65</v>
      </c>
      <c r="B69" s="16">
        <f>+B60+B68</f>
        <v>14004106.45429673</v>
      </c>
      <c r="C69" s="16">
        <f>+B69+C67</f>
        <v>13912870.362497348</v>
      </c>
      <c r="D69" s="16">
        <f t="shared" ref="D69:M69" si="19">+C69+D67</f>
        <v>13890985.640631367</v>
      </c>
      <c r="E69" s="16">
        <f t="shared" si="19"/>
        <v>13471900.735275596</v>
      </c>
      <c r="F69" s="16">
        <f t="shared" si="19"/>
        <v>12938297.551798824</v>
      </c>
      <c r="G69" s="16">
        <f t="shared" si="19"/>
        <v>12584964.942930467</v>
      </c>
      <c r="H69" s="16">
        <f t="shared" si="19"/>
        <v>11856827.250978546</v>
      </c>
      <c r="I69" s="16">
        <f t="shared" si="19"/>
        <v>11667077.309825301</v>
      </c>
      <c r="J69" s="16">
        <f t="shared" si="19"/>
        <v>11550748.045405056</v>
      </c>
      <c r="K69" s="16">
        <f t="shared" si="19"/>
        <v>11095807.425276957</v>
      </c>
      <c r="L69" s="16">
        <f t="shared" si="19"/>
        <v>10721306.959341113</v>
      </c>
      <c r="M69" s="16">
        <f t="shared" si="19"/>
        <v>10558746.028166132</v>
      </c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M74" si="20">+B62-B67</f>
        <v>795752.54570327001</v>
      </c>
      <c r="C72" s="31">
        <f t="shared" si="20"/>
        <v>412585.09179938212</v>
      </c>
      <c r="D72" s="31">
        <f t="shared" si="20"/>
        <v>-473668.27813401725</v>
      </c>
      <c r="E72" s="31">
        <f t="shared" si="20"/>
        <v>-458857.09464422986</v>
      </c>
      <c r="F72" s="31">
        <f t="shared" si="20"/>
        <v>1446983.1834767712</v>
      </c>
      <c r="G72" s="31">
        <f t="shared" si="20"/>
        <v>230519.60886835586</v>
      </c>
      <c r="H72" s="31">
        <f t="shared" si="20"/>
        <v>468557.69195192121</v>
      </c>
      <c r="I72" s="31">
        <f t="shared" si="20"/>
        <v>84744.941153245978</v>
      </c>
      <c r="J72" s="31">
        <f t="shared" si="20"/>
        <v>0</v>
      </c>
      <c r="K72" s="31">
        <f t="shared" si="20"/>
        <v>0</v>
      </c>
      <c r="L72" s="31">
        <f t="shared" si="20"/>
        <v>0</v>
      </c>
      <c r="M72" s="31">
        <f t="shared" si="20"/>
        <v>0</v>
      </c>
      <c r="N72" s="125"/>
    </row>
    <row r="73" spans="1:14" s="6" customFormat="1">
      <c r="A73" s="115" t="s">
        <v>64</v>
      </c>
      <c r="B73" s="31">
        <f t="shared" si="20"/>
        <v>795752.54570327001</v>
      </c>
      <c r="C73" s="31">
        <f t="shared" si="20"/>
        <v>1208337.6375026521</v>
      </c>
      <c r="D73" s="31">
        <f t="shared" si="20"/>
        <v>734669.35936863488</v>
      </c>
      <c r="E73" s="31">
        <f t="shared" si="20"/>
        <v>275812.26472440502</v>
      </c>
      <c r="F73" s="31">
        <f t="shared" si="20"/>
        <v>1722795.4482011762</v>
      </c>
      <c r="G73" s="31">
        <f t="shared" si="20"/>
        <v>1953315.0570695321</v>
      </c>
      <c r="H73" s="31">
        <f t="shared" si="20"/>
        <v>2421872.7490214533</v>
      </c>
      <c r="I73" s="31">
        <f t="shared" si="20"/>
        <v>2506617.6901746993</v>
      </c>
      <c r="J73" s="31">
        <f t="shared" si="20"/>
        <v>2506617.6901746993</v>
      </c>
      <c r="K73" s="31">
        <f t="shared" si="20"/>
        <v>2506617.6901746993</v>
      </c>
      <c r="L73" s="31">
        <f t="shared" si="20"/>
        <v>2506617.6901746988</v>
      </c>
      <c r="M73" s="31">
        <f t="shared" si="20"/>
        <v>2506617.6901746984</v>
      </c>
      <c r="N73" s="125">
        <f>+N63-N68</f>
        <v>0</v>
      </c>
    </row>
    <row r="74" spans="1:14">
      <c r="A74" s="121" t="s">
        <v>65</v>
      </c>
      <c r="B74" s="122">
        <f t="shared" si="20"/>
        <v>795752.54570326954</v>
      </c>
      <c r="C74" s="122">
        <f t="shared" si="20"/>
        <v>1208337.6375026517</v>
      </c>
      <c r="D74" s="122">
        <f t="shared" si="20"/>
        <v>734669.35936863348</v>
      </c>
      <c r="E74" s="122">
        <f t="shared" si="20"/>
        <v>275812.26472440362</v>
      </c>
      <c r="F74" s="122">
        <f>+F64-F69</f>
        <v>1722795.4482011758</v>
      </c>
      <c r="G74" s="122">
        <f t="shared" si="20"/>
        <v>1953315.0570695326</v>
      </c>
      <c r="H74" s="122">
        <f t="shared" si="20"/>
        <v>2421872.7490214538</v>
      </c>
      <c r="I74" s="122">
        <f t="shared" si="20"/>
        <v>2506617.6901746988</v>
      </c>
      <c r="J74" s="122">
        <f t="shared" si="20"/>
        <v>2506617.6901746988</v>
      </c>
      <c r="K74" s="122">
        <f t="shared" si="20"/>
        <v>2506617.6901746988</v>
      </c>
      <c r="L74" s="122">
        <f t="shared" si="20"/>
        <v>2506617.690174697</v>
      </c>
      <c r="M74" s="122">
        <f t="shared" si="20"/>
        <v>2506617.690174697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1:U85"/>
  <sheetViews>
    <sheetView showGridLines="0" zoomScaleNormal="100" workbookViewId="0"/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476908</v>
      </c>
      <c r="C5" s="101">
        <v>2210992</v>
      </c>
      <c r="D5" s="101">
        <v>895797</v>
      </c>
      <c r="E5" s="101">
        <v>680181</v>
      </c>
      <c r="F5" s="101">
        <v>395507</v>
      </c>
      <c r="G5" s="101">
        <v>483547</v>
      </c>
      <c r="H5" s="101">
        <v>1462324</v>
      </c>
      <c r="I5" s="101">
        <v>1535686</v>
      </c>
      <c r="J5" s="101">
        <v>1187116</v>
      </c>
      <c r="K5" s="101">
        <v>1395071</v>
      </c>
      <c r="L5" s="101">
        <v>1070364</v>
      </c>
      <c r="M5" s="101">
        <v>738619</v>
      </c>
      <c r="N5" s="102">
        <f>SUM(B5:M5)</f>
        <v>12532112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57792</v>
      </c>
      <c r="D6" s="101">
        <v>168012</v>
      </c>
      <c r="E6" s="101">
        <v>32628</v>
      </c>
      <c r="F6" s="101">
        <v>72335</v>
      </c>
      <c r="G6" s="101">
        <v>30858</v>
      </c>
      <c r="H6" s="101">
        <v>33489</v>
      </c>
      <c r="I6" s="101">
        <v>125594</v>
      </c>
      <c r="J6" s="101">
        <v>223279</v>
      </c>
      <c r="K6" s="101">
        <v>51978</v>
      </c>
      <c r="L6" s="101">
        <v>58717</v>
      </c>
      <c r="M6" s="101">
        <v>284877</v>
      </c>
      <c r="N6" s="103">
        <f>SUM(B6:M6)</f>
        <v>1339298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1063809</v>
      </c>
      <c r="E9" s="12">
        <f t="shared" si="0"/>
        <v>712809</v>
      </c>
      <c r="F9" s="12">
        <f t="shared" si="0"/>
        <v>467842</v>
      </c>
      <c r="G9" s="12">
        <f t="shared" si="0"/>
        <v>514405</v>
      </c>
      <c r="H9" s="12">
        <f t="shared" si="0"/>
        <v>1495813</v>
      </c>
      <c r="I9" s="12">
        <f t="shared" si="0"/>
        <v>1661280</v>
      </c>
      <c r="J9" s="12">
        <f t="shared" si="0"/>
        <v>1410395</v>
      </c>
      <c r="K9" s="12">
        <f t="shared" si="0"/>
        <v>1447049</v>
      </c>
      <c r="L9" s="12">
        <f t="shared" si="0"/>
        <v>1129081</v>
      </c>
      <c r="M9" s="12">
        <f t="shared" si="0"/>
        <v>1023496</v>
      </c>
      <c r="N9" s="12">
        <f t="shared" si="0"/>
        <v>13871410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2268784</v>
      </c>
      <c r="D13" s="14">
        <f t="shared" si="1"/>
        <v>1063809</v>
      </c>
      <c r="E13" s="14">
        <f t="shared" si="1"/>
        <v>712809</v>
      </c>
      <c r="F13" s="14">
        <f t="shared" si="1"/>
        <v>467842</v>
      </c>
      <c r="G13" s="14">
        <f t="shared" si="1"/>
        <v>514405</v>
      </c>
      <c r="H13" s="14">
        <f t="shared" si="1"/>
        <v>1495813</v>
      </c>
      <c r="I13" s="14">
        <f t="shared" si="1"/>
        <v>1661280</v>
      </c>
      <c r="J13" s="14">
        <f t="shared" si="1"/>
        <v>1410395</v>
      </c>
      <c r="K13" s="14">
        <f t="shared" si="1"/>
        <v>1447049</v>
      </c>
      <c r="L13" s="14">
        <f t="shared" si="1"/>
        <v>1129081</v>
      </c>
      <c r="M13" s="14">
        <f t="shared" si="1"/>
        <v>1023496</v>
      </c>
      <c r="N13" s="14">
        <f t="shared" si="1"/>
        <v>13871410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1608163</v>
      </c>
      <c r="D16" s="101">
        <v>538743</v>
      </c>
      <c r="E16" s="101">
        <v>333634</v>
      </c>
      <c r="F16" s="101">
        <v>165810</v>
      </c>
      <c r="G16" s="101">
        <v>246277</v>
      </c>
      <c r="H16" s="101">
        <v>915207</v>
      </c>
      <c r="I16" s="101">
        <v>640537</v>
      </c>
      <c r="J16" s="101">
        <v>456948</v>
      </c>
      <c r="K16" s="101">
        <v>665472</v>
      </c>
      <c r="L16" s="101">
        <v>493571</v>
      </c>
      <c r="M16" s="101">
        <v>431870</v>
      </c>
      <c r="N16" s="103">
        <f>SUM(B16:M16)</f>
        <v>6833046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538743</v>
      </c>
      <c r="E20" s="12">
        <f t="shared" si="2"/>
        <v>333634</v>
      </c>
      <c r="F20" s="12">
        <f t="shared" si="2"/>
        <v>165810</v>
      </c>
      <c r="G20" s="12">
        <f t="shared" si="2"/>
        <v>246277</v>
      </c>
      <c r="H20" s="12">
        <f t="shared" si="2"/>
        <v>915207</v>
      </c>
      <c r="I20" s="12">
        <f t="shared" si="2"/>
        <v>640537</v>
      </c>
      <c r="J20" s="12">
        <f t="shared" si="2"/>
        <v>456948</v>
      </c>
      <c r="K20" s="12">
        <f t="shared" si="2"/>
        <v>665472</v>
      </c>
      <c r="L20" s="12">
        <f t="shared" si="2"/>
        <v>493571</v>
      </c>
      <c r="M20" s="12">
        <f t="shared" si="2"/>
        <v>431870</v>
      </c>
      <c r="N20" s="12">
        <f t="shared" si="2"/>
        <v>6833046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140094</v>
      </c>
      <c r="C23" s="103">
        <f t="shared" si="3"/>
        <v>602829</v>
      </c>
      <c r="D23" s="103">
        <f t="shared" si="3"/>
        <v>357054</v>
      </c>
      <c r="E23" s="103">
        <f t="shared" si="3"/>
        <v>346547</v>
      </c>
      <c r="F23" s="103">
        <f t="shared" si="3"/>
        <v>229697</v>
      </c>
      <c r="G23" s="103">
        <f t="shared" si="3"/>
        <v>237270</v>
      </c>
      <c r="H23" s="103">
        <f>+H5-H16</f>
        <v>547117</v>
      </c>
      <c r="I23" s="103">
        <f t="shared" si="3"/>
        <v>895149</v>
      </c>
      <c r="J23" s="103">
        <f t="shared" si="3"/>
        <v>730168</v>
      </c>
      <c r="K23" s="103">
        <f t="shared" si="3"/>
        <v>729599</v>
      </c>
      <c r="L23" s="103">
        <f t="shared" si="3"/>
        <v>576793</v>
      </c>
      <c r="M23" s="103">
        <f t="shared" si="3"/>
        <v>306749</v>
      </c>
      <c r="N23" s="103">
        <f>SUM(B23:M23)</f>
        <v>5699066</v>
      </c>
    </row>
    <row r="24" spans="1:14" s="6" customFormat="1" hidden="1" outlineLevel="1">
      <c r="A24" s="100" t="s">
        <v>37</v>
      </c>
      <c r="B24" s="103">
        <f t="shared" si="3"/>
        <v>199739</v>
      </c>
      <c r="C24" s="103">
        <f t="shared" si="3"/>
        <v>57792</v>
      </c>
      <c r="D24" s="103">
        <f t="shared" si="3"/>
        <v>168012</v>
      </c>
      <c r="E24" s="103">
        <f t="shared" si="3"/>
        <v>32628</v>
      </c>
      <c r="F24" s="103">
        <f t="shared" si="3"/>
        <v>72335</v>
      </c>
      <c r="G24" s="103">
        <f t="shared" si="3"/>
        <v>30858</v>
      </c>
      <c r="H24" s="103">
        <f>+H6-H17</f>
        <v>33489</v>
      </c>
      <c r="I24" s="103">
        <f t="shared" si="3"/>
        <v>125594</v>
      </c>
      <c r="J24" s="103">
        <f t="shared" si="3"/>
        <v>223279</v>
      </c>
      <c r="K24" s="103">
        <f t="shared" si="3"/>
        <v>51978</v>
      </c>
      <c r="L24" s="103">
        <f t="shared" si="3"/>
        <v>58717</v>
      </c>
      <c r="M24" s="103">
        <f t="shared" si="3"/>
        <v>284877</v>
      </c>
      <c r="N24" s="103">
        <f>SUM(B24:M24)</f>
        <v>1339298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660621</v>
      </c>
      <c r="D27" s="12">
        <f t="shared" si="4"/>
        <v>525066</v>
      </c>
      <c r="E27" s="12">
        <f t="shared" si="4"/>
        <v>379175</v>
      </c>
      <c r="F27" s="12">
        <f t="shared" si="4"/>
        <v>302032</v>
      </c>
      <c r="G27" s="12">
        <f t="shared" si="4"/>
        <v>268128</v>
      </c>
      <c r="H27" s="12">
        <f>SUM(H23:H26)</f>
        <v>580606</v>
      </c>
      <c r="I27" s="12">
        <f t="shared" si="4"/>
        <v>1020743</v>
      </c>
      <c r="J27" s="12">
        <f t="shared" si="4"/>
        <v>953447</v>
      </c>
      <c r="K27" s="12">
        <f t="shared" si="4"/>
        <v>781577</v>
      </c>
      <c r="L27" s="12">
        <f t="shared" si="4"/>
        <v>635510</v>
      </c>
      <c r="M27" s="12">
        <f>SUM(M23:M26)</f>
        <v>591626</v>
      </c>
      <c r="N27" s="12">
        <f t="shared" si="4"/>
        <v>7038364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0.291178446251384</v>
      </c>
      <c r="D28" s="73">
        <f t="shared" si="5"/>
        <v>0.49357168439071297</v>
      </c>
      <c r="E28" s="73">
        <f t="shared" si="5"/>
        <v>0.53194474256077018</v>
      </c>
      <c r="F28" s="73">
        <f t="shared" si="5"/>
        <v>0.64558547543828904</v>
      </c>
      <c r="G28" s="73">
        <f t="shared" si="5"/>
        <v>0.52123910148618302</v>
      </c>
      <c r="H28" s="73">
        <f t="shared" si="5"/>
        <v>0.38815413424004203</v>
      </c>
      <c r="I28" s="73">
        <f t="shared" si="5"/>
        <v>0.61443164307040354</v>
      </c>
      <c r="J28" s="73">
        <f t="shared" si="5"/>
        <v>0.67601416624420818</v>
      </c>
      <c r="K28" s="73">
        <f t="shared" si="5"/>
        <v>0.54011785364559184</v>
      </c>
      <c r="L28" s="73">
        <f t="shared" si="5"/>
        <v>0.56285598641727208</v>
      </c>
      <c r="M28" s="73">
        <f t="shared" si="5"/>
        <v>0.5780442717900216</v>
      </c>
      <c r="N28" s="73">
        <f t="shared" ref="N28" si="6">+N27/N9</f>
        <v>0.50740076171059756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314680</v>
      </c>
      <c r="D30" s="101">
        <v>302225</v>
      </c>
      <c r="E30" s="101">
        <v>322845</v>
      </c>
      <c r="F30" s="101">
        <v>249775</v>
      </c>
      <c r="G30" s="101">
        <v>257345</v>
      </c>
      <c r="H30" s="101">
        <v>328486</v>
      </c>
      <c r="I30" s="101">
        <v>411300.28455869236</v>
      </c>
      <c r="J30" s="101">
        <v>392403.38610869233</v>
      </c>
      <c r="K30" s="101">
        <v>470518.20239961543</v>
      </c>
      <c r="L30" s="101">
        <v>361457.1899586923</v>
      </c>
      <c r="M30" s="101">
        <v>309677.88845369231</v>
      </c>
      <c r="N30" s="103">
        <f>SUM(B30:M30)</f>
        <v>3998115.9514793847</v>
      </c>
    </row>
    <row r="31" spans="1:14" s="6" customFormat="1" hidden="1" outlineLevel="1">
      <c r="A31" s="100" t="s">
        <v>42</v>
      </c>
      <c r="B31" s="101">
        <v>154113</v>
      </c>
      <c r="C31" s="101">
        <v>151966</v>
      </c>
      <c r="D31" s="101">
        <v>157499</v>
      </c>
      <c r="E31" s="101">
        <v>172384</v>
      </c>
      <c r="F31" s="101">
        <v>158302</v>
      </c>
      <c r="G31" s="101">
        <v>149568</v>
      </c>
      <c r="H31" s="101">
        <v>150872</v>
      </c>
      <c r="I31" s="101">
        <v>168672.32326122007</v>
      </c>
      <c r="J31" s="101">
        <v>167875.54497822007</v>
      </c>
      <c r="K31" s="101">
        <v>196120.0843951499</v>
      </c>
      <c r="L31" s="101">
        <v>165873.94264382005</v>
      </c>
      <c r="M31" s="101">
        <v>166838.70938795508</v>
      </c>
      <c r="N31" s="103">
        <f>SUM(B31:M31)</f>
        <v>1960084.6046663651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466646</v>
      </c>
      <c r="D34" s="12">
        <f t="shared" si="7"/>
        <v>459724</v>
      </c>
      <c r="E34" s="12">
        <f t="shared" si="7"/>
        <v>495229</v>
      </c>
      <c r="F34" s="12">
        <f t="shared" si="7"/>
        <v>408077</v>
      </c>
      <c r="G34" s="12">
        <f t="shared" si="7"/>
        <v>406913</v>
      </c>
      <c r="H34" s="12">
        <f t="shared" si="7"/>
        <v>479358</v>
      </c>
      <c r="I34" s="12">
        <f t="shared" si="7"/>
        <v>579972.60781991249</v>
      </c>
      <c r="J34" s="12">
        <f t="shared" si="7"/>
        <v>560278.9310869124</v>
      </c>
      <c r="K34" s="12">
        <f t="shared" si="7"/>
        <v>666638.28679476539</v>
      </c>
      <c r="L34" s="12">
        <f t="shared" si="7"/>
        <v>527331.13260251237</v>
      </c>
      <c r="M34" s="12">
        <f t="shared" si="7"/>
        <v>476516.5978416474</v>
      </c>
      <c r="N34" s="12">
        <f t="shared" si="7"/>
        <v>5958200.55614575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609031</v>
      </c>
      <c r="D37" s="101">
        <v>689724</v>
      </c>
      <c r="E37" s="101">
        <v>914242</v>
      </c>
      <c r="F37" s="101">
        <v>643270</v>
      </c>
      <c r="G37" s="108">
        <v>667513</v>
      </c>
      <c r="H37" s="108">
        <v>646418</v>
      </c>
      <c r="I37" s="108">
        <v>1012375.9411532459</v>
      </c>
      <c r="J37" s="108">
        <v>916858.26442024577</v>
      </c>
      <c r="K37" s="108">
        <v>1045019.6201280988</v>
      </c>
      <c r="L37" s="101">
        <v>879113.46593584574</v>
      </c>
      <c r="M37" s="101">
        <v>781957.93117498083</v>
      </c>
      <c r="N37" s="103">
        <f>SUM(B37:M37)</f>
        <v>9505410.222812416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-466646</v>
      </c>
      <c r="D38" s="7">
        <f t="shared" si="8"/>
        <v>-459724</v>
      </c>
      <c r="E38" s="7">
        <f t="shared" si="8"/>
        <v>-495229</v>
      </c>
      <c r="F38" s="7">
        <f t="shared" si="8"/>
        <v>-408077</v>
      </c>
      <c r="G38" s="7">
        <f t="shared" si="8"/>
        <v>-406913</v>
      </c>
      <c r="H38" s="7">
        <f>-H34</f>
        <v>-479358</v>
      </c>
      <c r="I38" s="7">
        <f t="shared" si="8"/>
        <v>-579972.60781991249</v>
      </c>
      <c r="J38" s="7">
        <f t="shared" si="8"/>
        <v>-560278.9310869124</v>
      </c>
      <c r="K38" s="7">
        <f t="shared" si="8"/>
        <v>-666638.28679476539</v>
      </c>
      <c r="L38" s="7">
        <f t="shared" si="8"/>
        <v>-527331.13260251237</v>
      </c>
      <c r="M38" s="7">
        <f t="shared" si="8"/>
        <v>-476516.5978416474</v>
      </c>
      <c r="N38" s="7">
        <f>SUM(B38:M38)</f>
        <v>-5958200.5561457509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-79108</v>
      </c>
      <c r="D39" s="109">
        <v>-79051</v>
      </c>
      <c r="E39" s="109">
        <v>-77816</v>
      </c>
      <c r="F39" s="109">
        <v>-77648</v>
      </c>
      <c r="G39" s="109">
        <v>-77648</v>
      </c>
      <c r="H39" s="109">
        <v>-77648</v>
      </c>
      <c r="I39" s="109">
        <v>-77087</v>
      </c>
      <c r="J39" s="109">
        <v>-77087</v>
      </c>
      <c r="K39" s="109">
        <v>-77087</v>
      </c>
      <c r="L39" s="109">
        <v>-77087</v>
      </c>
      <c r="M39" s="109">
        <v>-74530</v>
      </c>
      <c r="N39" s="103">
        <f>SUM(B39:M39)</f>
        <v>-929184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03">
        <f>SUM(B40:M40)</f>
        <v>-85340</v>
      </c>
    </row>
    <row r="41" spans="1:14" s="6" customFormat="1" ht="12.75" hidden="1" customHeight="1" outlineLevel="1">
      <c r="A41" s="100" t="s">
        <v>48</v>
      </c>
      <c r="B41" s="110">
        <v>-3350</v>
      </c>
      <c r="C41" s="110">
        <v>-3350</v>
      </c>
      <c r="D41" s="110">
        <v>-3350</v>
      </c>
      <c r="E41" s="110">
        <v>-3350</v>
      </c>
      <c r="F41" s="110">
        <v>-3350</v>
      </c>
      <c r="G41" s="110">
        <v>-8350</v>
      </c>
      <c r="H41" s="110">
        <v>-3350</v>
      </c>
      <c r="I41" s="110">
        <v>-4350</v>
      </c>
      <c r="J41" s="110">
        <v>-4350</v>
      </c>
      <c r="K41" s="110">
        <v>-4350</v>
      </c>
      <c r="L41" s="110">
        <v>-4350</v>
      </c>
      <c r="M41" s="110">
        <v>-47350</v>
      </c>
      <c r="N41" s="104">
        <f>SUM(B41:M41)</f>
        <v>-93200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52320</v>
      </c>
      <c r="D42" s="12">
        <f t="shared" si="9"/>
        <v>139992</v>
      </c>
      <c r="E42" s="12">
        <f t="shared" si="9"/>
        <v>330625</v>
      </c>
      <c r="F42" s="12">
        <f t="shared" si="9"/>
        <v>146973</v>
      </c>
      <c r="G42" s="12">
        <f t="shared" si="9"/>
        <v>167463</v>
      </c>
      <c r="H42" s="12">
        <f t="shared" si="9"/>
        <v>78923</v>
      </c>
      <c r="I42" s="12">
        <f t="shared" si="9"/>
        <v>344098.33333333337</v>
      </c>
      <c r="J42" s="12">
        <f t="shared" si="9"/>
        <v>268274.33333333337</v>
      </c>
      <c r="K42" s="12">
        <f t="shared" si="9"/>
        <v>290076.33333333337</v>
      </c>
      <c r="L42" s="12">
        <f t="shared" si="9"/>
        <v>263580.33333333337</v>
      </c>
      <c r="M42" s="12">
        <f t="shared" si="9"/>
        <v>177133.33333333343</v>
      </c>
      <c r="N42" s="12">
        <f t="shared" si="9"/>
        <v>2439485.6666666651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10">
        <v>234703</v>
      </c>
      <c r="C44" s="111">
        <v>219113</v>
      </c>
      <c r="D44" s="111">
        <v>210081</v>
      </c>
      <c r="E44" s="111">
        <v>259750</v>
      </c>
      <c r="F44" s="111">
        <v>-183271</v>
      </c>
      <c r="G44" s="111">
        <v>211175</v>
      </c>
      <c r="H44" s="111">
        <v>247477</v>
      </c>
      <c r="I44" s="111">
        <v>245422</v>
      </c>
      <c r="J44" s="111">
        <v>271223</v>
      </c>
      <c r="K44" s="111">
        <v>309803</v>
      </c>
      <c r="L44" s="111">
        <v>249099</v>
      </c>
      <c r="M44" s="111">
        <v>-130463</v>
      </c>
      <c r="N44" s="126">
        <f>SUM(B44:M44)</f>
        <v>2144112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219113</v>
      </c>
      <c r="D46" s="12">
        <f t="shared" ref="D46:N46" si="10">SUM(D44:D45)</f>
        <v>210081</v>
      </c>
      <c r="E46" s="12">
        <f t="shared" si="10"/>
        <v>259750</v>
      </c>
      <c r="F46" s="12">
        <f t="shared" si="10"/>
        <v>-183271</v>
      </c>
      <c r="G46" s="12">
        <f t="shared" si="10"/>
        <v>211175</v>
      </c>
      <c r="H46" s="12">
        <f t="shared" si="10"/>
        <v>247477</v>
      </c>
      <c r="I46" s="12">
        <f t="shared" si="10"/>
        <v>245422</v>
      </c>
      <c r="J46" s="12">
        <f t="shared" si="10"/>
        <v>271223</v>
      </c>
      <c r="K46" s="12">
        <f t="shared" si="10"/>
        <v>309803</v>
      </c>
      <c r="L46" s="12">
        <f t="shared" si="10"/>
        <v>249099</v>
      </c>
      <c r="M46" s="12">
        <f t="shared" si="10"/>
        <v>-130463</v>
      </c>
      <c r="N46" s="12">
        <f t="shared" si="10"/>
        <v>2144112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2346242</v>
      </c>
      <c r="D48" s="19">
        <f t="shared" si="11"/>
        <v>1348540</v>
      </c>
      <c r="E48" s="19">
        <f t="shared" si="11"/>
        <v>1419238</v>
      </c>
      <c r="F48" s="19">
        <f>+F20+F34+F42+F46</f>
        <v>537589</v>
      </c>
      <c r="G48" s="19">
        <f t="shared" si="11"/>
        <v>1031828</v>
      </c>
      <c r="H48" s="19">
        <f t="shared" si="11"/>
        <v>1720965</v>
      </c>
      <c r="I48" s="19">
        <f t="shared" si="11"/>
        <v>1810029.941153246</v>
      </c>
      <c r="J48" s="19">
        <f t="shared" si="11"/>
        <v>1556724.2644202458</v>
      </c>
      <c r="K48" s="19">
        <f t="shared" si="11"/>
        <v>1931989.6201280989</v>
      </c>
      <c r="L48" s="19">
        <f t="shared" si="11"/>
        <v>1533581.4659358459</v>
      </c>
      <c r="M48" s="19">
        <f t="shared" si="11"/>
        <v>955056.93117498094</v>
      </c>
      <c r="N48" s="19">
        <f t="shared" si="11"/>
        <v>17374844.222812414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-77458</v>
      </c>
      <c r="D50" s="12">
        <f t="shared" si="12"/>
        <v>-284731</v>
      </c>
      <c r="E50" s="12">
        <f t="shared" si="12"/>
        <v>-706429</v>
      </c>
      <c r="F50" s="12">
        <f>+F13-F48</f>
        <v>-69747</v>
      </c>
      <c r="G50" s="12">
        <f t="shared" si="12"/>
        <v>-517423</v>
      </c>
      <c r="H50" s="12">
        <f>+H13-H48</f>
        <v>-225152</v>
      </c>
      <c r="I50" s="12">
        <f t="shared" si="12"/>
        <v>-148749.94115324598</v>
      </c>
      <c r="J50" s="12">
        <f t="shared" si="12"/>
        <v>-146329.26442024577</v>
      </c>
      <c r="K50" s="12">
        <f t="shared" si="12"/>
        <v>-484940.62012809888</v>
      </c>
      <c r="L50" s="12">
        <f t="shared" si="12"/>
        <v>-404500.46593584586</v>
      </c>
      <c r="M50" s="12">
        <f t="shared" si="12"/>
        <v>68439.068825019058</v>
      </c>
      <c r="N50" s="12">
        <f>SUM(B50:M50)</f>
        <v>-3503434.2228124174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107140</v>
      </c>
      <c r="D53" s="10">
        <v>2541</v>
      </c>
      <c r="E53" s="10">
        <v>42587</v>
      </c>
      <c r="F53" s="10">
        <v>7284</v>
      </c>
      <c r="G53" s="10">
        <v>970</v>
      </c>
      <c r="H53" s="23">
        <v>8623</v>
      </c>
      <c r="I53" s="10">
        <v>71000</v>
      </c>
      <c r="J53" s="10">
        <v>0</v>
      </c>
      <c r="K53" s="10">
        <v>0</v>
      </c>
      <c r="L53" s="10">
        <v>0</v>
      </c>
      <c r="M53" s="10">
        <v>261000</v>
      </c>
      <c r="N53" s="10">
        <f>SUM(B53:M53)</f>
        <v>508185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95000</v>
      </c>
    </row>
    <row r="55" spans="1:21" s="6" customFormat="1">
      <c r="A55" s="6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>SUM(B55:M55)</f>
        <v>380402</v>
      </c>
    </row>
    <row r="56" spans="1:21" s="6" customFormat="1">
      <c r="A56" s="37" t="s">
        <v>58</v>
      </c>
      <c r="B56" s="7">
        <v>-19539</v>
      </c>
      <c r="C56" s="7">
        <v>-18488</v>
      </c>
      <c r="D56" s="7">
        <v>-23302</v>
      </c>
      <c r="E56" s="7">
        <v>-10141</v>
      </c>
      <c r="F56" s="7">
        <v>-16697</v>
      </c>
      <c r="G56" s="7">
        <v>-50933</v>
      </c>
      <c r="H56" s="7">
        <v>-10065</v>
      </c>
      <c r="I56" s="7">
        <v>-15000</v>
      </c>
      <c r="J56" s="7">
        <v>-15000</v>
      </c>
      <c r="K56" s="7">
        <v>-15000</v>
      </c>
      <c r="L56" s="7">
        <v>-15000</v>
      </c>
      <c r="M56" s="7">
        <v>-15000</v>
      </c>
      <c r="N56" s="7">
        <f>SUM(B56:M56)</f>
        <v>-224165</v>
      </c>
    </row>
    <row r="57" spans="1:21" s="6" customFormat="1">
      <c r="A57" s="6" t="s">
        <v>134</v>
      </c>
      <c r="B57" s="22">
        <v>-463884</v>
      </c>
      <c r="C57" s="7">
        <v>-487459</v>
      </c>
      <c r="D57" s="7">
        <v>231583</v>
      </c>
      <c r="E57" s="7">
        <v>139067</v>
      </c>
      <c r="F57" s="7">
        <v>-1068714</v>
      </c>
      <c r="G57" s="7">
        <v>-344647</v>
      </c>
      <c r="H57" s="7">
        <v>35870</v>
      </c>
      <c r="I57" s="7">
        <v>-15000</v>
      </c>
      <c r="J57" s="7">
        <v>-15000</v>
      </c>
      <c r="K57" s="7">
        <v>-15000</v>
      </c>
      <c r="L57" s="7">
        <v>-15000</v>
      </c>
      <c r="M57" s="7">
        <v>-15000</v>
      </c>
      <c r="N57" s="22">
        <f>SUM(B57:M57)</f>
        <v>-2033184</v>
      </c>
    </row>
    <row r="58" spans="1:21" s="6" customFormat="1">
      <c r="A58" s="13" t="s">
        <v>60</v>
      </c>
      <c r="B58" s="19">
        <f t="shared" ref="B58:N58" si="13">SUM(B53:B57)</f>
        <v>-95981</v>
      </c>
      <c r="C58" s="19">
        <f t="shared" si="13"/>
        <v>-398807</v>
      </c>
      <c r="D58" s="19">
        <f t="shared" si="13"/>
        <v>210822</v>
      </c>
      <c r="E58" s="19">
        <f t="shared" si="13"/>
        <v>171513</v>
      </c>
      <c r="F58" s="19">
        <f t="shared" si="13"/>
        <v>-983127</v>
      </c>
      <c r="G58" s="19">
        <f t="shared" si="13"/>
        <v>-394610</v>
      </c>
      <c r="H58" s="19">
        <f>SUM(H53:H57)</f>
        <v>34428</v>
      </c>
      <c r="I58" s="19">
        <f t="shared" si="13"/>
        <v>41000</v>
      </c>
      <c r="J58" s="19">
        <f t="shared" si="13"/>
        <v>-30000</v>
      </c>
      <c r="K58" s="19">
        <f t="shared" si="13"/>
        <v>-30000</v>
      </c>
      <c r="L58" s="19">
        <f t="shared" si="13"/>
        <v>-30000</v>
      </c>
      <c r="M58" s="19">
        <f t="shared" si="13"/>
        <v>231000</v>
      </c>
      <c r="N58" s="19">
        <f t="shared" si="13"/>
        <v>-1273762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15210291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4">+B58+B48</f>
        <v>1087079</v>
      </c>
      <c r="C61" s="19">
        <f t="shared" si="14"/>
        <v>1947435</v>
      </c>
      <c r="D61" s="19">
        <f t="shared" si="14"/>
        <v>1559362</v>
      </c>
      <c r="E61" s="19">
        <f t="shared" si="14"/>
        <v>1590751</v>
      </c>
      <c r="F61" s="19">
        <f>+F58+F48</f>
        <v>-445538</v>
      </c>
      <c r="G61" s="19">
        <f t="shared" si="14"/>
        <v>637218</v>
      </c>
      <c r="H61" s="19">
        <f t="shared" si="14"/>
        <v>1755393</v>
      </c>
      <c r="I61" s="19">
        <f t="shared" si="14"/>
        <v>1851029.941153246</v>
      </c>
      <c r="J61" s="19">
        <f t="shared" si="14"/>
        <v>1526724.2644202458</v>
      </c>
      <c r="K61" s="19">
        <f t="shared" si="14"/>
        <v>1901989.6201280989</v>
      </c>
      <c r="L61" s="19">
        <f t="shared" si="14"/>
        <v>1503581.4659358459</v>
      </c>
      <c r="M61" s="19">
        <f t="shared" si="14"/>
        <v>1186056.9311749809</v>
      </c>
      <c r="N61" s="19">
        <f t="shared" si="14"/>
        <v>16101082.222812414</v>
      </c>
    </row>
    <row r="62" spans="1:21" ht="13.5" thickBot="1">
      <c r="A62" s="13" t="s">
        <v>63</v>
      </c>
      <c r="B62" s="14">
        <f t="shared" ref="B62:N62" si="15">+B13-B61</f>
        <v>-410432</v>
      </c>
      <c r="C62" s="14">
        <f t="shared" si="15"/>
        <v>321349</v>
      </c>
      <c r="D62" s="14">
        <f t="shared" si="15"/>
        <v>-495553</v>
      </c>
      <c r="E62" s="14">
        <f t="shared" si="15"/>
        <v>-877942</v>
      </c>
      <c r="F62" s="14">
        <f>+F13-F61</f>
        <v>913380</v>
      </c>
      <c r="G62" s="14">
        <f t="shared" si="15"/>
        <v>-122813</v>
      </c>
      <c r="H62" s="14">
        <f t="shared" si="15"/>
        <v>-259580</v>
      </c>
      <c r="I62" s="14">
        <f t="shared" si="15"/>
        <v>-189749.94115324598</v>
      </c>
      <c r="J62" s="14">
        <f t="shared" si="15"/>
        <v>-116329.26442024577</v>
      </c>
      <c r="K62" s="14">
        <f t="shared" si="15"/>
        <v>-454940.62012809888</v>
      </c>
      <c r="L62" s="14">
        <f t="shared" si="15"/>
        <v>-374500.46593584586</v>
      </c>
      <c r="M62" s="14">
        <f t="shared" si="15"/>
        <v>-162560.93117498094</v>
      </c>
      <c r="N62" s="14">
        <f t="shared" si="15"/>
        <v>-2229672.2228124142</v>
      </c>
    </row>
    <row r="63" spans="1:21" s="6" customFormat="1" ht="13.5" thickTop="1">
      <c r="A63" s="13" t="s">
        <v>64</v>
      </c>
      <c r="B63" s="12">
        <f>+B62</f>
        <v>-410432</v>
      </c>
      <c r="C63" s="12">
        <f t="shared" ref="C63:M63" si="16">B63+C62</f>
        <v>-89083</v>
      </c>
      <c r="D63" s="12">
        <f t="shared" si="16"/>
        <v>-584636</v>
      </c>
      <c r="E63" s="12">
        <f t="shared" si="16"/>
        <v>-1462578</v>
      </c>
      <c r="F63" s="12">
        <f t="shared" si="16"/>
        <v>-549198</v>
      </c>
      <c r="G63" s="12">
        <f t="shared" si="16"/>
        <v>-672011</v>
      </c>
      <c r="H63" s="12">
        <f t="shared" si="16"/>
        <v>-931591</v>
      </c>
      <c r="I63" s="12">
        <f>H63+I62</f>
        <v>-1121340.941153246</v>
      </c>
      <c r="J63" s="12">
        <f t="shared" si="16"/>
        <v>-1237670.2055734918</v>
      </c>
      <c r="K63" s="12">
        <f t="shared" si="16"/>
        <v>-1692610.8257015906</v>
      </c>
      <c r="L63" s="12">
        <f t="shared" si="16"/>
        <v>-2067111.2916374365</v>
      </c>
      <c r="M63" s="12">
        <f t="shared" si="16"/>
        <v>-2229672.2228124174</v>
      </c>
      <c r="N63" s="12"/>
    </row>
    <row r="64" spans="1:21">
      <c r="A64" s="13" t="s">
        <v>65</v>
      </c>
      <c r="B64" s="12">
        <f t="shared" ref="B64:M64" si="17">+$B$60+B63</f>
        <v>14799859</v>
      </c>
      <c r="C64" s="12">
        <f t="shared" si="17"/>
        <v>15121208</v>
      </c>
      <c r="D64" s="12">
        <f t="shared" si="17"/>
        <v>14625655</v>
      </c>
      <c r="E64" s="12">
        <f t="shared" si="17"/>
        <v>13747713</v>
      </c>
      <c r="F64" s="12">
        <f>+$B$60+F63</f>
        <v>14661093</v>
      </c>
      <c r="G64" s="12">
        <f t="shared" si="17"/>
        <v>14538280</v>
      </c>
      <c r="H64" s="12">
        <f t="shared" si="17"/>
        <v>14278700</v>
      </c>
      <c r="I64" s="12">
        <f t="shared" si="17"/>
        <v>14088950.058846753</v>
      </c>
      <c r="J64" s="12">
        <f t="shared" si="17"/>
        <v>13972620.794426508</v>
      </c>
      <c r="K64" s="12">
        <f t="shared" si="17"/>
        <v>13517680.174298409</v>
      </c>
      <c r="L64" s="12">
        <f t="shared" si="17"/>
        <v>13143179.708362564</v>
      </c>
      <c r="M64" s="12">
        <f t="shared" si="17"/>
        <v>12980618.777187582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141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-1206184.54570327</v>
      </c>
      <c r="C67" s="30">
        <v>-91236.09179938212</v>
      </c>
      <c r="D67" s="30">
        <v>-21884.721865982749</v>
      </c>
      <c r="E67" s="30">
        <v>-419084.90535577014</v>
      </c>
      <c r="F67" s="30">
        <v>-533603.18347677123</v>
      </c>
      <c r="G67" s="30">
        <v>-353332.60886835586</v>
      </c>
      <c r="H67" s="30">
        <v>-728137.69195192121</v>
      </c>
      <c r="I67" s="30">
        <v>-189749.94115324598</v>
      </c>
      <c r="J67" s="30">
        <v>-116329.26442024577</v>
      </c>
      <c r="K67" s="30">
        <v>-454940.62012809888</v>
      </c>
      <c r="L67" s="30">
        <v>-374500.46593584586</v>
      </c>
      <c r="M67" s="30">
        <v>-162560.93117498094</v>
      </c>
      <c r="N67" s="124"/>
    </row>
    <row r="68" spans="1:14" ht="13.5" thickTop="1">
      <c r="A68" s="115" t="s">
        <v>64</v>
      </c>
      <c r="B68" s="31">
        <f>+B67</f>
        <v>-1206184.54570327</v>
      </c>
      <c r="C68" s="31">
        <f t="shared" ref="C68:M68" si="18">+B68+C67</f>
        <v>-1297420.6375026521</v>
      </c>
      <c r="D68" s="31">
        <f t="shared" si="18"/>
        <v>-1319305.3593686349</v>
      </c>
      <c r="E68" s="31">
        <f t="shared" si="18"/>
        <v>-1738390.264724405</v>
      </c>
      <c r="F68" s="31">
        <f t="shared" si="18"/>
        <v>-2271993.4482011762</v>
      </c>
      <c r="G68" s="31">
        <f t="shared" si="18"/>
        <v>-2625326.0570695321</v>
      </c>
      <c r="H68" s="31">
        <f t="shared" si="18"/>
        <v>-3353463.7490214533</v>
      </c>
      <c r="I68" s="31">
        <f t="shared" si="18"/>
        <v>-3543213.6901746993</v>
      </c>
      <c r="J68" s="31">
        <f t="shared" si="18"/>
        <v>-3659542.9545949451</v>
      </c>
      <c r="K68" s="31">
        <f t="shared" si="18"/>
        <v>-4114483.5747230439</v>
      </c>
      <c r="L68" s="31">
        <f t="shared" si="18"/>
        <v>-4488984.0406588893</v>
      </c>
      <c r="M68" s="31">
        <f t="shared" si="18"/>
        <v>-4651544.9718338698</v>
      </c>
      <c r="N68" s="125"/>
    </row>
    <row r="69" spans="1:14">
      <c r="A69" s="115" t="s">
        <v>65</v>
      </c>
      <c r="B69" s="16">
        <f>+B60+B68</f>
        <v>14004106.45429673</v>
      </c>
      <c r="C69" s="16">
        <f>+B69+C67</f>
        <v>13912870.362497348</v>
      </c>
      <c r="D69" s="16">
        <f t="shared" ref="D69:M69" si="19">+C69+D67</f>
        <v>13890985.640631367</v>
      </c>
      <c r="E69" s="16">
        <f t="shared" si="19"/>
        <v>13471900.735275596</v>
      </c>
      <c r="F69" s="16">
        <f t="shared" si="19"/>
        <v>12938297.551798824</v>
      </c>
      <c r="G69" s="16">
        <f t="shared" si="19"/>
        <v>12584964.942930467</v>
      </c>
      <c r="H69" s="16">
        <f t="shared" si="19"/>
        <v>11856827.250978546</v>
      </c>
      <c r="I69" s="16">
        <f t="shared" si="19"/>
        <v>11667077.309825301</v>
      </c>
      <c r="J69" s="16">
        <f t="shared" si="19"/>
        <v>11550748.045405056</v>
      </c>
      <c r="K69" s="16">
        <f t="shared" si="19"/>
        <v>11095807.425276957</v>
      </c>
      <c r="L69" s="16">
        <f t="shared" si="19"/>
        <v>10721306.959341113</v>
      </c>
      <c r="M69" s="16">
        <f t="shared" si="19"/>
        <v>10558746.028166132</v>
      </c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M74" si="20">+B62-B67</f>
        <v>795752.54570327001</v>
      </c>
      <c r="C72" s="31">
        <f t="shared" si="20"/>
        <v>412585.09179938212</v>
      </c>
      <c r="D72" s="31">
        <f t="shared" si="20"/>
        <v>-473668.27813401725</v>
      </c>
      <c r="E72" s="31">
        <f t="shared" si="20"/>
        <v>-458857.09464422986</v>
      </c>
      <c r="F72" s="31">
        <f t="shared" si="20"/>
        <v>1446983.1834767712</v>
      </c>
      <c r="G72" s="31">
        <f t="shared" si="20"/>
        <v>230519.60886835586</v>
      </c>
      <c r="H72" s="31">
        <f t="shared" si="20"/>
        <v>468557.69195192121</v>
      </c>
      <c r="I72" s="31">
        <f t="shared" si="20"/>
        <v>0</v>
      </c>
      <c r="J72" s="31">
        <f t="shared" si="20"/>
        <v>0</v>
      </c>
      <c r="K72" s="31">
        <f t="shared" si="20"/>
        <v>0</v>
      </c>
      <c r="L72" s="31">
        <f t="shared" si="20"/>
        <v>0</v>
      </c>
      <c r="M72" s="31">
        <f t="shared" si="20"/>
        <v>0</v>
      </c>
      <c r="N72" s="125"/>
    </row>
    <row r="73" spans="1:14" s="6" customFormat="1">
      <c r="A73" s="115" t="s">
        <v>64</v>
      </c>
      <c r="B73" s="31">
        <f t="shared" si="20"/>
        <v>795752.54570327001</v>
      </c>
      <c r="C73" s="31">
        <f t="shared" si="20"/>
        <v>1208337.6375026521</v>
      </c>
      <c r="D73" s="31">
        <f t="shared" si="20"/>
        <v>734669.35936863488</v>
      </c>
      <c r="E73" s="31">
        <f t="shared" si="20"/>
        <v>275812.26472440502</v>
      </c>
      <c r="F73" s="31">
        <f t="shared" si="20"/>
        <v>1722795.4482011762</v>
      </c>
      <c r="G73" s="31">
        <f t="shared" si="20"/>
        <v>1953315.0570695321</v>
      </c>
      <c r="H73" s="31">
        <f t="shared" si="20"/>
        <v>2421872.7490214533</v>
      </c>
      <c r="I73" s="31">
        <f t="shared" si="20"/>
        <v>2421872.7490214533</v>
      </c>
      <c r="J73" s="31">
        <f t="shared" si="20"/>
        <v>2421872.7490214533</v>
      </c>
      <c r="K73" s="31">
        <f t="shared" si="20"/>
        <v>2421872.7490214533</v>
      </c>
      <c r="L73" s="31">
        <f t="shared" si="20"/>
        <v>2421872.7490214529</v>
      </c>
      <c r="M73" s="31">
        <f t="shared" si="20"/>
        <v>2421872.7490214524</v>
      </c>
      <c r="N73" s="125">
        <f>+N63-N68</f>
        <v>0</v>
      </c>
    </row>
    <row r="74" spans="1:14">
      <c r="A74" s="121" t="s">
        <v>65</v>
      </c>
      <c r="B74" s="122">
        <f t="shared" si="20"/>
        <v>795752.54570326954</v>
      </c>
      <c r="C74" s="122">
        <f t="shared" si="20"/>
        <v>1208337.6375026517</v>
      </c>
      <c r="D74" s="122">
        <f t="shared" si="20"/>
        <v>734669.35936863348</v>
      </c>
      <c r="E74" s="122">
        <f t="shared" si="20"/>
        <v>275812.26472440362</v>
      </c>
      <c r="F74" s="122">
        <f>+F64-F69</f>
        <v>1722795.4482011758</v>
      </c>
      <c r="G74" s="122">
        <f t="shared" si="20"/>
        <v>1953315.0570695326</v>
      </c>
      <c r="H74" s="122">
        <f t="shared" si="20"/>
        <v>2421872.7490214538</v>
      </c>
      <c r="I74" s="122">
        <f t="shared" si="20"/>
        <v>2421872.7490214519</v>
      </c>
      <c r="J74" s="122">
        <f t="shared" si="20"/>
        <v>2421872.7490214519</v>
      </c>
      <c r="K74" s="122">
        <f t="shared" si="20"/>
        <v>2421872.7490214519</v>
      </c>
      <c r="L74" s="122">
        <f t="shared" si="20"/>
        <v>2421872.7490214519</v>
      </c>
      <c r="M74" s="122">
        <f t="shared" si="20"/>
        <v>2421872.7490214501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1:U85"/>
  <sheetViews>
    <sheetView showGridLines="0" zoomScaleNormal="100" workbookViewId="0"/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76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476908</v>
      </c>
      <c r="C5" s="101">
        <v>2210992</v>
      </c>
      <c r="D5" s="101">
        <v>895797</v>
      </c>
      <c r="E5" s="101">
        <v>680181</v>
      </c>
      <c r="F5" s="101">
        <v>395507</v>
      </c>
      <c r="G5" s="101">
        <v>483547</v>
      </c>
      <c r="H5" s="101">
        <v>2497871</v>
      </c>
      <c r="I5" s="101">
        <v>1535686</v>
      </c>
      <c r="J5" s="101">
        <v>1187116</v>
      </c>
      <c r="K5" s="101">
        <v>1395071</v>
      </c>
      <c r="L5" s="101">
        <v>1070364</v>
      </c>
      <c r="M5" s="101">
        <v>738619</v>
      </c>
      <c r="N5" s="102">
        <f>SUM(B5:M5)</f>
        <v>13567659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57792</v>
      </c>
      <c r="D6" s="101">
        <v>168012</v>
      </c>
      <c r="E6" s="101">
        <v>32628</v>
      </c>
      <c r="F6" s="101">
        <v>72335</v>
      </c>
      <c r="G6" s="101">
        <v>30858</v>
      </c>
      <c r="H6" s="101">
        <v>51087</v>
      </c>
      <c r="I6" s="101">
        <v>125594</v>
      </c>
      <c r="J6" s="101">
        <v>223279</v>
      </c>
      <c r="K6" s="101">
        <v>51978</v>
      </c>
      <c r="L6" s="101">
        <v>58717</v>
      </c>
      <c r="M6" s="101">
        <v>284877</v>
      </c>
      <c r="N6" s="103">
        <f>SUM(B6:M6)</f>
        <v>1356896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1063809</v>
      </c>
      <c r="E9" s="12">
        <f t="shared" si="0"/>
        <v>712809</v>
      </c>
      <c r="F9" s="12">
        <f t="shared" si="0"/>
        <v>467842</v>
      </c>
      <c r="G9" s="12">
        <f t="shared" si="0"/>
        <v>514405</v>
      </c>
      <c r="H9" s="12">
        <f t="shared" si="0"/>
        <v>2548958</v>
      </c>
      <c r="I9" s="12">
        <f t="shared" si="0"/>
        <v>1661280</v>
      </c>
      <c r="J9" s="12">
        <f t="shared" si="0"/>
        <v>1410395</v>
      </c>
      <c r="K9" s="12">
        <f t="shared" si="0"/>
        <v>1447049</v>
      </c>
      <c r="L9" s="12">
        <f t="shared" si="0"/>
        <v>1129081</v>
      </c>
      <c r="M9" s="12">
        <f t="shared" si="0"/>
        <v>1023496</v>
      </c>
      <c r="N9" s="12">
        <f t="shared" si="0"/>
        <v>14924555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2268784</v>
      </c>
      <c r="D13" s="14">
        <f t="shared" si="1"/>
        <v>1063809</v>
      </c>
      <c r="E13" s="14">
        <f t="shared" si="1"/>
        <v>712809</v>
      </c>
      <c r="F13" s="14">
        <f t="shared" si="1"/>
        <v>467842</v>
      </c>
      <c r="G13" s="14">
        <f t="shared" si="1"/>
        <v>514405</v>
      </c>
      <c r="H13" s="14">
        <f t="shared" si="1"/>
        <v>2548958</v>
      </c>
      <c r="I13" s="14">
        <f t="shared" si="1"/>
        <v>1661280</v>
      </c>
      <c r="J13" s="14">
        <f t="shared" si="1"/>
        <v>1410395</v>
      </c>
      <c r="K13" s="14">
        <f t="shared" si="1"/>
        <v>1447049</v>
      </c>
      <c r="L13" s="14">
        <f t="shared" si="1"/>
        <v>1129081</v>
      </c>
      <c r="M13" s="14">
        <f t="shared" si="1"/>
        <v>1023496</v>
      </c>
      <c r="N13" s="14">
        <f t="shared" si="1"/>
        <v>14924555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1608163</v>
      </c>
      <c r="D16" s="101">
        <v>538743</v>
      </c>
      <c r="E16" s="101">
        <v>333634</v>
      </c>
      <c r="F16" s="101">
        <v>165810</v>
      </c>
      <c r="G16" s="101">
        <v>246277</v>
      </c>
      <c r="H16" s="101">
        <v>1512502</v>
      </c>
      <c r="I16" s="101">
        <v>640537</v>
      </c>
      <c r="J16" s="101">
        <v>456948</v>
      </c>
      <c r="K16" s="101">
        <v>665472</v>
      </c>
      <c r="L16" s="101">
        <v>493571</v>
      </c>
      <c r="M16" s="101">
        <v>431870</v>
      </c>
      <c r="N16" s="103">
        <f>SUM(B16:M16)</f>
        <v>7430341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538743</v>
      </c>
      <c r="E20" s="12">
        <f t="shared" si="2"/>
        <v>333634</v>
      </c>
      <c r="F20" s="12">
        <f t="shared" si="2"/>
        <v>165810</v>
      </c>
      <c r="G20" s="12">
        <f t="shared" si="2"/>
        <v>246277</v>
      </c>
      <c r="H20" s="12">
        <f t="shared" si="2"/>
        <v>1512502</v>
      </c>
      <c r="I20" s="12">
        <f t="shared" si="2"/>
        <v>640537</v>
      </c>
      <c r="J20" s="12">
        <f t="shared" si="2"/>
        <v>456948</v>
      </c>
      <c r="K20" s="12">
        <f t="shared" si="2"/>
        <v>665472</v>
      </c>
      <c r="L20" s="12">
        <f t="shared" si="2"/>
        <v>493571</v>
      </c>
      <c r="M20" s="12">
        <f t="shared" si="2"/>
        <v>431870</v>
      </c>
      <c r="N20" s="12">
        <f t="shared" si="2"/>
        <v>7430341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140094</v>
      </c>
      <c r="C23" s="103">
        <f t="shared" si="3"/>
        <v>602829</v>
      </c>
      <c r="D23" s="103">
        <f t="shared" si="3"/>
        <v>357054</v>
      </c>
      <c r="E23" s="103">
        <f t="shared" si="3"/>
        <v>346547</v>
      </c>
      <c r="F23" s="103">
        <f t="shared" si="3"/>
        <v>229697</v>
      </c>
      <c r="G23" s="103">
        <f t="shared" si="3"/>
        <v>237270</v>
      </c>
      <c r="H23" s="103">
        <f t="shared" si="3"/>
        <v>985369</v>
      </c>
      <c r="I23" s="103">
        <f t="shared" si="3"/>
        <v>895149</v>
      </c>
      <c r="J23" s="103">
        <f t="shared" si="3"/>
        <v>730168</v>
      </c>
      <c r="K23" s="103">
        <f t="shared" si="3"/>
        <v>729599</v>
      </c>
      <c r="L23" s="103">
        <f t="shared" si="3"/>
        <v>576793</v>
      </c>
      <c r="M23" s="103">
        <f t="shared" si="3"/>
        <v>306749</v>
      </c>
      <c r="N23" s="103">
        <f>SUM(B23:M23)</f>
        <v>6137318</v>
      </c>
    </row>
    <row r="24" spans="1:14" s="6" customFormat="1" hidden="1" outlineLevel="1">
      <c r="A24" s="100" t="s">
        <v>37</v>
      </c>
      <c r="B24" s="103">
        <f t="shared" si="3"/>
        <v>199739</v>
      </c>
      <c r="C24" s="103">
        <f t="shared" si="3"/>
        <v>57792</v>
      </c>
      <c r="D24" s="103">
        <f t="shared" si="3"/>
        <v>168012</v>
      </c>
      <c r="E24" s="103">
        <f t="shared" si="3"/>
        <v>32628</v>
      </c>
      <c r="F24" s="103">
        <f t="shared" si="3"/>
        <v>72335</v>
      </c>
      <c r="G24" s="103">
        <f t="shared" si="3"/>
        <v>30858</v>
      </c>
      <c r="H24" s="103">
        <f t="shared" si="3"/>
        <v>51087</v>
      </c>
      <c r="I24" s="103">
        <f t="shared" si="3"/>
        <v>125594</v>
      </c>
      <c r="J24" s="103">
        <f t="shared" si="3"/>
        <v>223279</v>
      </c>
      <c r="K24" s="103">
        <f t="shared" si="3"/>
        <v>51978</v>
      </c>
      <c r="L24" s="103">
        <f t="shared" si="3"/>
        <v>58717</v>
      </c>
      <c r="M24" s="103">
        <f t="shared" si="3"/>
        <v>284877</v>
      </c>
      <c r="N24" s="103">
        <f>SUM(B24:M24)</f>
        <v>1356896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660621</v>
      </c>
      <c r="D27" s="12">
        <f t="shared" si="4"/>
        <v>525066</v>
      </c>
      <c r="E27" s="12">
        <f t="shared" si="4"/>
        <v>379175</v>
      </c>
      <c r="F27" s="12">
        <f t="shared" si="4"/>
        <v>302032</v>
      </c>
      <c r="G27" s="12">
        <f t="shared" si="4"/>
        <v>268128</v>
      </c>
      <c r="H27" s="12">
        <f>SUM(H23:H26)</f>
        <v>1036456</v>
      </c>
      <c r="I27" s="12">
        <f t="shared" si="4"/>
        <v>1020743</v>
      </c>
      <c r="J27" s="12">
        <f t="shared" si="4"/>
        <v>953447</v>
      </c>
      <c r="K27" s="12">
        <f t="shared" si="4"/>
        <v>781577</v>
      </c>
      <c r="L27" s="12">
        <f t="shared" si="4"/>
        <v>635510</v>
      </c>
      <c r="M27" s="12">
        <f>SUM(M23:M26)</f>
        <v>591626</v>
      </c>
      <c r="N27" s="12">
        <f t="shared" si="4"/>
        <v>7494214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0.291178446251384</v>
      </c>
      <c r="D28" s="73">
        <f t="shared" si="5"/>
        <v>0.49357168439071297</v>
      </c>
      <c r="E28" s="73">
        <f t="shared" si="5"/>
        <v>0.53194474256077018</v>
      </c>
      <c r="F28" s="73">
        <f t="shared" si="5"/>
        <v>0.64558547543828904</v>
      </c>
      <c r="G28" s="73">
        <f t="shared" si="5"/>
        <v>0.52123910148618302</v>
      </c>
      <c r="H28" s="73">
        <f t="shared" si="5"/>
        <v>0.40661948921873176</v>
      </c>
      <c r="I28" s="73">
        <f t="shared" si="5"/>
        <v>0.61443164307040354</v>
      </c>
      <c r="J28" s="73">
        <f t="shared" si="5"/>
        <v>0.67601416624420818</v>
      </c>
      <c r="K28" s="73">
        <f t="shared" si="5"/>
        <v>0.54011785364559184</v>
      </c>
      <c r="L28" s="73">
        <f t="shared" si="5"/>
        <v>0.56285598641727208</v>
      </c>
      <c r="M28" s="73">
        <f t="shared" si="5"/>
        <v>0.5780442717900216</v>
      </c>
      <c r="N28" s="73">
        <f t="shared" ref="N28" si="6">+N27/N9</f>
        <v>0.50213986279657918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314680</v>
      </c>
      <c r="D30" s="101">
        <v>302225</v>
      </c>
      <c r="E30" s="101">
        <v>322845</v>
      </c>
      <c r="F30" s="101">
        <v>249775</v>
      </c>
      <c r="G30" s="101">
        <v>257345</v>
      </c>
      <c r="H30" s="101">
        <v>521253.96098961541</v>
      </c>
      <c r="I30" s="101">
        <v>411300.28455869236</v>
      </c>
      <c r="J30" s="101">
        <v>392403.38610869233</v>
      </c>
      <c r="K30" s="101">
        <v>470518.20239961543</v>
      </c>
      <c r="L30" s="101">
        <v>361457.1899586923</v>
      </c>
      <c r="M30" s="101">
        <v>309677.88845369231</v>
      </c>
      <c r="N30" s="103">
        <f>SUM(B30:M30)</f>
        <v>4190883.9124690006</v>
      </c>
    </row>
    <row r="31" spans="1:14" s="6" customFormat="1" hidden="1" outlineLevel="1">
      <c r="A31" s="100" t="s">
        <v>42</v>
      </c>
      <c r="B31" s="101">
        <v>154113</v>
      </c>
      <c r="C31" s="101">
        <v>151966</v>
      </c>
      <c r="D31" s="101">
        <v>157499</v>
      </c>
      <c r="E31" s="101">
        <v>172384</v>
      </c>
      <c r="F31" s="101">
        <v>158302</v>
      </c>
      <c r="G31" s="101">
        <v>149568</v>
      </c>
      <c r="H31" s="101">
        <v>197799.39762897298</v>
      </c>
      <c r="I31" s="101">
        <v>168672.32326122007</v>
      </c>
      <c r="J31" s="101">
        <v>167875.54497822007</v>
      </c>
      <c r="K31" s="101">
        <v>196120.0843951499</v>
      </c>
      <c r="L31" s="101">
        <v>165873.94264382005</v>
      </c>
      <c r="M31" s="101">
        <v>166838.70938795508</v>
      </c>
      <c r="N31" s="103">
        <f>SUM(B31:M31)</f>
        <v>2007012.0022953381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466646</v>
      </c>
      <c r="D34" s="12">
        <f t="shared" si="7"/>
        <v>459724</v>
      </c>
      <c r="E34" s="12">
        <f t="shared" si="7"/>
        <v>495229</v>
      </c>
      <c r="F34" s="12">
        <f t="shared" si="7"/>
        <v>408077</v>
      </c>
      <c r="G34" s="12">
        <f t="shared" si="7"/>
        <v>406913</v>
      </c>
      <c r="H34" s="12">
        <f t="shared" si="7"/>
        <v>719053.35861858842</v>
      </c>
      <c r="I34" s="12">
        <f t="shared" si="7"/>
        <v>579972.60781991249</v>
      </c>
      <c r="J34" s="12">
        <f t="shared" si="7"/>
        <v>560278.9310869124</v>
      </c>
      <c r="K34" s="12">
        <f t="shared" si="7"/>
        <v>666638.28679476539</v>
      </c>
      <c r="L34" s="12">
        <f t="shared" si="7"/>
        <v>527331.13260251237</v>
      </c>
      <c r="M34" s="12">
        <f t="shared" si="7"/>
        <v>476516.5978416474</v>
      </c>
      <c r="N34" s="12">
        <f t="shared" si="7"/>
        <v>6197895.9147643391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609031</v>
      </c>
      <c r="D37" s="101">
        <v>689724</v>
      </c>
      <c r="E37" s="101">
        <v>914242</v>
      </c>
      <c r="F37" s="101">
        <v>643270</v>
      </c>
      <c r="G37" s="108">
        <v>667513</v>
      </c>
      <c r="H37" s="108">
        <v>1068267.6919519217</v>
      </c>
      <c r="I37" s="108">
        <v>1012375.9411532459</v>
      </c>
      <c r="J37" s="108">
        <v>916858.26442024577</v>
      </c>
      <c r="K37" s="108">
        <v>1045019.6201280988</v>
      </c>
      <c r="L37" s="101">
        <v>879113.46593584574</v>
      </c>
      <c r="M37" s="101">
        <v>781957.93117498083</v>
      </c>
      <c r="N37" s="103">
        <f>SUM(B37:M37)</f>
        <v>9927259.9147643372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-466646</v>
      </c>
      <c r="D38" s="7">
        <f t="shared" si="8"/>
        <v>-459724</v>
      </c>
      <c r="E38" s="7">
        <f t="shared" si="8"/>
        <v>-495229</v>
      </c>
      <c r="F38" s="7">
        <f t="shared" si="8"/>
        <v>-408077</v>
      </c>
      <c r="G38" s="7">
        <f t="shared" si="8"/>
        <v>-406913</v>
      </c>
      <c r="H38" s="7">
        <f>-H34</f>
        <v>-719053.35861858842</v>
      </c>
      <c r="I38" s="7">
        <f t="shared" si="8"/>
        <v>-579972.60781991249</v>
      </c>
      <c r="J38" s="7">
        <f t="shared" si="8"/>
        <v>-560278.9310869124</v>
      </c>
      <c r="K38" s="7">
        <f t="shared" si="8"/>
        <v>-666638.28679476539</v>
      </c>
      <c r="L38" s="7">
        <f t="shared" si="8"/>
        <v>-527331.13260251237</v>
      </c>
      <c r="M38" s="7">
        <f t="shared" si="8"/>
        <v>-476516.5978416474</v>
      </c>
      <c r="N38" s="7">
        <f>SUM(B38:M38)</f>
        <v>-6197895.9147643382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-79108</v>
      </c>
      <c r="D39" s="109">
        <v>-79051</v>
      </c>
      <c r="E39" s="109">
        <v>-77816</v>
      </c>
      <c r="F39" s="109">
        <v>-77648</v>
      </c>
      <c r="G39" s="109">
        <v>-77648</v>
      </c>
      <c r="H39" s="109">
        <v>-77087</v>
      </c>
      <c r="I39" s="109">
        <v>-77087</v>
      </c>
      <c r="J39" s="109">
        <v>-77087</v>
      </c>
      <c r="K39" s="109">
        <v>-77087</v>
      </c>
      <c r="L39" s="109">
        <v>-77087</v>
      </c>
      <c r="M39" s="109">
        <v>-74530</v>
      </c>
      <c r="N39" s="103">
        <f>SUM(B39:M39)</f>
        <v>-928623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03">
        <f>SUM(B40:M40)</f>
        <v>-85340</v>
      </c>
    </row>
    <row r="41" spans="1:14" s="6" customFormat="1" ht="12.75" hidden="1" customHeight="1" outlineLevel="1">
      <c r="A41" s="100" t="s">
        <v>48</v>
      </c>
      <c r="B41" s="110">
        <v>-3350</v>
      </c>
      <c r="C41" s="110">
        <v>-3350</v>
      </c>
      <c r="D41" s="110">
        <v>-3350</v>
      </c>
      <c r="E41" s="110">
        <v>-3350</v>
      </c>
      <c r="F41" s="110">
        <v>-3350</v>
      </c>
      <c r="G41" s="110">
        <v>-8350</v>
      </c>
      <c r="H41" s="110">
        <v>-4350</v>
      </c>
      <c r="I41" s="110">
        <v>-4350</v>
      </c>
      <c r="J41" s="110">
        <v>-4350</v>
      </c>
      <c r="K41" s="110">
        <v>-4350</v>
      </c>
      <c r="L41" s="110">
        <v>-4350</v>
      </c>
      <c r="M41" s="110">
        <v>-47350</v>
      </c>
      <c r="N41" s="104">
        <f>SUM(B41:M41)</f>
        <v>-94200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52320</v>
      </c>
      <c r="D42" s="12">
        <f t="shared" si="9"/>
        <v>139992</v>
      </c>
      <c r="E42" s="12">
        <f t="shared" si="9"/>
        <v>330625</v>
      </c>
      <c r="F42" s="12">
        <f t="shared" si="9"/>
        <v>146973</v>
      </c>
      <c r="G42" s="12">
        <f t="shared" si="9"/>
        <v>167463</v>
      </c>
      <c r="H42" s="12">
        <f t="shared" si="9"/>
        <v>260638.33333333326</v>
      </c>
      <c r="I42" s="12">
        <f t="shared" si="9"/>
        <v>344098.33333333337</v>
      </c>
      <c r="J42" s="12">
        <f t="shared" si="9"/>
        <v>268274.33333333337</v>
      </c>
      <c r="K42" s="12">
        <f t="shared" si="9"/>
        <v>290076.33333333337</v>
      </c>
      <c r="L42" s="12">
        <f t="shared" si="9"/>
        <v>263580.33333333337</v>
      </c>
      <c r="M42" s="12">
        <f t="shared" si="9"/>
        <v>177133.33333333343</v>
      </c>
      <c r="N42" s="12">
        <f t="shared" si="9"/>
        <v>2621200.9999999991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10">
        <v>234703</v>
      </c>
      <c r="C44" s="111">
        <v>219113</v>
      </c>
      <c r="D44" s="111">
        <v>210081</v>
      </c>
      <c r="E44" s="111">
        <v>259750</v>
      </c>
      <c r="F44" s="111">
        <v>-183271</v>
      </c>
      <c r="G44" s="111">
        <v>211175</v>
      </c>
      <c r="H44" s="111">
        <v>294902</v>
      </c>
      <c r="I44" s="111">
        <v>245422</v>
      </c>
      <c r="J44" s="111">
        <v>271223</v>
      </c>
      <c r="K44" s="111">
        <v>309803</v>
      </c>
      <c r="L44" s="111">
        <v>249099</v>
      </c>
      <c r="M44" s="111">
        <v>-130463</v>
      </c>
      <c r="N44" s="126">
        <f>SUM(B44:M44)</f>
        <v>2191537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219113</v>
      </c>
      <c r="D46" s="12">
        <f t="shared" ref="D46:N46" si="10">SUM(D44:D45)</f>
        <v>210081</v>
      </c>
      <c r="E46" s="12">
        <f t="shared" si="10"/>
        <v>259750</v>
      </c>
      <c r="F46" s="12">
        <f t="shared" si="10"/>
        <v>-183271</v>
      </c>
      <c r="G46" s="12">
        <f t="shared" si="10"/>
        <v>211175</v>
      </c>
      <c r="H46" s="12">
        <f t="shared" si="10"/>
        <v>294902</v>
      </c>
      <c r="I46" s="12">
        <f t="shared" si="10"/>
        <v>245422</v>
      </c>
      <c r="J46" s="12">
        <f t="shared" si="10"/>
        <v>271223</v>
      </c>
      <c r="K46" s="12">
        <f t="shared" si="10"/>
        <v>309803</v>
      </c>
      <c r="L46" s="12">
        <f t="shared" si="10"/>
        <v>249099</v>
      </c>
      <c r="M46" s="12">
        <f t="shared" si="10"/>
        <v>-130463</v>
      </c>
      <c r="N46" s="12">
        <f t="shared" si="10"/>
        <v>2191537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2346242</v>
      </c>
      <c r="D48" s="19">
        <f t="shared" si="11"/>
        <v>1348540</v>
      </c>
      <c r="E48" s="19">
        <f t="shared" si="11"/>
        <v>1419238</v>
      </c>
      <c r="F48" s="19">
        <f>+F20+F34+F42+F46</f>
        <v>537589</v>
      </c>
      <c r="G48" s="19">
        <f t="shared" si="11"/>
        <v>1031828</v>
      </c>
      <c r="H48" s="19">
        <f t="shared" si="11"/>
        <v>2787095.6919519212</v>
      </c>
      <c r="I48" s="19">
        <f t="shared" si="11"/>
        <v>1810029.941153246</v>
      </c>
      <c r="J48" s="19">
        <f t="shared" si="11"/>
        <v>1556724.2644202458</v>
      </c>
      <c r="K48" s="19">
        <f t="shared" si="11"/>
        <v>1931989.6201280989</v>
      </c>
      <c r="L48" s="19">
        <f t="shared" si="11"/>
        <v>1533581.4659358459</v>
      </c>
      <c r="M48" s="19">
        <f t="shared" si="11"/>
        <v>955056.93117498094</v>
      </c>
      <c r="N48" s="19">
        <f t="shared" si="11"/>
        <v>18440974.914764337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-77458</v>
      </c>
      <c r="D50" s="12">
        <f t="shared" si="12"/>
        <v>-284731</v>
      </c>
      <c r="E50" s="12">
        <f t="shared" si="12"/>
        <v>-706429</v>
      </c>
      <c r="F50" s="12">
        <f>+F13-F48</f>
        <v>-69747</v>
      </c>
      <c r="G50" s="12">
        <f t="shared" si="12"/>
        <v>-517423</v>
      </c>
      <c r="H50" s="12">
        <f>+H13-H48</f>
        <v>-238137.69195192121</v>
      </c>
      <c r="I50" s="12">
        <f t="shared" si="12"/>
        <v>-148749.94115324598</v>
      </c>
      <c r="J50" s="12">
        <f t="shared" si="12"/>
        <v>-146329.26442024577</v>
      </c>
      <c r="K50" s="12">
        <f t="shared" si="12"/>
        <v>-484940.62012809888</v>
      </c>
      <c r="L50" s="12">
        <f t="shared" si="12"/>
        <v>-404500.46593584586</v>
      </c>
      <c r="M50" s="12">
        <f t="shared" si="12"/>
        <v>68439.068825019058</v>
      </c>
      <c r="N50" s="12">
        <f>SUM(B50:M50)</f>
        <v>-3516419.9147643386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107140</v>
      </c>
      <c r="D53" s="10">
        <v>2541</v>
      </c>
      <c r="E53" s="10">
        <v>42587</v>
      </c>
      <c r="F53" s="10">
        <v>7284</v>
      </c>
      <c r="G53" s="10">
        <v>970</v>
      </c>
      <c r="H53" s="23">
        <v>20000</v>
      </c>
      <c r="I53" s="10">
        <v>71000</v>
      </c>
      <c r="J53" s="10">
        <v>0</v>
      </c>
      <c r="K53" s="10">
        <v>0</v>
      </c>
      <c r="L53" s="10">
        <v>0</v>
      </c>
      <c r="M53" s="10">
        <v>261000</v>
      </c>
      <c r="N53" s="10">
        <f>SUM(B53:M53)</f>
        <v>519562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95000</v>
      </c>
    </row>
    <row r="55" spans="1:21" s="6" customFormat="1">
      <c r="A55" s="6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500000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>SUM(B55:M55)</f>
        <v>880402</v>
      </c>
    </row>
    <row r="56" spans="1:21" s="6" customFormat="1">
      <c r="A56" s="37" t="s">
        <v>58</v>
      </c>
      <c r="B56" s="7">
        <v>-19539</v>
      </c>
      <c r="C56" s="7">
        <v>-18488</v>
      </c>
      <c r="D56" s="7">
        <v>-23302</v>
      </c>
      <c r="E56" s="7">
        <v>-10141</v>
      </c>
      <c r="F56" s="7">
        <v>-16697</v>
      </c>
      <c r="G56" s="7">
        <v>-50933</v>
      </c>
      <c r="H56" s="7">
        <v>-15000</v>
      </c>
      <c r="I56" s="7">
        <v>-15000</v>
      </c>
      <c r="J56" s="7">
        <v>-15000</v>
      </c>
      <c r="K56" s="7">
        <v>-15000</v>
      </c>
      <c r="L56" s="7">
        <v>-15000</v>
      </c>
      <c r="M56" s="7">
        <v>-15000</v>
      </c>
      <c r="N56" s="7">
        <f>SUM(B56:M56)</f>
        <v>-229100</v>
      </c>
    </row>
    <row r="57" spans="1:21" s="6" customFormat="1">
      <c r="A57" s="6" t="s">
        <v>134</v>
      </c>
      <c r="B57" s="22">
        <v>-463884</v>
      </c>
      <c r="C57" s="7">
        <v>-487459</v>
      </c>
      <c r="D57" s="7">
        <v>231583</v>
      </c>
      <c r="E57" s="7">
        <v>139067</v>
      </c>
      <c r="F57" s="7">
        <v>-1068714</v>
      </c>
      <c r="G57" s="7">
        <v>-344647</v>
      </c>
      <c r="H57" s="7">
        <v>-15000</v>
      </c>
      <c r="I57" s="7">
        <v>-15000</v>
      </c>
      <c r="J57" s="7">
        <v>-15000</v>
      </c>
      <c r="K57" s="7">
        <v>-15000</v>
      </c>
      <c r="L57" s="7">
        <v>-15000</v>
      </c>
      <c r="M57" s="7">
        <v>-15000</v>
      </c>
      <c r="N57" s="22">
        <f>SUM(B57:M57)</f>
        <v>-2084054</v>
      </c>
    </row>
    <row r="58" spans="1:21" s="6" customFormat="1">
      <c r="A58" s="13" t="s">
        <v>60</v>
      </c>
      <c r="B58" s="19">
        <f t="shared" ref="B58:N58" si="13">SUM(B53:B57)</f>
        <v>-95981</v>
      </c>
      <c r="C58" s="19">
        <f t="shared" si="13"/>
        <v>-398807</v>
      </c>
      <c r="D58" s="19">
        <f t="shared" si="13"/>
        <v>210822</v>
      </c>
      <c r="E58" s="19">
        <f t="shared" si="13"/>
        <v>171513</v>
      </c>
      <c r="F58" s="19">
        <f t="shared" si="13"/>
        <v>-983127</v>
      </c>
      <c r="G58" s="19">
        <f t="shared" si="13"/>
        <v>-394610</v>
      </c>
      <c r="H58" s="19">
        <f>SUM(H53:H57)</f>
        <v>490000</v>
      </c>
      <c r="I58" s="19">
        <f t="shared" si="13"/>
        <v>41000</v>
      </c>
      <c r="J58" s="19">
        <f t="shared" si="13"/>
        <v>-30000</v>
      </c>
      <c r="K58" s="19">
        <f t="shared" si="13"/>
        <v>-30000</v>
      </c>
      <c r="L58" s="19">
        <f t="shared" si="13"/>
        <v>-30000</v>
      </c>
      <c r="M58" s="19">
        <f t="shared" si="13"/>
        <v>231000</v>
      </c>
      <c r="N58" s="19">
        <f t="shared" si="13"/>
        <v>-818190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15210291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4">+B58+B48</f>
        <v>1087079</v>
      </c>
      <c r="C61" s="19">
        <f t="shared" si="14"/>
        <v>1947435</v>
      </c>
      <c r="D61" s="19">
        <f t="shared" si="14"/>
        <v>1559362</v>
      </c>
      <c r="E61" s="19">
        <f t="shared" si="14"/>
        <v>1590751</v>
      </c>
      <c r="F61" s="19">
        <f>+F58+F48</f>
        <v>-445538</v>
      </c>
      <c r="G61" s="19">
        <f t="shared" si="14"/>
        <v>637218</v>
      </c>
      <c r="H61" s="19">
        <f t="shared" si="14"/>
        <v>3277095.6919519212</v>
      </c>
      <c r="I61" s="19">
        <f t="shared" si="14"/>
        <v>1851029.941153246</v>
      </c>
      <c r="J61" s="19">
        <f t="shared" si="14"/>
        <v>1526724.2644202458</v>
      </c>
      <c r="K61" s="19">
        <f t="shared" si="14"/>
        <v>1901989.6201280989</v>
      </c>
      <c r="L61" s="19">
        <f t="shared" si="14"/>
        <v>1503581.4659358459</v>
      </c>
      <c r="M61" s="19">
        <f t="shared" si="14"/>
        <v>1186056.9311749809</v>
      </c>
      <c r="N61" s="19">
        <f t="shared" si="14"/>
        <v>17622784.914764337</v>
      </c>
    </row>
    <row r="62" spans="1:21" ht="13.5" thickBot="1">
      <c r="A62" s="13" t="s">
        <v>63</v>
      </c>
      <c r="B62" s="14">
        <f t="shared" ref="B62:N62" si="15">+B13-B61</f>
        <v>-410432</v>
      </c>
      <c r="C62" s="14">
        <f t="shared" si="15"/>
        <v>321349</v>
      </c>
      <c r="D62" s="14">
        <f t="shared" si="15"/>
        <v>-495553</v>
      </c>
      <c r="E62" s="14">
        <f t="shared" si="15"/>
        <v>-877942</v>
      </c>
      <c r="F62" s="14">
        <f>+F13-F61</f>
        <v>913380</v>
      </c>
      <c r="G62" s="14">
        <f t="shared" si="15"/>
        <v>-122813</v>
      </c>
      <c r="H62" s="14">
        <f t="shared" si="15"/>
        <v>-728137.69195192121</v>
      </c>
      <c r="I62" s="14">
        <f t="shared" si="15"/>
        <v>-189749.94115324598</v>
      </c>
      <c r="J62" s="14">
        <f t="shared" si="15"/>
        <v>-116329.26442024577</v>
      </c>
      <c r="K62" s="14">
        <f t="shared" si="15"/>
        <v>-454940.62012809888</v>
      </c>
      <c r="L62" s="14">
        <f t="shared" si="15"/>
        <v>-374500.46593584586</v>
      </c>
      <c r="M62" s="14">
        <f t="shared" si="15"/>
        <v>-162560.93117498094</v>
      </c>
      <c r="N62" s="14">
        <f t="shared" si="15"/>
        <v>-2698229.9147643372</v>
      </c>
    </row>
    <row r="63" spans="1:21" s="6" customFormat="1" ht="13.5" thickTop="1">
      <c r="A63" s="13" t="s">
        <v>64</v>
      </c>
      <c r="B63" s="12">
        <f>+B62</f>
        <v>-410432</v>
      </c>
      <c r="C63" s="12">
        <f t="shared" ref="C63:M63" si="16">B63+C62</f>
        <v>-89083</v>
      </c>
      <c r="D63" s="12">
        <f t="shared" si="16"/>
        <v>-584636</v>
      </c>
      <c r="E63" s="12">
        <f t="shared" si="16"/>
        <v>-1462578</v>
      </c>
      <c r="F63" s="12">
        <f t="shared" si="16"/>
        <v>-549198</v>
      </c>
      <c r="G63" s="12">
        <f t="shared" si="16"/>
        <v>-672011</v>
      </c>
      <c r="H63" s="12">
        <f t="shared" si="16"/>
        <v>-1400148.6919519212</v>
      </c>
      <c r="I63" s="12">
        <f>H63+I62</f>
        <v>-1589898.6331051672</v>
      </c>
      <c r="J63" s="12">
        <f t="shared" si="16"/>
        <v>-1706227.897525413</v>
      </c>
      <c r="K63" s="12">
        <f t="shared" si="16"/>
        <v>-2161168.5176535118</v>
      </c>
      <c r="L63" s="12">
        <f t="shared" si="16"/>
        <v>-2535668.9835893577</v>
      </c>
      <c r="M63" s="12">
        <f t="shared" si="16"/>
        <v>-2698229.9147643386</v>
      </c>
      <c r="N63" s="12"/>
    </row>
    <row r="64" spans="1:21">
      <c r="A64" s="13" t="s">
        <v>65</v>
      </c>
      <c r="B64" s="12">
        <f t="shared" ref="B64:M64" si="17">+$B$60+B63</f>
        <v>14799859</v>
      </c>
      <c r="C64" s="12">
        <f t="shared" si="17"/>
        <v>15121208</v>
      </c>
      <c r="D64" s="12">
        <f t="shared" si="17"/>
        <v>14625655</v>
      </c>
      <c r="E64" s="12">
        <f t="shared" si="17"/>
        <v>13747713</v>
      </c>
      <c r="F64" s="12">
        <f>+$B$60+F63</f>
        <v>14661093</v>
      </c>
      <c r="G64" s="12">
        <f t="shared" si="17"/>
        <v>14538280</v>
      </c>
      <c r="H64" s="12">
        <f t="shared" si="17"/>
        <v>13810142.308048079</v>
      </c>
      <c r="I64" s="12">
        <f t="shared" si="17"/>
        <v>13620392.366894834</v>
      </c>
      <c r="J64" s="12">
        <f t="shared" si="17"/>
        <v>13504063.102474587</v>
      </c>
      <c r="K64" s="12">
        <f t="shared" si="17"/>
        <v>13049122.482346488</v>
      </c>
      <c r="L64" s="12">
        <f t="shared" si="17"/>
        <v>12674622.016410641</v>
      </c>
      <c r="M64" s="12">
        <f t="shared" si="17"/>
        <v>12512061.085235661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141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-1206184.54570327</v>
      </c>
      <c r="C67" s="30">
        <v>-91236.09179938212</v>
      </c>
      <c r="D67" s="30">
        <v>-21884.721865982749</v>
      </c>
      <c r="E67" s="30">
        <v>-419084.90535577014</v>
      </c>
      <c r="F67" s="30">
        <v>-533603.18347677123</v>
      </c>
      <c r="G67" s="30">
        <v>-353332.60886835586</v>
      </c>
      <c r="H67" s="30">
        <v>-728137.69195192121</v>
      </c>
      <c r="I67" s="30">
        <v>-189749.94115324598</v>
      </c>
      <c r="J67" s="30">
        <v>-116329.26442024577</v>
      </c>
      <c r="K67" s="30">
        <v>-454940.62012809888</v>
      </c>
      <c r="L67" s="30">
        <v>-374500.46593584586</v>
      </c>
      <c r="M67" s="30">
        <v>-162560.93117498094</v>
      </c>
      <c r="N67" s="124"/>
    </row>
    <row r="68" spans="1:14" ht="13.5" thickTop="1">
      <c r="A68" s="115" t="s">
        <v>64</v>
      </c>
      <c r="B68" s="31">
        <f>+B67</f>
        <v>-1206184.54570327</v>
      </c>
      <c r="C68" s="31">
        <f t="shared" ref="C68:M68" si="18">+B68+C67</f>
        <v>-1297420.6375026521</v>
      </c>
      <c r="D68" s="31">
        <f t="shared" si="18"/>
        <v>-1319305.3593686349</v>
      </c>
      <c r="E68" s="31">
        <f t="shared" si="18"/>
        <v>-1738390.264724405</v>
      </c>
      <c r="F68" s="31">
        <f t="shared" si="18"/>
        <v>-2271993.4482011762</v>
      </c>
      <c r="G68" s="31">
        <f t="shared" si="18"/>
        <v>-2625326.0570695321</v>
      </c>
      <c r="H68" s="31">
        <f t="shared" si="18"/>
        <v>-3353463.7490214533</v>
      </c>
      <c r="I68" s="31">
        <f t="shared" si="18"/>
        <v>-3543213.6901746993</v>
      </c>
      <c r="J68" s="31">
        <f t="shared" si="18"/>
        <v>-3659542.9545949451</v>
      </c>
      <c r="K68" s="31">
        <f t="shared" si="18"/>
        <v>-4114483.5747230439</v>
      </c>
      <c r="L68" s="31">
        <f t="shared" si="18"/>
        <v>-4488984.0406588893</v>
      </c>
      <c r="M68" s="31">
        <f t="shared" si="18"/>
        <v>-4651544.9718338698</v>
      </c>
      <c r="N68" s="125"/>
    </row>
    <row r="69" spans="1:14">
      <c r="A69" s="115" t="s">
        <v>65</v>
      </c>
      <c r="B69" s="16">
        <f>+B60+B68</f>
        <v>14004106.45429673</v>
      </c>
      <c r="C69" s="16">
        <f>+B69+C67</f>
        <v>13912870.362497348</v>
      </c>
      <c r="D69" s="16">
        <f t="shared" ref="D69:M69" si="19">+C69+D67</f>
        <v>13890985.640631367</v>
      </c>
      <c r="E69" s="16">
        <f t="shared" si="19"/>
        <v>13471900.735275596</v>
      </c>
      <c r="F69" s="16">
        <f t="shared" si="19"/>
        <v>12938297.551798824</v>
      </c>
      <c r="G69" s="16">
        <f t="shared" si="19"/>
        <v>12584964.942930467</v>
      </c>
      <c r="H69" s="16">
        <f t="shared" si="19"/>
        <v>11856827.250978546</v>
      </c>
      <c r="I69" s="16">
        <f t="shared" si="19"/>
        <v>11667077.309825301</v>
      </c>
      <c r="J69" s="16">
        <f t="shared" si="19"/>
        <v>11550748.045405056</v>
      </c>
      <c r="K69" s="16">
        <f t="shared" si="19"/>
        <v>11095807.425276957</v>
      </c>
      <c r="L69" s="16">
        <f t="shared" si="19"/>
        <v>10721306.959341113</v>
      </c>
      <c r="M69" s="16">
        <f t="shared" si="19"/>
        <v>10558746.028166132</v>
      </c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M74" si="20">+B62-B67</f>
        <v>795752.54570327001</v>
      </c>
      <c r="C72" s="31">
        <f t="shared" si="20"/>
        <v>412585.09179938212</v>
      </c>
      <c r="D72" s="31">
        <f t="shared" si="20"/>
        <v>-473668.27813401725</v>
      </c>
      <c r="E72" s="31">
        <f t="shared" si="20"/>
        <v>-458857.09464422986</v>
      </c>
      <c r="F72" s="31">
        <f t="shared" si="20"/>
        <v>1446983.1834767712</v>
      </c>
      <c r="G72" s="31">
        <f t="shared" si="20"/>
        <v>230519.60886835586</v>
      </c>
      <c r="H72" s="31">
        <f t="shared" si="20"/>
        <v>0</v>
      </c>
      <c r="I72" s="31">
        <f t="shared" si="20"/>
        <v>0</v>
      </c>
      <c r="J72" s="31">
        <f t="shared" si="20"/>
        <v>0</v>
      </c>
      <c r="K72" s="31">
        <f t="shared" si="20"/>
        <v>0</v>
      </c>
      <c r="L72" s="31">
        <f t="shared" si="20"/>
        <v>0</v>
      </c>
      <c r="M72" s="31">
        <f t="shared" si="20"/>
        <v>0</v>
      </c>
      <c r="N72" s="125"/>
    </row>
    <row r="73" spans="1:14" s="6" customFormat="1">
      <c r="A73" s="115" t="s">
        <v>64</v>
      </c>
      <c r="B73" s="31">
        <f t="shared" si="20"/>
        <v>795752.54570327001</v>
      </c>
      <c r="C73" s="31">
        <f t="shared" si="20"/>
        <v>1208337.6375026521</v>
      </c>
      <c r="D73" s="31">
        <f t="shared" si="20"/>
        <v>734669.35936863488</v>
      </c>
      <c r="E73" s="31">
        <f t="shared" si="20"/>
        <v>275812.26472440502</v>
      </c>
      <c r="F73" s="31">
        <f t="shared" si="20"/>
        <v>1722795.4482011762</v>
      </c>
      <c r="G73" s="31">
        <f t="shared" si="20"/>
        <v>1953315.0570695321</v>
      </c>
      <c r="H73" s="31">
        <f t="shared" si="20"/>
        <v>1953315.0570695321</v>
      </c>
      <c r="I73" s="31">
        <f t="shared" si="20"/>
        <v>1953315.0570695321</v>
      </c>
      <c r="J73" s="31">
        <f t="shared" si="20"/>
        <v>1953315.0570695321</v>
      </c>
      <c r="K73" s="31">
        <f t="shared" si="20"/>
        <v>1953315.0570695321</v>
      </c>
      <c r="L73" s="31">
        <f t="shared" si="20"/>
        <v>1953315.0570695316</v>
      </c>
      <c r="M73" s="31">
        <f t="shared" si="20"/>
        <v>1953315.0570695312</v>
      </c>
      <c r="N73" s="125">
        <f>+N63-N68</f>
        <v>0</v>
      </c>
    </row>
    <row r="74" spans="1:14">
      <c r="A74" s="121" t="s">
        <v>65</v>
      </c>
      <c r="B74" s="122">
        <f t="shared" si="20"/>
        <v>795752.54570326954</v>
      </c>
      <c r="C74" s="122">
        <f t="shared" si="20"/>
        <v>1208337.6375026517</v>
      </c>
      <c r="D74" s="122">
        <f t="shared" si="20"/>
        <v>734669.35936863348</v>
      </c>
      <c r="E74" s="122">
        <f t="shared" si="20"/>
        <v>275812.26472440362</v>
      </c>
      <c r="F74" s="122">
        <f>+F64-F69</f>
        <v>1722795.4482011758</v>
      </c>
      <c r="G74" s="122">
        <f t="shared" si="20"/>
        <v>1953315.0570695326</v>
      </c>
      <c r="H74" s="122">
        <f t="shared" si="20"/>
        <v>1953315.0570695326</v>
      </c>
      <c r="I74" s="122">
        <f t="shared" si="20"/>
        <v>1953315.0570695326</v>
      </c>
      <c r="J74" s="122">
        <f t="shared" si="20"/>
        <v>1953315.0570695307</v>
      </c>
      <c r="K74" s="122">
        <f t="shared" si="20"/>
        <v>1953315.0570695307</v>
      </c>
      <c r="L74" s="122">
        <f t="shared" si="20"/>
        <v>1953315.0570695288</v>
      </c>
      <c r="M74" s="122">
        <f t="shared" si="20"/>
        <v>1953315.0570695288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1:U85"/>
  <sheetViews>
    <sheetView showGridLines="0" zoomScaleNormal="100" workbookViewId="0"/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76</v>
      </c>
      <c r="H2" s="92" t="s">
        <v>76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476908</v>
      </c>
      <c r="C5" s="101">
        <v>2210992</v>
      </c>
      <c r="D5" s="101">
        <v>895797</v>
      </c>
      <c r="E5" s="101">
        <v>680181</v>
      </c>
      <c r="F5" s="101">
        <v>395507</v>
      </c>
      <c r="G5" s="101">
        <v>813599</v>
      </c>
      <c r="H5" s="101">
        <v>2497871</v>
      </c>
      <c r="I5" s="101">
        <v>1535686</v>
      </c>
      <c r="J5" s="101">
        <v>1187116</v>
      </c>
      <c r="K5" s="101">
        <v>1395071</v>
      </c>
      <c r="L5" s="101">
        <v>1070364</v>
      </c>
      <c r="M5" s="101">
        <v>738619</v>
      </c>
      <c r="N5" s="102">
        <f>SUM(B5:M5)</f>
        <v>13897711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57792</v>
      </c>
      <c r="D6" s="101">
        <v>168012</v>
      </c>
      <c r="E6" s="101">
        <v>32628</v>
      </c>
      <c r="F6" s="101">
        <v>72335</v>
      </c>
      <c r="G6" s="101">
        <v>221803</v>
      </c>
      <c r="H6" s="101">
        <v>51087</v>
      </c>
      <c r="I6" s="101">
        <v>125594</v>
      </c>
      <c r="J6" s="101">
        <v>223279</v>
      </c>
      <c r="K6" s="101">
        <v>51978</v>
      </c>
      <c r="L6" s="101">
        <v>58717</v>
      </c>
      <c r="M6" s="101">
        <v>284877</v>
      </c>
      <c r="N6" s="103">
        <f>SUM(B6:M6)</f>
        <v>1547841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1063809</v>
      </c>
      <c r="E9" s="12">
        <f t="shared" si="0"/>
        <v>712809</v>
      </c>
      <c r="F9" s="12">
        <f t="shared" si="0"/>
        <v>467842</v>
      </c>
      <c r="G9" s="12">
        <f t="shared" si="0"/>
        <v>1035402</v>
      </c>
      <c r="H9" s="12">
        <f t="shared" si="0"/>
        <v>2548958</v>
      </c>
      <c r="I9" s="12">
        <f t="shared" si="0"/>
        <v>1661280</v>
      </c>
      <c r="J9" s="12">
        <f t="shared" si="0"/>
        <v>1410395</v>
      </c>
      <c r="K9" s="12">
        <f t="shared" si="0"/>
        <v>1447049</v>
      </c>
      <c r="L9" s="12">
        <f t="shared" si="0"/>
        <v>1129081</v>
      </c>
      <c r="M9" s="12">
        <f t="shared" si="0"/>
        <v>1023496</v>
      </c>
      <c r="N9" s="12">
        <f t="shared" si="0"/>
        <v>15445552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2268784</v>
      </c>
      <c r="D13" s="14">
        <f t="shared" si="1"/>
        <v>1063809</v>
      </c>
      <c r="E13" s="14">
        <f t="shared" si="1"/>
        <v>712809</v>
      </c>
      <c r="F13" s="14">
        <f t="shared" si="1"/>
        <v>467842</v>
      </c>
      <c r="G13" s="14">
        <f t="shared" si="1"/>
        <v>1035402</v>
      </c>
      <c r="H13" s="14">
        <f t="shared" si="1"/>
        <v>2548958</v>
      </c>
      <c r="I13" s="14">
        <f t="shared" si="1"/>
        <v>1661280</v>
      </c>
      <c r="J13" s="14">
        <f t="shared" si="1"/>
        <v>1410395</v>
      </c>
      <c r="K13" s="14">
        <f t="shared" si="1"/>
        <v>1447049</v>
      </c>
      <c r="L13" s="14">
        <f t="shared" si="1"/>
        <v>1129081</v>
      </c>
      <c r="M13" s="14">
        <f t="shared" si="1"/>
        <v>1023496</v>
      </c>
      <c r="N13" s="14">
        <f t="shared" si="1"/>
        <v>15445552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1608163</v>
      </c>
      <c r="D16" s="101">
        <v>538743</v>
      </c>
      <c r="E16" s="101">
        <v>333634</v>
      </c>
      <c r="F16" s="101">
        <v>165810</v>
      </c>
      <c r="G16" s="101">
        <v>329827</v>
      </c>
      <c r="H16" s="101">
        <v>1512502</v>
      </c>
      <c r="I16" s="101">
        <v>640537</v>
      </c>
      <c r="J16" s="101">
        <v>456948</v>
      </c>
      <c r="K16" s="101">
        <v>665472</v>
      </c>
      <c r="L16" s="101">
        <v>493571</v>
      </c>
      <c r="M16" s="101">
        <v>431870</v>
      </c>
      <c r="N16" s="103">
        <f>SUM(B16:M16)</f>
        <v>7513891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538743</v>
      </c>
      <c r="E20" s="12">
        <f t="shared" si="2"/>
        <v>333634</v>
      </c>
      <c r="F20" s="12">
        <f t="shared" si="2"/>
        <v>165810</v>
      </c>
      <c r="G20" s="12">
        <f t="shared" si="2"/>
        <v>329827</v>
      </c>
      <c r="H20" s="12">
        <f t="shared" si="2"/>
        <v>1512502</v>
      </c>
      <c r="I20" s="12">
        <f t="shared" si="2"/>
        <v>640537</v>
      </c>
      <c r="J20" s="12">
        <f t="shared" si="2"/>
        <v>456948</v>
      </c>
      <c r="K20" s="12">
        <f t="shared" si="2"/>
        <v>665472</v>
      </c>
      <c r="L20" s="12">
        <f t="shared" si="2"/>
        <v>493571</v>
      </c>
      <c r="M20" s="12">
        <f t="shared" si="2"/>
        <v>431870</v>
      </c>
      <c r="N20" s="12">
        <f t="shared" si="2"/>
        <v>7513891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140094</v>
      </c>
      <c r="C23" s="103">
        <f t="shared" si="3"/>
        <v>602829</v>
      </c>
      <c r="D23" s="103">
        <f t="shared" si="3"/>
        <v>357054</v>
      </c>
      <c r="E23" s="103">
        <f t="shared" si="3"/>
        <v>346547</v>
      </c>
      <c r="F23" s="103">
        <f t="shared" si="3"/>
        <v>229697</v>
      </c>
      <c r="G23" s="103">
        <f t="shared" si="3"/>
        <v>483772</v>
      </c>
      <c r="H23" s="103">
        <f t="shared" si="3"/>
        <v>985369</v>
      </c>
      <c r="I23" s="103">
        <f t="shared" si="3"/>
        <v>895149</v>
      </c>
      <c r="J23" s="103">
        <f t="shared" si="3"/>
        <v>730168</v>
      </c>
      <c r="K23" s="103">
        <f t="shared" si="3"/>
        <v>729599</v>
      </c>
      <c r="L23" s="103">
        <f t="shared" si="3"/>
        <v>576793</v>
      </c>
      <c r="M23" s="103">
        <f t="shared" si="3"/>
        <v>306749</v>
      </c>
      <c r="N23" s="103">
        <f>SUM(B23:M23)</f>
        <v>6383820</v>
      </c>
    </row>
    <row r="24" spans="1:14" s="6" customFormat="1" hidden="1" outlineLevel="1">
      <c r="A24" s="100" t="s">
        <v>37</v>
      </c>
      <c r="B24" s="103">
        <f t="shared" si="3"/>
        <v>199739</v>
      </c>
      <c r="C24" s="103">
        <f t="shared" si="3"/>
        <v>57792</v>
      </c>
      <c r="D24" s="103">
        <f t="shared" si="3"/>
        <v>168012</v>
      </c>
      <c r="E24" s="103">
        <f t="shared" si="3"/>
        <v>32628</v>
      </c>
      <c r="F24" s="103">
        <f t="shared" si="3"/>
        <v>72335</v>
      </c>
      <c r="G24" s="103">
        <f t="shared" si="3"/>
        <v>221803</v>
      </c>
      <c r="H24" s="103">
        <f t="shared" si="3"/>
        <v>51087</v>
      </c>
      <c r="I24" s="103">
        <f t="shared" si="3"/>
        <v>125594</v>
      </c>
      <c r="J24" s="103">
        <f t="shared" si="3"/>
        <v>223279</v>
      </c>
      <c r="K24" s="103">
        <f t="shared" si="3"/>
        <v>51978</v>
      </c>
      <c r="L24" s="103">
        <f t="shared" si="3"/>
        <v>58717</v>
      </c>
      <c r="M24" s="103">
        <f t="shared" si="3"/>
        <v>284877</v>
      </c>
      <c r="N24" s="103">
        <f>SUM(B24:M24)</f>
        <v>1547841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660621</v>
      </c>
      <c r="D27" s="12">
        <f t="shared" si="4"/>
        <v>525066</v>
      </c>
      <c r="E27" s="12">
        <f t="shared" si="4"/>
        <v>379175</v>
      </c>
      <c r="F27" s="12">
        <f t="shared" si="4"/>
        <v>302032</v>
      </c>
      <c r="G27" s="12">
        <f t="shared" si="4"/>
        <v>705575</v>
      </c>
      <c r="H27" s="12">
        <f>SUM(H23:H26)</f>
        <v>1036456</v>
      </c>
      <c r="I27" s="12">
        <f t="shared" si="4"/>
        <v>1020743</v>
      </c>
      <c r="J27" s="12">
        <f t="shared" si="4"/>
        <v>953447</v>
      </c>
      <c r="K27" s="12">
        <f t="shared" si="4"/>
        <v>781577</v>
      </c>
      <c r="L27" s="12">
        <f t="shared" si="4"/>
        <v>635510</v>
      </c>
      <c r="M27" s="12">
        <f>SUM(M23:M26)</f>
        <v>591626</v>
      </c>
      <c r="N27" s="12">
        <f t="shared" si="4"/>
        <v>7931661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0.291178446251384</v>
      </c>
      <c r="D28" s="73">
        <f t="shared" si="5"/>
        <v>0.49357168439071297</v>
      </c>
      <c r="E28" s="73">
        <f t="shared" si="5"/>
        <v>0.53194474256077018</v>
      </c>
      <c r="F28" s="73">
        <f t="shared" si="5"/>
        <v>0.64558547543828904</v>
      </c>
      <c r="G28" s="73">
        <f t="shared" si="5"/>
        <v>0.68145029659977474</v>
      </c>
      <c r="H28" s="73">
        <f t="shared" si="5"/>
        <v>0.40661948921873176</v>
      </c>
      <c r="I28" s="73">
        <f t="shared" si="5"/>
        <v>0.61443164307040354</v>
      </c>
      <c r="J28" s="73">
        <f t="shared" si="5"/>
        <v>0.67601416624420818</v>
      </c>
      <c r="K28" s="73">
        <f t="shared" si="5"/>
        <v>0.54011785364559184</v>
      </c>
      <c r="L28" s="73">
        <f t="shared" si="5"/>
        <v>0.56285598641727208</v>
      </c>
      <c r="M28" s="73">
        <f t="shared" si="5"/>
        <v>0.5780442717900216</v>
      </c>
      <c r="N28" s="73">
        <f t="shared" ref="N28" si="6">+N27/N9</f>
        <v>0.51352395822434838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314680</v>
      </c>
      <c r="D30" s="101">
        <v>302225</v>
      </c>
      <c r="E30" s="101">
        <v>322845</v>
      </c>
      <c r="F30" s="101">
        <v>249775</v>
      </c>
      <c r="G30" s="101">
        <v>359896.18306715385</v>
      </c>
      <c r="H30" s="101">
        <v>521253.96098961541</v>
      </c>
      <c r="I30" s="101">
        <v>411300.28455869236</v>
      </c>
      <c r="J30" s="101">
        <v>392403.38610869233</v>
      </c>
      <c r="K30" s="101">
        <v>470518.20239961543</v>
      </c>
      <c r="L30" s="101">
        <v>361457.1899586923</v>
      </c>
      <c r="M30" s="101">
        <v>309677.88845369231</v>
      </c>
      <c r="N30" s="103">
        <f>SUM(B30:M30)</f>
        <v>4293435.0955361538</v>
      </c>
    </row>
    <row r="31" spans="1:14" s="6" customFormat="1" hidden="1" outlineLevel="1">
      <c r="A31" s="100" t="s">
        <v>42</v>
      </c>
      <c r="B31" s="101">
        <v>154113</v>
      </c>
      <c r="C31" s="101">
        <v>151966</v>
      </c>
      <c r="D31" s="101">
        <v>157499</v>
      </c>
      <c r="E31" s="101">
        <v>172384</v>
      </c>
      <c r="F31" s="101">
        <v>158302</v>
      </c>
      <c r="G31" s="101">
        <v>164482.0924678685</v>
      </c>
      <c r="H31" s="101">
        <v>197799.39762897298</v>
      </c>
      <c r="I31" s="101">
        <v>168672.32326122007</v>
      </c>
      <c r="J31" s="101">
        <v>167875.54497822007</v>
      </c>
      <c r="K31" s="101">
        <v>196120.0843951499</v>
      </c>
      <c r="L31" s="101">
        <v>165873.94264382005</v>
      </c>
      <c r="M31" s="101">
        <v>166838.70938795508</v>
      </c>
      <c r="N31" s="103">
        <f>SUM(B31:M31)</f>
        <v>2021926.0947632066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466646</v>
      </c>
      <c r="D34" s="12">
        <f t="shared" si="7"/>
        <v>459724</v>
      </c>
      <c r="E34" s="12">
        <f t="shared" si="7"/>
        <v>495229</v>
      </c>
      <c r="F34" s="12">
        <f t="shared" si="7"/>
        <v>408077</v>
      </c>
      <c r="G34" s="12">
        <f t="shared" si="7"/>
        <v>524378.27553502237</v>
      </c>
      <c r="H34" s="12">
        <f t="shared" si="7"/>
        <v>719053.35861858842</v>
      </c>
      <c r="I34" s="12">
        <f t="shared" si="7"/>
        <v>579972.60781991249</v>
      </c>
      <c r="J34" s="12">
        <f t="shared" si="7"/>
        <v>560278.9310869124</v>
      </c>
      <c r="K34" s="12">
        <f t="shared" si="7"/>
        <v>666638.28679476539</v>
      </c>
      <c r="L34" s="12">
        <f t="shared" si="7"/>
        <v>527331.13260251237</v>
      </c>
      <c r="M34" s="12">
        <f t="shared" si="7"/>
        <v>476516.5978416474</v>
      </c>
      <c r="N34" s="12">
        <f t="shared" si="7"/>
        <v>6315361.1902993601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609031</v>
      </c>
      <c r="D37" s="101">
        <v>689724</v>
      </c>
      <c r="E37" s="101">
        <v>914242</v>
      </c>
      <c r="F37" s="101">
        <v>643270</v>
      </c>
      <c r="G37" s="108">
        <v>898499.60886835575</v>
      </c>
      <c r="H37" s="108">
        <v>1068267.6919519217</v>
      </c>
      <c r="I37" s="108">
        <v>1012375.9411532459</v>
      </c>
      <c r="J37" s="108">
        <v>916858.26442024577</v>
      </c>
      <c r="K37" s="108">
        <v>1045019.6201280988</v>
      </c>
      <c r="L37" s="101">
        <v>879113.46593584574</v>
      </c>
      <c r="M37" s="101">
        <v>781957.93117498083</v>
      </c>
      <c r="N37" s="103">
        <f>SUM(B37:M37)</f>
        <v>10158246.523632694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-466646</v>
      </c>
      <c r="D38" s="7">
        <f t="shared" si="8"/>
        <v>-459724</v>
      </c>
      <c r="E38" s="7">
        <f t="shared" si="8"/>
        <v>-495229</v>
      </c>
      <c r="F38" s="7">
        <f t="shared" si="8"/>
        <v>-408077</v>
      </c>
      <c r="G38" s="7">
        <f t="shared" si="8"/>
        <v>-524378.27553502237</v>
      </c>
      <c r="H38" s="7">
        <f>-H34</f>
        <v>-719053.35861858842</v>
      </c>
      <c r="I38" s="7">
        <f t="shared" si="8"/>
        <v>-579972.60781991249</v>
      </c>
      <c r="J38" s="7">
        <f t="shared" si="8"/>
        <v>-560278.9310869124</v>
      </c>
      <c r="K38" s="7">
        <f t="shared" si="8"/>
        <v>-666638.28679476539</v>
      </c>
      <c r="L38" s="7">
        <f t="shared" si="8"/>
        <v>-527331.13260251237</v>
      </c>
      <c r="M38" s="7">
        <f t="shared" si="8"/>
        <v>-476516.5978416474</v>
      </c>
      <c r="N38" s="7">
        <f>SUM(B38:M38)</f>
        <v>-6315361.190299361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-79108</v>
      </c>
      <c r="D39" s="109">
        <v>-79051</v>
      </c>
      <c r="E39" s="109">
        <v>-77816</v>
      </c>
      <c r="F39" s="109">
        <v>-77648</v>
      </c>
      <c r="G39" s="109">
        <v>-77087</v>
      </c>
      <c r="H39" s="109">
        <v>-77087</v>
      </c>
      <c r="I39" s="109">
        <v>-77087</v>
      </c>
      <c r="J39" s="109">
        <v>-77087</v>
      </c>
      <c r="K39" s="109">
        <v>-77087</v>
      </c>
      <c r="L39" s="109">
        <v>-77087</v>
      </c>
      <c r="M39" s="109">
        <v>-74530</v>
      </c>
      <c r="N39" s="103">
        <f>SUM(B39:M39)</f>
        <v>-928062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03">
        <f>SUM(B40:M40)</f>
        <v>-85340</v>
      </c>
    </row>
    <row r="41" spans="1:14" s="6" customFormat="1" ht="12.75" hidden="1" customHeight="1" outlineLevel="1">
      <c r="A41" s="100" t="s">
        <v>48</v>
      </c>
      <c r="B41" s="110">
        <v>-3350</v>
      </c>
      <c r="C41" s="110">
        <v>-3350</v>
      </c>
      <c r="D41" s="110">
        <v>-3350</v>
      </c>
      <c r="E41" s="110">
        <v>-3350</v>
      </c>
      <c r="F41" s="110">
        <v>-1150</v>
      </c>
      <c r="G41" s="110">
        <v>-9350</v>
      </c>
      <c r="H41" s="110">
        <v>-4350</v>
      </c>
      <c r="I41" s="110">
        <v>-4350</v>
      </c>
      <c r="J41" s="110">
        <v>-4350</v>
      </c>
      <c r="K41" s="110">
        <v>-4350</v>
      </c>
      <c r="L41" s="110">
        <v>-4350</v>
      </c>
      <c r="M41" s="110">
        <v>-47350</v>
      </c>
      <c r="N41" s="104">
        <f>SUM(B41:M41)</f>
        <v>-93000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52320</v>
      </c>
      <c r="D42" s="12">
        <f t="shared" si="9"/>
        <v>139992</v>
      </c>
      <c r="E42" s="12">
        <f t="shared" si="9"/>
        <v>330625</v>
      </c>
      <c r="F42" s="12">
        <f t="shared" si="9"/>
        <v>149173</v>
      </c>
      <c r="G42" s="12">
        <f t="shared" si="9"/>
        <v>280545.33333333337</v>
      </c>
      <c r="H42" s="12">
        <f t="shared" si="9"/>
        <v>260638.33333333326</v>
      </c>
      <c r="I42" s="12">
        <f t="shared" si="9"/>
        <v>344098.33333333337</v>
      </c>
      <c r="J42" s="12">
        <f t="shared" si="9"/>
        <v>268274.33333333337</v>
      </c>
      <c r="K42" s="12">
        <f t="shared" si="9"/>
        <v>290076.33333333337</v>
      </c>
      <c r="L42" s="12">
        <f t="shared" si="9"/>
        <v>263580.33333333337</v>
      </c>
      <c r="M42" s="12">
        <f t="shared" si="9"/>
        <v>177133.33333333343</v>
      </c>
      <c r="N42" s="12">
        <f t="shared" si="9"/>
        <v>2736483.333333333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10">
        <v>234703</v>
      </c>
      <c r="C44" s="111">
        <v>219113</v>
      </c>
      <c r="D44" s="111">
        <v>210081</v>
      </c>
      <c r="E44" s="111">
        <v>259750</v>
      </c>
      <c r="F44" s="111">
        <v>-183271</v>
      </c>
      <c r="G44" s="111">
        <v>246984</v>
      </c>
      <c r="H44" s="111">
        <v>294902</v>
      </c>
      <c r="I44" s="111">
        <v>245422</v>
      </c>
      <c r="J44" s="111">
        <v>271223</v>
      </c>
      <c r="K44" s="111">
        <v>309803</v>
      </c>
      <c r="L44" s="111">
        <v>249099</v>
      </c>
      <c r="M44" s="111">
        <v>-130463</v>
      </c>
      <c r="N44" s="126">
        <f>SUM(B44:M44)</f>
        <v>2227346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219113</v>
      </c>
      <c r="D46" s="12">
        <f t="shared" ref="D46:N46" si="10">SUM(D44:D45)</f>
        <v>210081</v>
      </c>
      <c r="E46" s="12">
        <f t="shared" si="10"/>
        <v>259750</v>
      </c>
      <c r="F46" s="12">
        <f t="shared" si="10"/>
        <v>-183271</v>
      </c>
      <c r="G46" s="12">
        <f t="shared" si="10"/>
        <v>246984</v>
      </c>
      <c r="H46" s="12">
        <f t="shared" si="10"/>
        <v>294902</v>
      </c>
      <c r="I46" s="12">
        <f t="shared" si="10"/>
        <v>245422</v>
      </c>
      <c r="J46" s="12">
        <f t="shared" si="10"/>
        <v>271223</v>
      </c>
      <c r="K46" s="12">
        <f t="shared" si="10"/>
        <v>309803</v>
      </c>
      <c r="L46" s="12">
        <f t="shared" si="10"/>
        <v>249099</v>
      </c>
      <c r="M46" s="12">
        <f t="shared" si="10"/>
        <v>-130463</v>
      </c>
      <c r="N46" s="12">
        <f t="shared" si="10"/>
        <v>2227346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2346242</v>
      </c>
      <c r="D48" s="19">
        <f t="shared" si="11"/>
        <v>1348540</v>
      </c>
      <c r="E48" s="19">
        <f t="shared" si="11"/>
        <v>1419238</v>
      </c>
      <c r="F48" s="19">
        <f>+F20+F34+F42+F46</f>
        <v>539789</v>
      </c>
      <c r="G48" s="19">
        <f t="shared" si="11"/>
        <v>1381734.6088683559</v>
      </c>
      <c r="H48" s="19">
        <f t="shared" si="11"/>
        <v>2787095.6919519212</v>
      </c>
      <c r="I48" s="19">
        <f t="shared" si="11"/>
        <v>1810029.941153246</v>
      </c>
      <c r="J48" s="19">
        <f t="shared" si="11"/>
        <v>1556724.2644202458</v>
      </c>
      <c r="K48" s="19">
        <f t="shared" si="11"/>
        <v>1931989.6201280989</v>
      </c>
      <c r="L48" s="19">
        <f t="shared" si="11"/>
        <v>1533581.4659358459</v>
      </c>
      <c r="M48" s="19">
        <f t="shared" si="11"/>
        <v>955056.93117498094</v>
      </c>
      <c r="N48" s="19">
        <f t="shared" si="11"/>
        <v>18793081.523632694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-77458</v>
      </c>
      <c r="D50" s="12">
        <f t="shared" si="12"/>
        <v>-284731</v>
      </c>
      <c r="E50" s="12">
        <f t="shared" si="12"/>
        <v>-706429</v>
      </c>
      <c r="F50" s="12">
        <f>+F13-F48</f>
        <v>-71947</v>
      </c>
      <c r="G50" s="12">
        <f t="shared" si="12"/>
        <v>-346332.60886835586</v>
      </c>
      <c r="H50" s="12">
        <f>+H13-H48</f>
        <v>-238137.69195192121</v>
      </c>
      <c r="I50" s="12">
        <f t="shared" si="12"/>
        <v>-148749.94115324598</v>
      </c>
      <c r="J50" s="12">
        <f t="shared" si="12"/>
        <v>-146329.26442024577</v>
      </c>
      <c r="K50" s="12">
        <f t="shared" si="12"/>
        <v>-484940.62012809888</v>
      </c>
      <c r="L50" s="12">
        <f t="shared" si="12"/>
        <v>-404500.46593584586</v>
      </c>
      <c r="M50" s="12">
        <f t="shared" si="12"/>
        <v>68439.068825019058</v>
      </c>
      <c r="N50" s="12">
        <f>SUM(B50:M50)</f>
        <v>-3347529.5236326945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107140</v>
      </c>
      <c r="D53" s="10">
        <v>2541</v>
      </c>
      <c r="E53" s="10">
        <v>42587</v>
      </c>
      <c r="F53" s="10">
        <v>7284</v>
      </c>
      <c r="G53" s="10">
        <v>37000</v>
      </c>
      <c r="H53" s="23">
        <v>20000</v>
      </c>
      <c r="I53" s="10">
        <v>71000</v>
      </c>
      <c r="J53" s="10">
        <v>0</v>
      </c>
      <c r="K53" s="10">
        <v>0</v>
      </c>
      <c r="L53" s="10">
        <v>0</v>
      </c>
      <c r="M53" s="10">
        <v>261000</v>
      </c>
      <c r="N53" s="10">
        <f>SUM(B53:M53)</f>
        <v>555592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95000</v>
      </c>
    </row>
    <row r="55" spans="1:21" s="6" customFormat="1">
      <c r="A55" s="6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500000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>SUM(B55:M55)</f>
        <v>880402</v>
      </c>
    </row>
    <row r="56" spans="1:21" s="6" customFormat="1">
      <c r="A56" s="37" t="s">
        <v>58</v>
      </c>
      <c r="B56" s="7">
        <v>-19539</v>
      </c>
      <c r="C56" s="7">
        <v>-18488</v>
      </c>
      <c r="D56" s="7">
        <v>-23302</v>
      </c>
      <c r="E56" s="7">
        <v>-10141</v>
      </c>
      <c r="F56" s="7">
        <v>-16697</v>
      </c>
      <c r="G56" s="7">
        <v>-15000</v>
      </c>
      <c r="H56" s="7">
        <v>-15000</v>
      </c>
      <c r="I56" s="7">
        <v>-15000</v>
      </c>
      <c r="J56" s="7">
        <v>-15000</v>
      </c>
      <c r="K56" s="7">
        <v>-15000</v>
      </c>
      <c r="L56" s="7">
        <v>-15000</v>
      </c>
      <c r="M56" s="7">
        <v>-15000</v>
      </c>
      <c r="N56" s="7">
        <f>SUM(B56:M56)</f>
        <v>-193167</v>
      </c>
    </row>
    <row r="57" spans="1:21" s="6" customFormat="1">
      <c r="A57" s="6" t="s">
        <v>134</v>
      </c>
      <c r="B57" s="22">
        <v>-463884</v>
      </c>
      <c r="C57" s="7">
        <v>-487459</v>
      </c>
      <c r="D57" s="7">
        <v>231583</v>
      </c>
      <c r="E57" s="7">
        <v>139067</v>
      </c>
      <c r="F57" s="7">
        <v>-1068714</v>
      </c>
      <c r="G57" s="7">
        <v>-15000</v>
      </c>
      <c r="H57" s="7">
        <v>-15000</v>
      </c>
      <c r="I57" s="7">
        <v>-15000</v>
      </c>
      <c r="J57" s="7">
        <v>-15000</v>
      </c>
      <c r="K57" s="7">
        <v>-15000</v>
      </c>
      <c r="L57" s="7">
        <v>-15000</v>
      </c>
      <c r="M57" s="7">
        <v>-15000</v>
      </c>
      <c r="N57" s="22">
        <f>SUM(B57:M57)</f>
        <v>-1754407</v>
      </c>
    </row>
    <row r="58" spans="1:21" s="6" customFormat="1">
      <c r="A58" s="13" t="s">
        <v>60</v>
      </c>
      <c r="B58" s="19">
        <f t="shared" ref="B58:N58" si="13">SUM(B53:B57)</f>
        <v>-95981</v>
      </c>
      <c r="C58" s="19">
        <f t="shared" si="13"/>
        <v>-398807</v>
      </c>
      <c r="D58" s="19">
        <f t="shared" si="13"/>
        <v>210822</v>
      </c>
      <c r="E58" s="19">
        <f t="shared" si="13"/>
        <v>171513</v>
      </c>
      <c r="F58" s="19">
        <f t="shared" si="13"/>
        <v>-983127</v>
      </c>
      <c r="G58" s="19">
        <f t="shared" si="13"/>
        <v>7000</v>
      </c>
      <c r="H58" s="19">
        <f>SUM(H53:H57)</f>
        <v>490000</v>
      </c>
      <c r="I58" s="19">
        <f t="shared" si="13"/>
        <v>41000</v>
      </c>
      <c r="J58" s="19">
        <f t="shared" si="13"/>
        <v>-30000</v>
      </c>
      <c r="K58" s="19">
        <f t="shared" si="13"/>
        <v>-30000</v>
      </c>
      <c r="L58" s="19">
        <f t="shared" si="13"/>
        <v>-30000</v>
      </c>
      <c r="M58" s="19">
        <f t="shared" si="13"/>
        <v>231000</v>
      </c>
      <c r="N58" s="19">
        <f t="shared" si="13"/>
        <v>-416580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15210291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4">+B58+B48</f>
        <v>1087079</v>
      </c>
      <c r="C61" s="19">
        <f t="shared" si="14"/>
        <v>1947435</v>
      </c>
      <c r="D61" s="19">
        <f t="shared" si="14"/>
        <v>1559362</v>
      </c>
      <c r="E61" s="19">
        <f t="shared" si="14"/>
        <v>1590751</v>
      </c>
      <c r="F61" s="19">
        <f>+F58+F48</f>
        <v>-443338</v>
      </c>
      <c r="G61" s="19">
        <f t="shared" si="14"/>
        <v>1388734.6088683559</v>
      </c>
      <c r="H61" s="19">
        <f t="shared" si="14"/>
        <v>3277095.6919519212</v>
      </c>
      <c r="I61" s="19">
        <f t="shared" si="14"/>
        <v>1851029.941153246</v>
      </c>
      <c r="J61" s="19">
        <f t="shared" si="14"/>
        <v>1526724.2644202458</v>
      </c>
      <c r="K61" s="19">
        <f t="shared" si="14"/>
        <v>1901989.6201280989</v>
      </c>
      <c r="L61" s="19">
        <f t="shared" si="14"/>
        <v>1503581.4659358459</v>
      </c>
      <c r="M61" s="19">
        <f t="shared" si="14"/>
        <v>1186056.9311749809</v>
      </c>
      <c r="N61" s="19">
        <f t="shared" si="14"/>
        <v>18376501.523632694</v>
      </c>
    </row>
    <row r="62" spans="1:21" ht="13.5" thickBot="1">
      <c r="A62" s="13" t="s">
        <v>63</v>
      </c>
      <c r="B62" s="14">
        <f t="shared" ref="B62:N62" si="15">+B13-B61</f>
        <v>-410432</v>
      </c>
      <c r="C62" s="14">
        <f t="shared" si="15"/>
        <v>321349</v>
      </c>
      <c r="D62" s="14">
        <f t="shared" si="15"/>
        <v>-495553</v>
      </c>
      <c r="E62" s="14">
        <f t="shared" si="15"/>
        <v>-877942</v>
      </c>
      <c r="F62" s="14">
        <f>+F13-F61</f>
        <v>911180</v>
      </c>
      <c r="G62" s="14">
        <f t="shared" si="15"/>
        <v>-353332.60886835586</v>
      </c>
      <c r="H62" s="14">
        <f t="shared" si="15"/>
        <v>-728137.69195192121</v>
      </c>
      <c r="I62" s="14">
        <f t="shared" si="15"/>
        <v>-189749.94115324598</v>
      </c>
      <c r="J62" s="14">
        <f t="shared" si="15"/>
        <v>-116329.26442024577</v>
      </c>
      <c r="K62" s="14">
        <f t="shared" si="15"/>
        <v>-454940.62012809888</v>
      </c>
      <c r="L62" s="14">
        <f t="shared" si="15"/>
        <v>-374500.46593584586</v>
      </c>
      <c r="M62" s="14">
        <f t="shared" si="15"/>
        <v>-162560.93117498094</v>
      </c>
      <c r="N62" s="14">
        <f t="shared" si="15"/>
        <v>-2930949.523632694</v>
      </c>
    </row>
    <row r="63" spans="1:21" s="6" customFormat="1" ht="13.5" thickTop="1">
      <c r="A63" s="13" t="s">
        <v>64</v>
      </c>
      <c r="B63" s="12">
        <f>+B62</f>
        <v>-410432</v>
      </c>
      <c r="C63" s="12">
        <f t="shared" ref="C63:M63" si="16">B63+C62</f>
        <v>-89083</v>
      </c>
      <c r="D63" s="12">
        <f t="shared" si="16"/>
        <v>-584636</v>
      </c>
      <c r="E63" s="12">
        <f t="shared" si="16"/>
        <v>-1462578</v>
      </c>
      <c r="F63" s="12">
        <f t="shared" si="16"/>
        <v>-551398</v>
      </c>
      <c r="G63" s="12">
        <f t="shared" si="16"/>
        <v>-904730.60886835586</v>
      </c>
      <c r="H63" s="12">
        <f t="shared" si="16"/>
        <v>-1632868.3008202771</v>
      </c>
      <c r="I63" s="12">
        <f>H63+I62</f>
        <v>-1822618.2419735231</v>
      </c>
      <c r="J63" s="12">
        <f t="shared" si="16"/>
        <v>-1938947.5063937688</v>
      </c>
      <c r="K63" s="12">
        <f t="shared" si="16"/>
        <v>-2393888.1265218677</v>
      </c>
      <c r="L63" s="12">
        <f t="shared" si="16"/>
        <v>-2768388.5924577136</v>
      </c>
      <c r="M63" s="12">
        <f t="shared" si="16"/>
        <v>-2930949.5236326945</v>
      </c>
      <c r="N63" s="12"/>
    </row>
    <row r="64" spans="1:21">
      <c r="A64" s="13" t="s">
        <v>65</v>
      </c>
      <c r="B64" s="12">
        <f t="shared" ref="B64:M64" si="17">+$B$60+B63</f>
        <v>14799859</v>
      </c>
      <c r="C64" s="12">
        <f t="shared" si="17"/>
        <v>15121208</v>
      </c>
      <c r="D64" s="12">
        <f t="shared" si="17"/>
        <v>14625655</v>
      </c>
      <c r="E64" s="12">
        <f t="shared" si="17"/>
        <v>13747713</v>
      </c>
      <c r="F64" s="12">
        <f>+$B$60+F63</f>
        <v>14658893</v>
      </c>
      <c r="G64" s="12">
        <f t="shared" si="17"/>
        <v>14305560.391131643</v>
      </c>
      <c r="H64" s="12">
        <f t="shared" si="17"/>
        <v>13577422.699179724</v>
      </c>
      <c r="I64" s="12">
        <f t="shared" si="17"/>
        <v>13387672.758026477</v>
      </c>
      <c r="J64" s="12">
        <f t="shared" si="17"/>
        <v>13271343.493606232</v>
      </c>
      <c r="K64" s="12">
        <f t="shared" si="17"/>
        <v>12816402.873478133</v>
      </c>
      <c r="L64" s="12">
        <f t="shared" si="17"/>
        <v>12441902.407542286</v>
      </c>
      <c r="M64" s="12">
        <f t="shared" si="17"/>
        <v>12279341.476367306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141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-1206184.54570327</v>
      </c>
      <c r="C67" s="30">
        <v>-91236.09179938212</v>
      </c>
      <c r="D67" s="30">
        <v>-21884.721865982749</v>
      </c>
      <c r="E67" s="30">
        <v>-419084.90535577014</v>
      </c>
      <c r="F67" s="30">
        <v>-533603.18347677123</v>
      </c>
      <c r="G67" s="30">
        <v>-353332.60886835586</v>
      </c>
      <c r="H67" s="30">
        <v>-728137.69195192121</v>
      </c>
      <c r="I67" s="30">
        <v>-189749.94115324598</v>
      </c>
      <c r="J67" s="30">
        <v>-116329.26442024577</v>
      </c>
      <c r="K67" s="30">
        <v>-454940.62012809888</v>
      </c>
      <c r="L67" s="30">
        <v>-374500.46593584586</v>
      </c>
      <c r="M67" s="30">
        <v>-162560.93117498094</v>
      </c>
      <c r="N67" s="124"/>
    </row>
    <row r="68" spans="1:14" ht="13.5" thickTop="1">
      <c r="A68" s="115" t="s">
        <v>64</v>
      </c>
      <c r="B68" s="31">
        <f>+B67</f>
        <v>-1206184.54570327</v>
      </c>
      <c r="C68" s="31">
        <f t="shared" ref="C68:M68" si="18">+B68+C67</f>
        <v>-1297420.6375026521</v>
      </c>
      <c r="D68" s="31">
        <f t="shared" si="18"/>
        <v>-1319305.3593686349</v>
      </c>
      <c r="E68" s="31">
        <f t="shared" si="18"/>
        <v>-1738390.264724405</v>
      </c>
      <c r="F68" s="31">
        <f t="shared" si="18"/>
        <v>-2271993.4482011762</v>
      </c>
      <c r="G68" s="31">
        <f t="shared" si="18"/>
        <v>-2625326.0570695321</v>
      </c>
      <c r="H68" s="31">
        <f t="shared" si="18"/>
        <v>-3353463.7490214533</v>
      </c>
      <c r="I68" s="31">
        <f t="shared" si="18"/>
        <v>-3543213.6901746993</v>
      </c>
      <c r="J68" s="31">
        <f t="shared" si="18"/>
        <v>-3659542.9545949451</v>
      </c>
      <c r="K68" s="31">
        <f t="shared" si="18"/>
        <v>-4114483.5747230439</v>
      </c>
      <c r="L68" s="31">
        <f t="shared" si="18"/>
        <v>-4488984.0406588893</v>
      </c>
      <c r="M68" s="31">
        <f t="shared" si="18"/>
        <v>-4651544.9718338698</v>
      </c>
      <c r="N68" s="125"/>
    </row>
    <row r="69" spans="1:14">
      <c r="A69" s="115" t="s">
        <v>65</v>
      </c>
      <c r="B69" s="16">
        <f>+B60+B68</f>
        <v>14004106.45429673</v>
      </c>
      <c r="C69" s="16">
        <f>+B69+C68</f>
        <v>12706685.816794079</v>
      </c>
      <c r="D69" s="16">
        <f t="shared" ref="D69:M69" si="19">+C69+D68</f>
        <v>11387380.457425443</v>
      </c>
      <c r="E69" s="16">
        <f t="shared" si="19"/>
        <v>9648990.192701038</v>
      </c>
      <c r="F69" s="16">
        <f t="shared" si="19"/>
        <v>7376996.7444998622</v>
      </c>
      <c r="G69" s="16">
        <f t="shared" si="19"/>
        <v>4751670.6874303296</v>
      </c>
      <c r="H69" s="16">
        <f t="shared" si="19"/>
        <v>1398206.9384088763</v>
      </c>
      <c r="I69" s="16">
        <f t="shared" si="19"/>
        <v>-2145006.751765823</v>
      </c>
      <c r="J69" s="16">
        <f t="shared" si="19"/>
        <v>-5804549.7063607685</v>
      </c>
      <c r="K69" s="16">
        <f t="shared" si="19"/>
        <v>-9919033.2810838129</v>
      </c>
      <c r="L69" s="16">
        <f t="shared" si="19"/>
        <v>-14408017.321742702</v>
      </c>
      <c r="M69" s="16">
        <f t="shared" si="19"/>
        <v>-19059562.293576572</v>
      </c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M74" si="20">+B62-B67</f>
        <v>795752.54570327001</v>
      </c>
      <c r="C72" s="31">
        <f t="shared" si="20"/>
        <v>412585.09179938212</v>
      </c>
      <c r="D72" s="31">
        <f t="shared" si="20"/>
        <v>-473668.27813401725</v>
      </c>
      <c r="E72" s="31">
        <f t="shared" si="20"/>
        <v>-458857.09464422986</v>
      </c>
      <c r="F72" s="31">
        <f t="shared" si="20"/>
        <v>1444783.1834767712</v>
      </c>
      <c r="G72" s="31">
        <f t="shared" si="20"/>
        <v>0</v>
      </c>
      <c r="H72" s="31">
        <f t="shared" si="20"/>
        <v>0</v>
      </c>
      <c r="I72" s="31">
        <f t="shared" si="20"/>
        <v>0</v>
      </c>
      <c r="J72" s="31">
        <f t="shared" si="20"/>
        <v>0</v>
      </c>
      <c r="K72" s="31">
        <f t="shared" si="20"/>
        <v>0</v>
      </c>
      <c r="L72" s="31">
        <f t="shared" si="20"/>
        <v>0</v>
      </c>
      <c r="M72" s="31">
        <f t="shared" si="20"/>
        <v>0</v>
      </c>
      <c r="N72" s="125"/>
    </row>
    <row r="73" spans="1:14" s="6" customFormat="1">
      <c r="A73" s="115" t="s">
        <v>64</v>
      </c>
      <c r="B73" s="31">
        <f t="shared" si="20"/>
        <v>795752.54570327001</v>
      </c>
      <c r="C73" s="31">
        <f t="shared" si="20"/>
        <v>1208337.6375026521</v>
      </c>
      <c r="D73" s="31">
        <f t="shared" si="20"/>
        <v>734669.35936863488</v>
      </c>
      <c r="E73" s="31">
        <f t="shared" si="20"/>
        <v>275812.26472440502</v>
      </c>
      <c r="F73" s="31">
        <f t="shared" si="20"/>
        <v>1720595.4482011762</v>
      </c>
      <c r="G73" s="31">
        <f t="shared" si="20"/>
        <v>1720595.4482011762</v>
      </c>
      <c r="H73" s="31">
        <f t="shared" si="20"/>
        <v>1720595.4482011762</v>
      </c>
      <c r="I73" s="31">
        <f t="shared" si="20"/>
        <v>1720595.4482011762</v>
      </c>
      <c r="J73" s="31">
        <f t="shared" si="20"/>
        <v>1720595.4482011762</v>
      </c>
      <c r="K73" s="31">
        <f t="shared" si="20"/>
        <v>1720595.4482011762</v>
      </c>
      <c r="L73" s="31">
        <f t="shared" si="20"/>
        <v>1720595.4482011758</v>
      </c>
      <c r="M73" s="31">
        <f t="shared" si="20"/>
        <v>1720595.4482011753</v>
      </c>
      <c r="N73" s="125">
        <f>+N63-N68</f>
        <v>0</v>
      </c>
    </row>
    <row r="74" spans="1:14">
      <c r="A74" s="121" t="s">
        <v>65</v>
      </c>
      <c r="B74" s="122">
        <f t="shared" si="20"/>
        <v>795752.54570326954</v>
      </c>
      <c r="C74" s="122">
        <f t="shared" si="20"/>
        <v>2414522.1832059212</v>
      </c>
      <c r="D74" s="122">
        <f t="shared" si="20"/>
        <v>3238274.5425745565</v>
      </c>
      <c r="E74" s="122">
        <f t="shared" si="20"/>
        <v>4098722.807298962</v>
      </c>
      <c r="F74" s="122">
        <f>+F64-F69</f>
        <v>7281896.2555001378</v>
      </c>
      <c r="G74" s="122">
        <f t="shared" si="20"/>
        <v>9553889.7037013136</v>
      </c>
      <c r="H74" s="122">
        <f t="shared" si="20"/>
        <v>12179215.760770848</v>
      </c>
      <c r="I74" s="122">
        <f t="shared" si="20"/>
        <v>15532679.5097923</v>
      </c>
      <c r="J74" s="122">
        <f t="shared" si="20"/>
        <v>19075893.199967001</v>
      </c>
      <c r="K74" s="122">
        <f t="shared" si="20"/>
        <v>22735436.154561944</v>
      </c>
      <c r="L74" s="122">
        <f t="shared" si="20"/>
        <v>26849919.729284987</v>
      </c>
      <c r="M74" s="122">
        <f t="shared" si="20"/>
        <v>31338903.769943878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1:U85"/>
  <sheetViews>
    <sheetView showGridLines="0" zoomScaleNormal="100" workbookViewId="0">
      <selection activeCell="D62" sqref="D62"/>
    </sheetView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76</v>
      </c>
      <c r="H2" s="92" t="s">
        <v>76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476908</v>
      </c>
      <c r="C5" s="101">
        <v>2210992</v>
      </c>
      <c r="D5" s="101">
        <v>895797</v>
      </c>
      <c r="E5" s="101">
        <v>680181</v>
      </c>
      <c r="F5" s="101">
        <v>395507</v>
      </c>
      <c r="G5" s="101">
        <v>813599</v>
      </c>
      <c r="H5" s="101">
        <v>2497871</v>
      </c>
      <c r="I5" s="101">
        <v>1535686</v>
      </c>
      <c r="J5" s="101">
        <v>1187116</v>
      </c>
      <c r="K5" s="101">
        <v>1395071</v>
      </c>
      <c r="L5" s="101">
        <v>1070364</v>
      </c>
      <c r="M5" s="101">
        <v>738619</v>
      </c>
      <c r="N5" s="102">
        <f>SUM(B5:M5)</f>
        <v>13897711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57792</v>
      </c>
      <c r="D6" s="101">
        <v>168012</v>
      </c>
      <c r="E6" s="101">
        <v>32628</v>
      </c>
      <c r="F6" s="101">
        <v>72335</v>
      </c>
      <c r="G6" s="101">
        <v>221803</v>
      </c>
      <c r="H6" s="101">
        <v>51087</v>
      </c>
      <c r="I6" s="101">
        <v>125594</v>
      </c>
      <c r="J6" s="101">
        <v>223279</v>
      </c>
      <c r="K6" s="101">
        <v>51978</v>
      </c>
      <c r="L6" s="101">
        <v>58717</v>
      </c>
      <c r="M6" s="101">
        <v>284877</v>
      </c>
      <c r="N6" s="103">
        <f>SUM(B6:M6)</f>
        <v>1547841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1063809</v>
      </c>
      <c r="E9" s="12">
        <f t="shared" si="0"/>
        <v>712809</v>
      </c>
      <c r="F9" s="12">
        <f t="shared" si="0"/>
        <v>467842</v>
      </c>
      <c r="G9" s="12">
        <f t="shared" si="0"/>
        <v>1035402</v>
      </c>
      <c r="H9" s="12">
        <f t="shared" si="0"/>
        <v>2548958</v>
      </c>
      <c r="I9" s="12">
        <f t="shared" si="0"/>
        <v>1661280</v>
      </c>
      <c r="J9" s="12">
        <f t="shared" si="0"/>
        <v>1410395</v>
      </c>
      <c r="K9" s="12">
        <f t="shared" si="0"/>
        <v>1447049</v>
      </c>
      <c r="L9" s="12">
        <f t="shared" si="0"/>
        <v>1129081</v>
      </c>
      <c r="M9" s="12">
        <f t="shared" si="0"/>
        <v>1023496</v>
      </c>
      <c r="N9" s="12">
        <f t="shared" si="0"/>
        <v>15445552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2268784</v>
      </c>
      <c r="D13" s="14">
        <f t="shared" si="1"/>
        <v>1063809</v>
      </c>
      <c r="E13" s="14">
        <f t="shared" si="1"/>
        <v>712809</v>
      </c>
      <c r="F13" s="14">
        <f t="shared" si="1"/>
        <v>467842</v>
      </c>
      <c r="G13" s="14">
        <f t="shared" si="1"/>
        <v>1035402</v>
      </c>
      <c r="H13" s="14">
        <f t="shared" si="1"/>
        <v>2548958</v>
      </c>
      <c r="I13" s="14">
        <f t="shared" si="1"/>
        <v>1661280</v>
      </c>
      <c r="J13" s="14">
        <f t="shared" si="1"/>
        <v>1410395</v>
      </c>
      <c r="K13" s="14">
        <f t="shared" si="1"/>
        <v>1447049</v>
      </c>
      <c r="L13" s="14">
        <f t="shared" si="1"/>
        <v>1129081</v>
      </c>
      <c r="M13" s="14">
        <f t="shared" si="1"/>
        <v>1023496</v>
      </c>
      <c r="N13" s="14">
        <f t="shared" si="1"/>
        <v>15445552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1608163</v>
      </c>
      <c r="D16" s="101">
        <v>538743</v>
      </c>
      <c r="E16" s="101">
        <v>333634</v>
      </c>
      <c r="F16" s="101">
        <v>165810</v>
      </c>
      <c r="G16" s="101">
        <v>329827</v>
      </c>
      <c r="H16" s="101">
        <v>1512502</v>
      </c>
      <c r="I16" s="101">
        <v>640537</v>
      </c>
      <c r="J16" s="101">
        <v>456948</v>
      </c>
      <c r="K16" s="101">
        <v>665472</v>
      </c>
      <c r="L16" s="101">
        <v>493571</v>
      </c>
      <c r="M16" s="101">
        <v>431870</v>
      </c>
      <c r="N16" s="103">
        <f>SUM(B16:M16)</f>
        <v>7513891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538743</v>
      </c>
      <c r="E20" s="12">
        <f t="shared" si="2"/>
        <v>333634</v>
      </c>
      <c r="F20" s="12">
        <f t="shared" si="2"/>
        <v>165810</v>
      </c>
      <c r="G20" s="12">
        <f t="shared" si="2"/>
        <v>329827</v>
      </c>
      <c r="H20" s="12">
        <f t="shared" si="2"/>
        <v>1512502</v>
      </c>
      <c r="I20" s="12">
        <f t="shared" si="2"/>
        <v>640537</v>
      </c>
      <c r="J20" s="12">
        <f t="shared" si="2"/>
        <v>456948</v>
      </c>
      <c r="K20" s="12">
        <f t="shared" si="2"/>
        <v>665472</v>
      </c>
      <c r="L20" s="12">
        <f t="shared" si="2"/>
        <v>493571</v>
      </c>
      <c r="M20" s="12">
        <f t="shared" si="2"/>
        <v>431870</v>
      </c>
      <c r="N20" s="12">
        <f t="shared" si="2"/>
        <v>7513891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140094</v>
      </c>
      <c r="C23" s="103">
        <f t="shared" si="3"/>
        <v>602829</v>
      </c>
      <c r="D23" s="103">
        <f t="shared" si="3"/>
        <v>357054</v>
      </c>
      <c r="E23" s="103">
        <f t="shared" si="3"/>
        <v>346547</v>
      </c>
      <c r="F23" s="103">
        <f t="shared" si="3"/>
        <v>229697</v>
      </c>
      <c r="G23" s="103">
        <f t="shared" si="3"/>
        <v>483772</v>
      </c>
      <c r="H23" s="103">
        <f t="shared" si="3"/>
        <v>985369</v>
      </c>
      <c r="I23" s="103">
        <f t="shared" si="3"/>
        <v>895149</v>
      </c>
      <c r="J23" s="103">
        <f t="shared" si="3"/>
        <v>730168</v>
      </c>
      <c r="K23" s="103">
        <f t="shared" si="3"/>
        <v>729599</v>
      </c>
      <c r="L23" s="103">
        <f t="shared" si="3"/>
        <v>576793</v>
      </c>
      <c r="M23" s="103">
        <f t="shared" si="3"/>
        <v>306749</v>
      </c>
      <c r="N23" s="103">
        <f>SUM(B23:M23)</f>
        <v>6383820</v>
      </c>
    </row>
    <row r="24" spans="1:14" s="6" customFormat="1" hidden="1" outlineLevel="1">
      <c r="A24" s="100" t="s">
        <v>37</v>
      </c>
      <c r="B24" s="103">
        <f t="shared" si="3"/>
        <v>199739</v>
      </c>
      <c r="C24" s="103">
        <f t="shared" si="3"/>
        <v>57792</v>
      </c>
      <c r="D24" s="103">
        <f t="shared" si="3"/>
        <v>168012</v>
      </c>
      <c r="E24" s="103">
        <f t="shared" si="3"/>
        <v>32628</v>
      </c>
      <c r="F24" s="103">
        <f t="shared" si="3"/>
        <v>72335</v>
      </c>
      <c r="G24" s="103">
        <f t="shared" si="3"/>
        <v>221803</v>
      </c>
      <c r="H24" s="103">
        <f t="shared" si="3"/>
        <v>51087</v>
      </c>
      <c r="I24" s="103">
        <f t="shared" si="3"/>
        <v>125594</v>
      </c>
      <c r="J24" s="103">
        <f t="shared" si="3"/>
        <v>223279</v>
      </c>
      <c r="K24" s="103">
        <f t="shared" si="3"/>
        <v>51978</v>
      </c>
      <c r="L24" s="103">
        <f t="shared" si="3"/>
        <v>58717</v>
      </c>
      <c r="M24" s="103">
        <f t="shared" si="3"/>
        <v>284877</v>
      </c>
      <c r="N24" s="103">
        <f>SUM(B24:M24)</f>
        <v>1547841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660621</v>
      </c>
      <c r="D27" s="12">
        <f t="shared" si="4"/>
        <v>525066</v>
      </c>
      <c r="E27" s="12">
        <f t="shared" si="4"/>
        <v>379175</v>
      </c>
      <c r="F27" s="12">
        <f t="shared" si="4"/>
        <v>302032</v>
      </c>
      <c r="G27" s="12">
        <f t="shared" si="4"/>
        <v>705575</v>
      </c>
      <c r="H27" s="12">
        <f>SUM(H23:H26)</f>
        <v>1036456</v>
      </c>
      <c r="I27" s="12">
        <f t="shared" si="4"/>
        <v>1020743</v>
      </c>
      <c r="J27" s="12">
        <f t="shared" si="4"/>
        <v>953447</v>
      </c>
      <c r="K27" s="12">
        <f t="shared" si="4"/>
        <v>781577</v>
      </c>
      <c r="L27" s="12">
        <f t="shared" si="4"/>
        <v>635510</v>
      </c>
      <c r="M27" s="12">
        <f>SUM(M23:M26)</f>
        <v>591626</v>
      </c>
      <c r="N27" s="12">
        <f t="shared" si="4"/>
        <v>7931661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0.291178446251384</v>
      </c>
      <c r="D28" s="73">
        <f t="shared" si="5"/>
        <v>0.49357168439071297</v>
      </c>
      <c r="E28" s="73">
        <f t="shared" si="5"/>
        <v>0.53194474256077018</v>
      </c>
      <c r="F28" s="73">
        <f t="shared" si="5"/>
        <v>0.64558547543828904</v>
      </c>
      <c r="G28" s="73">
        <f t="shared" si="5"/>
        <v>0.68145029659977474</v>
      </c>
      <c r="H28" s="73">
        <f t="shared" si="5"/>
        <v>0.40661948921873176</v>
      </c>
      <c r="I28" s="73">
        <f t="shared" si="5"/>
        <v>0.61443164307040354</v>
      </c>
      <c r="J28" s="73">
        <f t="shared" si="5"/>
        <v>0.67601416624420818</v>
      </c>
      <c r="K28" s="73">
        <f t="shared" si="5"/>
        <v>0.54011785364559184</v>
      </c>
      <c r="L28" s="73">
        <f t="shared" si="5"/>
        <v>0.56285598641727208</v>
      </c>
      <c r="M28" s="73">
        <f t="shared" si="5"/>
        <v>0.5780442717900216</v>
      </c>
      <c r="N28" s="73">
        <f t="shared" ref="N28" si="6">+N27/N9</f>
        <v>0.51352395822434838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314680</v>
      </c>
      <c r="D30" s="101">
        <v>302225</v>
      </c>
      <c r="E30" s="101">
        <v>322845</v>
      </c>
      <c r="F30" s="101">
        <v>249775</v>
      </c>
      <c r="G30" s="101">
        <v>359896.18306715385</v>
      </c>
      <c r="H30" s="101">
        <v>521253.96098961541</v>
      </c>
      <c r="I30" s="101">
        <v>411300.28455869236</v>
      </c>
      <c r="J30" s="101">
        <v>392403.38610869233</v>
      </c>
      <c r="K30" s="101">
        <v>470518.20239961543</v>
      </c>
      <c r="L30" s="101">
        <v>361457.1899586923</v>
      </c>
      <c r="M30" s="101">
        <v>309677.88845369231</v>
      </c>
      <c r="N30" s="103">
        <f>SUM(B30:M30)</f>
        <v>4293435.0955361538</v>
      </c>
    </row>
    <row r="31" spans="1:14" s="6" customFormat="1" hidden="1" outlineLevel="1">
      <c r="A31" s="100" t="s">
        <v>42</v>
      </c>
      <c r="B31" s="101">
        <v>154113</v>
      </c>
      <c r="C31" s="101">
        <v>151966</v>
      </c>
      <c r="D31" s="101">
        <v>157499</v>
      </c>
      <c r="E31" s="101">
        <v>172384</v>
      </c>
      <c r="F31" s="101">
        <v>158302</v>
      </c>
      <c r="G31" s="101">
        <v>164482.0924678685</v>
      </c>
      <c r="H31" s="101">
        <v>197799.39762897298</v>
      </c>
      <c r="I31" s="101">
        <v>168672.32326122007</v>
      </c>
      <c r="J31" s="101">
        <v>167875.54497822007</v>
      </c>
      <c r="K31" s="101">
        <v>196120.0843951499</v>
      </c>
      <c r="L31" s="101">
        <v>165873.94264382005</v>
      </c>
      <c r="M31" s="101">
        <v>166838.70938795508</v>
      </c>
      <c r="N31" s="103">
        <f>SUM(B31:M31)</f>
        <v>2021926.0947632066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466646</v>
      </c>
      <c r="D34" s="12">
        <f t="shared" si="7"/>
        <v>459724</v>
      </c>
      <c r="E34" s="12">
        <f t="shared" si="7"/>
        <v>495229</v>
      </c>
      <c r="F34" s="12">
        <f t="shared" si="7"/>
        <v>408077</v>
      </c>
      <c r="G34" s="12">
        <f t="shared" si="7"/>
        <v>524378.27553502237</v>
      </c>
      <c r="H34" s="12">
        <f t="shared" si="7"/>
        <v>719053.35861858842</v>
      </c>
      <c r="I34" s="12">
        <f t="shared" si="7"/>
        <v>579972.60781991249</v>
      </c>
      <c r="J34" s="12">
        <f t="shared" si="7"/>
        <v>560278.9310869124</v>
      </c>
      <c r="K34" s="12">
        <f t="shared" si="7"/>
        <v>666638.28679476539</v>
      </c>
      <c r="L34" s="12">
        <f t="shared" si="7"/>
        <v>527331.13260251237</v>
      </c>
      <c r="M34" s="12">
        <f t="shared" si="7"/>
        <v>476516.5978416474</v>
      </c>
      <c r="N34" s="12">
        <f t="shared" si="7"/>
        <v>6315361.1902993601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609031</v>
      </c>
      <c r="D37" s="101">
        <v>689724</v>
      </c>
      <c r="E37" s="101">
        <v>914242</v>
      </c>
      <c r="F37" s="101">
        <v>643270</v>
      </c>
      <c r="G37" s="108">
        <v>898499.60886835575</v>
      </c>
      <c r="H37" s="108">
        <v>1068267.6919519217</v>
      </c>
      <c r="I37" s="108">
        <v>1012375.9411532459</v>
      </c>
      <c r="J37" s="108">
        <v>916858.26442024577</v>
      </c>
      <c r="K37" s="108">
        <v>1045019.6201280988</v>
      </c>
      <c r="L37" s="101">
        <v>879113.46593584574</v>
      </c>
      <c r="M37" s="101">
        <v>781957.93117498083</v>
      </c>
      <c r="N37" s="103">
        <f>SUM(B37:M37)</f>
        <v>10158246.523632694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-466646</v>
      </c>
      <c r="D38" s="7">
        <f t="shared" si="8"/>
        <v>-459724</v>
      </c>
      <c r="E38" s="7">
        <f t="shared" si="8"/>
        <v>-495229</v>
      </c>
      <c r="F38" s="7">
        <f t="shared" si="8"/>
        <v>-408077</v>
      </c>
      <c r="G38" s="7">
        <f t="shared" si="8"/>
        <v>-524378.27553502237</v>
      </c>
      <c r="H38" s="7">
        <f>-H34</f>
        <v>-719053.35861858842</v>
      </c>
      <c r="I38" s="7">
        <f t="shared" si="8"/>
        <v>-579972.60781991249</v>
      </c>
      <c r="J38" s="7">
        <f t="shared" si="8"/>
        <v>-560278.9310869124</v>
      </c>
      <c r="K38" s="7">
        <f t="shared" si="8"/>
        <v>-666638.28679476539</v>
      </c>
      <c r="L38" s="7">
        <f t="shared" si="8"/>
        <v>-527331.13260251237</v>
      </c>
      <c r="M38" s="7">
        <f t="shared" si="8"/>
        <v>-476516.5978416474</v>
      </c>
      <c r="N38" s="7">
        <f>SUM(B38:M38)</f>
        <v>-6315361.190299361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-79108</v>
      </c>
      <c r="D39" s="109">
        <v>-79051</v>
      </c>
      <c r="E39" s="109">
        <v>-77816</v>
      </c>
      <c r="F39" s="109">
        <v>-77648</v>
      </c>
      <c r="G39" s="109">
        <v>-77087</v>
      </c>
      <c r="H39" s="109">
        <v>-77087</v>
      </c>
      <c r="I39" s="109">
        <v>-77087</v>
      </c>
      <c r="J39" s="109">
        <v>-77087</v>
      </c>
      <c r="K39" s="109">
        <v>-77087</v>
      </c>
      <c r="L39" s="109">
        <v>-77087</v>
      </c>
      <c r="M39" s="109">
        <v>-74530</v>
      </c>
      <c r="N39" s="103">
        <f>SUM(B39:M39)</f>
        <v>-928062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03">
        <f>SUM(B40:M40)</f>
        <v>-85340</v>
      </c>
    </row>
    <row r="41" spans="1:14" s="6" customFormat="1" ht="12.75" hidden="1" customHeight="1" outlineLevel="1">
      <c r="A41" s="100" t="s">
        <v>48</v>
      </c>
      <c r="B41" s="110">
        <v>-3350</v>
      </c>
      <c r="C41" s="110">
        <v>-3350</v>
      </c>
      <c r="D41" s="110">
        <v>-3350</v>
      </c>
      <c r="E41" s="110">
        <v>-3350</v>
      </c>
      <c r="F41" s="110">
        <v>-1150</v>
      </c>
      <c r="G41" s="110">
        <v>-9350</v>
      </c>
      <c r="H41" s="110">
        <v>-4350</v>
      </c>
      <c r="I41" s="110">
        <v>-4350</v>
      </c>
      <c r="J41" s="110">
        <v>-4350</v>
      </c>
      <c r="K41" s="110">
        <v>-4350</v>
      </c>
      <c r="L41" s="110">
        <v>-4350</v>
      </c>
      <c r="M41" s="110">
        <v>-47350</v>
      </c>
      <c r="N41" s="104">
        <f>SUM(B41:M41)</f>
        <v>-93000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52320</v>
      </c>
      <c r="D42" s="12">
        <f t="shared" si="9"/>
        <v>139992</v>
      </c>
      <c r="E42" s="12">
        <f t="shared" si="9"/>
        <v>330625</v>
      </c>
      <c r="F42" s="12">
        <f t="shared" si="9"/>
        <v>149173</v>
      </c>
      <c r="G42" s="12">
        <f t="shared" si="9"/>
        <v>280545.33333333337</v>
      </c>
      <c r="H42" s="12">
        <f t="shared" si="9"/>
        <v>260638.33333333326</v>
      </c>
      <c r="I42" s="12">
        <f t="shared" si="9"/>
        <v>344098.33333333337</v>
      </c>
      <c r="J42" s="12">
        <f t="shared" si="9"/>
        <v>268274.33333333337</v>
      </c>
      <c r="K42" s="12">
        <f t="shared" si="9"/>
        <v>290076.33333333337</v>
      </c>
      <c r="L42" s="12">
        <f t="shared" si="9"/>
        <v>263580.33333333337</v>
      </c>
      <c r="M42" s="12">
        <f t="shared" si="9"/>
        <v>177133.33333333343</v>
      </c>
      <c r="N42" s="12">
        <f t="shared" si="9"/>
        <v>2736483.333333333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10">
        <v>234703</v>
      </c>
      <c r="C44" s="111">
        <v>219113</v>
      </c>
      <c r="D44" s="111">
        <v>210081</v>
      </c>
      <c r="E44" s="111">
        <v>259750</v>
      </c>
      <c r="F44" s="111">
        <v>-183271</v>
      </c>
      <c r="G44" s="111">
        <v>246984</v>
      </c>
      <c r="H44" s="111">
        <v>294902</v>
      </c>
      <c r="I44" s="111">
        <v>245422</v>
      </c>
      <c r="J44" s="111">
        <v>271223</v>
      </c>
      <c r="K44" s="111">
        <v>309803</v>
      </c>
      <c r="L44" s="111">
        <v>249099</v>
      </c>
      <c r="M44" s="111">
        <v>-130463</v>
      </c>
      <c r="N44" s="126">
        <f>SUM(B44:M44)</f>
        <v>2227346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219113</v>
      </c>
      <c r="D46" s="12">
        <f t="shared" ref="D46:N46" si="10">SUM(D44:D45)</f>
        <v>210081</v>
      </c>
      <c r="E46" s="12">
        <f t="shared" si="10"/>
        <v>259750</v>
      </c>
      <c r="F46" s="12">
        <f t="shared" si="10"/>
        <v>-183271</v>
      </c>
      <c r="G46" s="12">
        <f t="shared" si="10"/>
        <v>246984</v>
      </c>
      <c r="H46" s="12">
        <f t="shared" si="10"/>
        <v>294902</v>
      </c>
      <c r="I46" s="12">
        <f t="shared" si="10"/>
        <v>245422</v>
      </c>
      <c r="J46" s="12">
        <f t="shared" si="10"/>
        <v>271223</v>
      </c>
      <c r="K46" s="12">
        <f t="shared" si="10"/>
        <v>309803</v>
      </c>
      <c r="L46" s="12">
        <f t="shared" si="10"/>
        <v>249099</v>
      </c>
      <c r="M46" s="12">
        <f t="shared" si="10"/>
        <v>-130463</v>
      </c>
      <c r="N46" s="12">
        <f t="shared" si="10"/>
        <v>2227346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2346242</v>
      </c>
      <c r="D48" s="19">
        <f t="shared" si="11"/>
        <v>1348540</v>
      </c>
      <c r="E48" s="19">
        <f t="shared" si="11"/>
        <v>1419238</v>
      </c>
      <c r="F48" s="19">
        <f>+F20+F34+F42+F46</f>
        <v>539789</v>
      </c>
      <c r="G48" s="19">
        <f t="shared" si="11"/>
        <v>1381734.6088683559</v>
      </c>
      <c r="H48" s="19">
        <f t="shared" si="11"/>
        <v>2787095.6919519212</v>
      </c>
      <c r="I48" s="19">
        <f t="shared" si="11"/>
        <v>1810029.941153246</v>
      </c>
      <c r="J48" s="19">
        <f t="shared" si="11"/>
        <v>1556724.2644202458</v>
      </c>
      <c r="K48" s="19">
        <f t="shared" si="11"/>
        <v>1931989.6201280989</v>
      </c>
      <c r="L48" s="19">
        <f t="shared" si="11"/>
        <v>1533581.4659358459</v>
      </c>
      <c r="M48" s="19">
        <f t="shared" si="11"/>
        <v>955056.93117498094</v>
      </c>
      <c r="N48" s="19">
        <f t="shared" si="11"/>
        <v>18793081.523632694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-77458</v>
      </c>
      <c r="D50" s="12">
        <f t="shared" si="12"/>
        <v>-284731</v>
      </c>
      <c r="E50" s="12">
        <f t="shared" si="12"/>
        <v>-706429</v>
      </c>
      <c r="F50" s="12">
        <f>+F13-F48</f>
        <v>-71947</v>
      </c>
      <c r="G50" s="12">
        <f t="shared" si="12"/>
        <v>-346332.60886835586</v>
      </c>
      <c r="H50" s="12">
        <f>+H13-H48</f>
        <v>-238137.69195192121</v>
      </c>
      <c r="I50" s="12">
        <f t="shared" si="12"/>
        <v>-148749.94115324598</v>
      </c>
      <c r="J50" s="12">
        <f t="shared" si="12"/>
        <v>-146329.26442024577</v>
      </c>
      <c r="K50" s="12">
        <f t="shared" si="12"/>
        <v>-484940.62012809888</v>
      </c>
      <c r="L50" s="12">
        <f t="shared" si="12"/>
        <v>-404500.46593584586</v>
      </c>
      <c r="M50" s="12">
        <f t="shared" si="12"/>
        <v>68439.068825019058</v>
      </c>
      <c r="N50" s="12">
        <f>SUM(B50:M50)</f>
        <v>-3347529.5236326945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107140</v>
      </c>
      <c r="D53" s="10">
        <v>2541</v>
      </c>
      <c r="E53" s="10">
        <v>42587</v>
      </c>
      <c r="F53" s="10">
        <v>7284</v>
      </c>
      <c r="G53" s="10">
        <v>37000</v>
      </c>
      <c r="H53" s="23">
        <v>20000</v>
      </c>
      <c r="I53" s="10">
        <v>71000</v>
      </c>
      <c r="J53" s="10">
        <v>0</v>
      </c>
      <c r="K53" s="10">
        <v>0</v>
      </c>
      <c r="L53" s="10">
        <v>0</v>
      </c>
      <c r="M53" s="10">
        <v>261000</v>
      </c>
      <c r="N53" s="10">
        <f>SUM(B53:M53)</f>
        <v>555592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95000</v>
      </c>
    </row>
    <row r="55" spans="1:21" s="6" customFormat="1">
      <c r="A55" s="6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500000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>SUM(B55:M55)</f>
        <v>880402</v>
      </c>
    </row>
    <row r="56" spans="1:21" s="6" customFormat="1">
      <c r="A56" s="37" t="s">
        <v>58</v>
      </c>
      <c r="B56" s="7">
        <v>-19539</v>
      </c>
      <c r="C56" s="7">
        <v>-18488</v>
      </c>
      <c r="D56" s="7">
        <v>-23302</v>
      </c>
      <c r="E56" s="7">
        <v>-10141</v>
      </c>
      <c r="F56" s="7">
        <v>-16697</v>
      </c>
      <c r="G56" s="7">
        <v>-15000</v>
      </c>
      <c r="H56" s="7">
        <v>-15000</v>
      </c>
      <c r="I56" s="7">
        <v>-15000</v>
      </c>
      <c r="J56" s="7">
        <v>-15000</v>
      </c>
      <c r="K56" s="7">
        <v>-15000</v>
      </c>
      <c r="L56" s="7">
        <v>-15000</v>
      </c>
      <c r="M56" s="7">
        <v>-15000</v>
      </c>
      <c r="N56" s="7">
        <f>SUM(B56:M56)</f>
        <v>-193167</v>
      </c>
    </row>
    <row r="57" spans="1:21" s="6" customFormat="1">
      <c r="A57" s="6" t="s">
        <v>134</v>
      </c>
      <c r="B57" s="22">
        <v>-463884</v>
      </c>
      <c r="C57" s="7">
        <v>-487459</v>
      </c>
      <c r="D57" s="7">
        <v>231583</v>
      </c>
      <c r="E57" s="7">
        <v>139067</v>
      </c>
      <c r="F57" s="7">
        <v>-1068714</v>
      </c>
      <c r="G57" s="7">
        <v>-15000</v>
      </c>
      <c r="H57" s="7">
        <v>-15000</v>
      </c>
      <c r="I57" s="7">
        <v>-15000</v>
      </c>
      <c r="J57" s="7">
        <v>-15000</v>
      </c>
      <c r="K57" s="7">
        <v>-15000</v>
      </c>
      <c r="L57" s="7">
        <v>-15000</v>
      </c>
      <c r="M57" s="7">
        <v>-15000</v>
      </c>
      <c r="N57" s="22">
        <f>SUM(B57:M57)</f>
        <v>-1754407</v>
      </c>
    </row>
    <row r="58" spans="1:21" s="6" customFormat="1">
      <c r="A58" s="13" t="s">
        <v>60</v>
      </c>
      <c r="B58" s="19">
        <f t="shared" ref="B58:N58" si="13">SUM(B53:B57)</f>
        <v>-95981</v>
      </c>
      <c r="C58" s="19">
        <f t="shared" si="13"/>
        <v>-398807</v>
      </c>
      <c r="D58" s="19">
        <f t="shared" si="13"/>
        <v>210822</v>
      </c>
      <c r="E58" s="19">
        <f t="shared" si="13"/>
        <v>171513</v>
      </c>
      <c r="F58" s="19">
        <f t="shared" si="13"/>
        <v>-983127</v>
      </c>
      <c r="G58" s="19">
        <f t="shared" si="13"/>
        <v>7000</v>
      </c>
      <c r="H58" s="19">
        <f>SUM(H53:H57)</f>
        <v>490000</v>
      </c>
      <c r="I58" s="19">
        <f t="shared" si="13"/>
        <v>41000</v>
      </c>
      <c r="J58" s="19">
        <f t="shared" si="13"/>
        <v>-30000</v>
      </c>
      <c r="K58" s="19">
        <f t="shared" si="13"/>
        <v>-30000</v>
      </c>
      <c r="L58" s="19">
        <f t="shared" si="13"/>
        <v>-30000</v>
      </c>
      <c r="M58" s="19">
        <f t="shared" si="13"/>
        <v>231000</v>
      </c>
      <c r="N58" s="19">
        <f t="shared" si="13"/>
        <v>-416580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15210291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4">+B58+B48</f>
        <v>1087079</v>
      </c>
      <c r="C61" s="19">
        <f t="shared" si="14"/>
        <v>1947435</v>
      </c>
      <c r="D61" s="19">
        <f t="shared" si="14"/>
        <v>1559362</v>
      </c>
      <c r="E61" s="19">
        <f t="shared" si="14"/>
        <v>1590751</v>
      </c>
      <c r="F61" s="19">
        <f>+F58+F48</f>
        <v>-443338</v>
      </c>
      <c r="G61" s="19">
        <f t="shared" si="14"/>
        <v>1388734.6088683559</v>
      </c>
      <c r="H61" s="19">
        <f t="shared" si="14"/>
        <v>3277095.6919519212</v>
      </c>
      <c r="I61" s="19">
        <f t="shared" si="14"/>
        <v>1851029.941153246</v>
      </c>
      <c r="J61" s="19">
        <f t="shared" si="14"/>
        <v>1526724.2644202458</v>
      </c>
      <c r="K61" s="19">
        <f t="shared" si="14"/>
        <v>1901989.6201280989</v>
      </c>
      <c r="L61" s="19">
        <f t="shared" si="14"/>
        <v>1503581.4659358459</v>
      </c>
      <c r="M61" s="19">
        <f t="shared" si="14"/>
        <v>1186056.9311749809</v>
      </c>
      <c r="N61" s="19">
        <f t="shared" si="14"/>
        <v>18376501.523632694</v>
      </c>
    </row>
    <row r="62" spans="1:21" ht="13.5" thickBot="1">
      <c r="A62" s="13" t="s">
        <v>63</v>
      </c>
      <c r="B62" s="14">
        <f t="shared" ref="B62:N62" si="15">+B13-B61</f>
        <v>-410432</v>
      </c>
      <c r="C62" s="14">
        <f t="shared" si="15"/>
        <v>321349</v>
      </c>
      <c r="D62" s="14">
        <f t="shared" si="15"/>
        <v>-495553</v>
      </c>
      <c r="E62" s="14">
        <f t="shared" si="15"/>
        <v>-877942</v>
      </c>
      <c r="F62" s="14">
        <f>+F13-F61</f>
        <v>911180</v>
      </c>
      <c r="G62" s="14">
        <f t="shared" si="15"/>
        <v>-353332.60886835586</v>
      </c>
      <c r="H62" s="14">
        <f t="shared" si="15"/>
        <v>-728137.69195192121</v>
      </c>
      <c r="I62" s="14">
        <f t="shared" si="15"/>
        <v>-189749.94115324598</v>
      </c>
      <c r="J62" s="14">
        <f t="shared" si="15"/>
        <v>-116329.26442024577</v>
      </c>
      <c r="K62" s="14">
        <f t="shared" si="15"/>
        <v>-454940.62012809888</v>
      </c>
      <c r="L62" s="14">
        <f t="shared" si="15"/>
        <v>-374500.46593584586</v>
      </c>
      <c r="M62" s="14">
        <f t="shared" si="15"/>
        <v>-162560.93117498094</v>
      </c>
      <c r="N62" s="14">
        <f t="shared" si="15"/>
        <v>-2930949.523632694</v>
      </c>
    </row>
    <row r="63" spans="1:21" s="6" customFormat="1" ht="13.5" thickTop="1">
      <c r="A63" s="13" t="s">
        <v>64</v>
      </c>
      <c r="B63" s="12">
        <f>+B62</f>
        <v>-410432</v>
      </c>
      <c r="C63" s="12">
        <f t="shared" ref="C63:M63" si="16">B63+C62</f>
        <v>-89083</v>
      </c>
      <c r="D63" s="12">
        <f t="shared" si="16"/>
        <v>-584636</v>
      </c>
      <c r="E63" s="12">
        <f t="shared" si="16"/>
        <v>-1462578</v>
      </c>
      <c r="F63" s="12">
        <f t="shared" si="16"/>
        <v>-551398</v>
      </c>
      <c r="G63" s="12">
        <f t="shared" si="16"/>
        <v>-904730.60886835586</v>
      </c>
      <c r="H63" s="12">
        <f t="shared" si="16"/>
        <v>-1632868.3008202771</v>
      </c>
      <c r="I63" s="12">
        <f>H63+I62</f>
        <v>-1822618.2419735231</v>
      </c>
      <c r="J63" s="12">
        <f t="shared" si="16"/>
        <v>-1938947.5063937688</v>
      </c>
      <c r="K63" s="12">
        <f t="shared" si="16"/>
        <v>-2393888.1265218677</v>
      </c>
      <c r="L63" s="12">
        <f t="shared" si="16"/>
        <v>-2768388.5924577136</v>
      </c>
      <c r="M63" s="12">
        <f t="shared" si="16"/>
        <v>-2930949.5236326945</v>
      </c>
      <c r="N63" s="12"/>
    </row>
    <row r="64" spans="1:21">
      <c r="A64" s="13" t="s">
        <v>65</v>
      </c>
      <c r="B64" s="12">
        <f t="shared" ref="B64:M64" si="17">+$B$60+B63</f>
        <v>14799859</v>
      </c>
      <c r="C64" s="12">
        <f t="shared" si="17"/>
        <v>15121208</v>
      </c>
      <c r="D64" s="12">
        <f t="shared" si="17"/>
        <v>14625655</v>
      </c>
      <c r="E64" s="12">
        <f t="shared" si="17"/>
        <v>13747713</v>
      </c>
      <c r="F64" s="12">
        <f>+$B$60+F63</f>
        <v>14658893</v>
      </c>
      <c r="G64" s="12">
        <f t="shared" si="17"/>
        <v>14305560.391131643</v>
      </c>
      <c r="H64" s="12">
        <f t="shared" si="17"/>
        <v>13577422.699179724</v>
      </c>
      <c r="I64" s="12">
        <f t="shared" si="17"/>
        <v>13387672.758026477</v>
      </c>
      <c r="J64" s="12">
        <f t="shared" si="17"/>
        <v>13271343.493606232</v>
      </c>
      <c r="K64" s="12">
        <f t="shared" si="17"/>
        <v>12816402.873478133</v>
      </c>
      <c r="L64" s="12">
        <f t="shared" si="17"/>
        <v>12441902.407542286</v>
      </c>
      <c r="M64" s="12">
        <f t="shared" si="17"/>
        <v>12279341.476367306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141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-1206184.54570327</v>
      </c>
      <c r="C67" s="30">
        <v>-91236.09179938212</v>
      </c>
      <c r="D67" s="30">
        <v>-21884.721865982749</v>
      </c>
      <c r="E67" s="30">
        <v>-419084.90535577014</v>
      </c>
      <c r="F67" s="30">
        <v>-533603.18347677123</v>
      </c>
      <c r="G67" s="30">
        <v>-353332.60886835586</v>
      </c>
      <c r="H67" s="30">
        <v>-728137.69195192121</v>
      </c>
      <c r="I67" s="30">
        <v>-189749.94115324598</v>
      </c>
      <c r="J67" s="30">
        <v>-116329.26442024577</v>
      </c>
      <c r="K67" s="30">
        <v>-454940.62012809888</v>
      </c>
      <c r="L67" s="30">
        <v>-374500.46593584586</v>
      </c>
      <c r="M67" s="30">
        <v>-162560.93117498094</v>
      </c>
      <c r="N67" s="124"/>
    </row>
    <row r="68" spans="1:14" ht="13.5" thickTop="1">
      <c r="A68" s="115" t="s">
        <v>64</v>
      </c>
      <c r="B68" s="31">
        <f>+B67</f>
        <v>-1206184.54570327</v>
      </c>
      <c r="C68" s="31">
        <f t="shared" ref="C68:M68" si="18">+B68+C67</f>
        <v>-1297420.6375026521</v>
      </c>
      <c r="D68" s="31">
        <f t="shared" si="18"/>
        <v>-1319305.3593686349</v>
      </c>
      <c r="E68" s="31">
        <f t="shared" si="18"/>
        <v>-1738390.264724405</v>
      </c>
      <c r="F68" s="31">
        <f t="shared" si="18"/>
        <v>-2271993.4482011762</v>
      </c>
      <c r="G68" s="31">
        <f t="shared" si="18"/>
        <v>-2625326.0570695321</v>
      </c>
      <c r="H68" s="31">
        <f t="shared" si="18"/>
        <v>-3353463.7490214533</v>
      </c>
      <c r="I68" s="31">
        <f t="shared" si="18"/>
        <v>-3543213.6901746993</v>
      </c>
      <c r="J68" s="31">
        <f t="shared" si="18"/>
        <v>-3659542.9545949451</v>
      </c>
      <c r="K68" s="31">
        <f t="shared" si="18"/>
        <v>-4114483.5747230439</v>
      </c>
      <c r="L68" s="31">
        <f t="shared" si="18"/>
        <v>-4488984.0406588893</v>
      </c>
      <c r="M68" s="31">
        <f t="shared" si="18"/>
        <v>-4651544.9718338698</v>
      </c>
      <c r="N68" s="125"/>
    </row>
    <row r="69" spans="1:14">
      <c r="A69" s="115" t="s">
        <v>65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M74" si="19">+B62-B67</f>
        <v>795752.54570327001</v>
      </c>
      <c r="C72" s="31">
        <f t="shared" si="19"/>
        <v>412585.09179938212</v>
      </c>
      <c r="D72" s="31">
        <f t="shared" si="19"/>
        <v>-473668.27813401725</v>
      </c>
      <c r="E72" s="31">
        <f t="shared" si="19"/>
        <v>-458857.09464422986</v>
      </c>
      <c r="F72" s="31">
        <f t="shared" si="19"/>
        <v>1444783.1834767712</v>
      </c>
      <c r="G72" s="31">
        <f t="shared" si="19"/>
        <v>0</v>
      </c>
      <c r="H72" s="31">
        <f t="shared" si="19"/>
        <v>0</v>
      </c>
      <c r="I72" s="31">
        <f t="shared" si="19"/>
        <v>0</v>
      </c>
      <c r="J72" s="31">
        <f t="shared" si="19"/>
        <v>0</v>
      </c>
      <c r="K72" s="31">
        <f t="shared" si="19"/>
        <v>0</v>
      </c>
      <c r="L72" s="31">
        <f t="shared" si="19"/>
        <v>0</v>
      </c>
      <c r="M72" s="31">
        <f t="shared" si="19"/>
        <v>0</v>
      </c>
      <c r="N72" s="125"/>
    </row>
    <row r="73" spans="1:14" s="6" customFormat="1">
      <c r="A73" s="115" t="s">
        <v>64</v>
      </c>
      <c r="B73" s="31">
        <f t="shared" si="19"/>
        <v>795752.54570327001</v>
      </c>
      <c r="C73" s="31">
        <f t="shared" si="19"/>
        <v>1208337.6375026521</v>
      </c>
      <c r="D73" s="31">
        <f t="shared" si="19"/>
        <v>734669.35936863488</v>
      </c>
      <c r="E73" s="31">
        <f t="shared" si="19"/>
        <v>275812.26472440502</v>
      </c>
      <c r="F73" s="31">
        <f t="shared" si="19"/>
        <v>1720595.4482011762</v>
      </c>
      <c r="G73" s="31">
        <f t="shared" si="19"/>
        <v>1720595.4482011762</v>
      </c>
      <c r="H73" s="31">
        <f t="shared" si="19"/>
        <v>1720595.4482011762</v>
      </c>
      <c r="I73" s="31">
        <f t="shared" si="19"/>
        <v>1720595.4482011762</v>
      </c>
      <c r="J73" s="31">
        <f t="shared" si="19"/>
        <v>1720595.4482011762</v>
      </c>
      <c r="K73" s="31">
        <f t="shared" si="19"/>
        <v>1720595.4482011762</v>
      </c>
      <c r="L73" s="31">
        <f t="shared" si="19"/>
        <v>1720595.4482011758</v>
      </c>
      <c r="M73" s="31">
        <f t="shared" si="19"/>
        <v>1720595.4482011753</v>
      </c>
      <c r="N73" s="125">
        <f>+N63-N68</f>
        <v>0</v>
      </c>
    </row>
    <row r="74" spans="1:14">
      <c r="A74" s="121" t="s">
        <v>65</v>
      </c>
      <c r="B74" s="122">
        <f t="shared" si="19"/>
        <v>14799859</v>
      </c>
      <c r="C74" s="122">
        <f t="shared" si="19"/>
        <v>15121208</v>
      </c>
      <c r="D74" s="122">
        <f t="shared" si="19"/>
        <v>14625655</v>
      </c>
      <c r="E74" s="122">
        <f t="shared" si="19"/>
        <v>13747713</v>
      </c>
      <c r="F74" s="122">
        <f t="shared" si="19"/>
        <v>14658893</v>
      </c>
      <c r="G74" s="122">
        <f t="shared" si="19"/>
        <v>14305560.391131643</v>
      </c>
      <c r="H74" s="122">
        <f t="shared" si="19"/>
        <v>13577422.699179724</v>
      </c>
      <c r="I74" s="122">
        <f t="shared" si="19"/>
        <v>13387672.758026477</v>
      </c>
      <c r="J74" s="122">
        <f t="shared" si="19"/>
        <v>13271343.493606232</v>
      </c>
      <c r="K74" s="122">
        <f t="shared" si="19"/>
        <v>12816402.873478133</v>
      </c>
      <c r="L74" s="122">
        <f t="shared" si="19"/>
        <v>12441902.407542286</v>
      </c>
      <c r="M74" s="122">
        <f t="shared" si="19"/>
        <v>12279341.476367306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R101"/>
  <sheetViews>
    <sheetView showGridLines="0" workbookViewId="0">
      <pane xSplit="1" ySplit="3" topLeftCell="B4" activePane="bottomRight" state="frozen"/>
      <selection pane="topRight" activeCell="B72" sqref="B72"/>
      <selection pane="bottomLeft" activeCell="B72" sqref="B72"/>
      <selection pane="bottomRight" activeCell="D60" sqref="D60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82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3550580.4606545898</v>
      </c>
      <c r="F5" s="53">
        <v>2491408.6501843799</v>
      </c>
      <c r="G5" s="53">
        <v>2443225.8391503901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36267784.838021711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142644.5744343327</v>
      </c>
      <c r="F6" s="53">
        <v>68608.629526434102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1267148.5740768847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f t="shared" si="0"/>
        <v>3693225.0350889224</v>
      </c>
      <c r="F9" s="12">
        <f t="shared" si="0"/>
        <v>2560017.2797108139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37534933.412098594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16542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3693225.0350889224</v>
      </c>
      <c r="F13" s="14">
        <f t="shared" si="1"/>
        <v>2560017.2797108139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37551475.412098594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1339199.27059646</v>
      </c>
      <c r="F16" s="53">
        <v>920442.29592504795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16676084.307320582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1339199.27059646</v>
      </c>
      <c r="F20" s="12">
        <f t="shared" si="2"/>
        <v>920442.29592504795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16676084.307320582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2211381.1900581298</v>
      </c>
      <c r="F23" s="7">
        <f t="shared" si="3"/>
        <v>1570966.3542593319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19591700.530701131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142644.5744343327</v>
      </c>
      <c r="F24" s="7">
        <f t="shared" si="3"/>
        <v>68608.629526434102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1267148.5740768847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2354025.7644924624</v>
      </c>
      <c r="F27" s="12">
        <f t="shared" si="4"/>
        <v>1639574.9837857659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20858849.104778014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759539.17956081894</v>
      </c>
      <c r="F30" s="53">
        <v>592548.56023265596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7268858.9624583889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226217.130576158</v>
      </c>
      <c r="F31" s="53">
        <v>194628.20504591099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2475230.5331280869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985756.31013697688</v>
      </c>
      <c r="F34" s="12">
        <f t="shared" si="7"/>
        <v>787176.76527856698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9744089.4955864754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1621576.5698087905</v>
      </c>
      <c r="F37" s="53">
        <v>1397109.5265258201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16334639.451567886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-985756.31013697688</v>
      </c>
      <c r="F38" s="7">
        <f t="shared" si="8"/>
        <v>-787176.76527856698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-9744089.4955864772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-84889.941666666593</v>
      </c>
      <c r="F39" s="53">
        <v>-84889.941666666593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540266.65133848018</v>
      </c>
      <c r="F42" s="12">
        <f t="shared" si="9"/>
        <v>514379.15291391994</v>
      </c>
      <c r="G42" s="12">
        <f t="shared" si="9"/>
        <v>522503.14439086901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5489979.502648076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325654.34176216874</v>
      </c>
      <c r="F44" s="53">
        <v>309928.67264446814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4115867.8841629941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-5000</v>
      </c>
      <c r="F45" s="22">
        <v>-5000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-65000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320654.34176216874</v>
      </c>
      <c r="F46" s="12">
        <f t="shared" si="10"/>
        <v>304928.67264446814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4050867.8841629941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3185876.5738340863</v>
      </c>
      <c r="F48" s="19">
        <f t="shared" si="11"/>
        <v>2526926.8867620029</v>
      </c>
      <c r="G48" s="19">
        <f t="shared" si="11"/>
        <v>2694465.9449283639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35961021.189718127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507348.46125483606</v>
      </c>
      <c r="F50" s="12">
        <f t="shared" si="12"/>
        <v>33090.392948810942</v>
      </c>
      <c r="G50" s="12">
        <f t="shared" si="12"/>
        <v>-170702.61557580205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1580699.7673804634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44355</v>
      </c>
      <c r="F53" s="10">
        <v>186840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1780303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-425000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v>-8000</v>
      </c>
      <c r="F56" s="7">
        <v>-8000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-120453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-561799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61355</v>
      </c>
      <c r="F58" s="19">
        <f t="shared" si="13"/>
        <v>298840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1401363</v>
      </c>
    </row>
    <row r="59" spans="1:17">
      <c r="B59" s="7"/>
      <c r="C59" s="7"/>
      <c r="D59" s="7">
        <f>SUM(B56:D57)</f>
        <v>-381252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3247231.5738340863</v>
      </c>
      <c r="F61" s="19">
        <f t="shared" si="14"/>
        <v>2825766.8867620029</v>
      </c>
      <c r="G61" s="19">
        <f t="shared" si="14"/>
        <v>2913465.9449283639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37362384.189718127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14">
        <f t="shared" si="15"/>
        <v>445993.46125483606</v>
      </c>
      <c r="F62" s="14">
        <f t="shared" si="15"/>
        <v>-265749.60705118906</v>
      </c>
      <c r="G62" s="14">
        <f t="shared" si="15"/>
        <v>-389702.61557580205</v>
      </c>
      <c r="H62" s="14">
        <f t="shared" si="15"/>
        <v>-14360.90837025363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189091.22238046676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12">
        <f t="shared" si="16"/>
        <v>974110.46125483536</v>
      </c>
      <c r="F63" s="12">
        <f t="shared" si="16"/>
        <v>708360.8542036463</v>
      </c>
      <c r="G63" s="12">
        <f t="shared" si="16"/>
        <v>318658.23862784426</v>
      </c>
      <c r="H63" s="12">
        <f t="shared" si="16"/>
        <v>304297.33025759063</v>
      </c>
      <c r="I63" s="12">
        <f t="shared" si="16"/>
        <v>508177.92572037899</v>
      </c>
      <c r="J63" s="12">
        <f t="shared" si="16"/>
        <v>819094.20109138754</v>
      </c>
      <c r="K63" s="12">
        <f t="shared" si="16"/>
        <v>1002653.3112810811</v>
      </c>
      <c r="L63" s="12">
        <f t="shared" si="16"/>
        <v>1457001.1009824967</v>
      </c>
      <c r="M63" s="12">
        <f t="shared" si="16"/>
        <v>179336.76738046366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11964605.461254835</v>
      </c>
      <c r="F64" s="12">
        <f t="shared" si="17"/>
        <v>11698855.854203647</v>
      </c>
      <c r="G64" s="12">
        <f t="shared" si="17"/>
        <v>11309153.238627844</v>
      </c>
      <c r="H64" s="12">
        <f t="shared" si="17"/>
        <v>11294792.330257591</v>
      </c>
      <c r="I64" s="12">
        <f t="shared" si="17"/>
        <v>11498672.925720379</v>
      </c>
      <c r="J64" s="12">
        <f t="shared" si="17"/>
        <v>11809589.201091388</v>
      </c>
      <c r="K64" s="12">
        <f t="shared" si="17"/>
        <v>11993148.311281081</v>
      </c>
      <c r="L64" s="12">
        <f t="shared" si="17"/>
        <v>12447496.100982497</v>
      </c>
      <c r="M64" s="12">
        <f t="shared" si="17"/>
        <v>11169831.767380463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0</v>
      </c>
      <c r="F72" s="16">
        <f t="shared" si="18"/>
        <v>0</v>
      </c>
      <c r="G72" s="16">
        <f t="shared" si="18"/>
        <v>0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189091.22238046676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-28116.467384296702</v>
      </c>
      <c r="F73" s="16">
        <f t="shared" si="18"/>
        <v>-28116.467384296702</v>
      </c>
      <c r="G73" s="16">
        <f t="shared" si="18"/>
        <v>-28116.467384296702</v>
      </c>
      <c r="H73" s="16">
        <f t="shared" si="18"/>
        <v>-28116.467384296702</v>
      </c>
      <c r="I73" s="16">
        <f t="shared" si="18"/>
        <v>-28116.467384296702</v>
      </c>
      <c r="J73" s="16">
        <f t="shared" si="18"/>
        <v>-28116.467384296702</v>
      </c>
      <c r="K73" s="16">
        <f t="shared" si="18"/>
        <v>-28116.467384296702</v>
      </c>
      <c r="L73" s="16">
        <f t="shared" si="18"/>
        <v>-28116.467384296702</v>
      </c>
      <c r="M73" s="16">
        <f t="shared" si="18"/>
        <v>-28116.467384296702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-28116.467384297401</v>
      </c>
      <c r="F74" s="16">
        <f t="shared" si="18"/>
        <v>-28116.467384295538</v>
      </c>
      <c r="G74" s="16">
        <f t="shared" si="18"/>
        <v>-28116.467384297401</v>
      </c>
      <c r="H74" s="16">
        <f t="shared" si="18"/>
        <v>-28116.467384297401</v>
      </c>
      <c r="I74" s="16">
        <f t="shared" si="18"/>
        <v>-28116.467384297401</v>
      </c>
      <c r="J74" s="16">
        <f t="shared" si="18"/>
        <v>-28116.467384295538</v>
      </c>
      <c r="K74" s="16">
        <f t="shared" si="18"/>
        <v>-28116.467384297401</v>
      </c>
      <c r="L74" s="16">
        <f t="shared" si="18"/>
        <v>-28116.467384297401</v>
      </c>
      <c r="M74" s="16">
        <f t="shared" si="18"/>
        <v>-28116.467384297401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0</v>
      </c>
      <c r="C82" s="47">
        <v>101000</v>
      </c>
      <c r="D82" s="47">
        <v>23668</v>
      </c>
      <c r="E82" s="47">
        <v>80000</v>
      </c>
      <c r="F82" s="47">
        <v>184679</v>
      </c>
      <c r="G82" s="10">
        <v>42500</v>
      </c>
      <c r="H82" s="54">
        <v>97000</v>
      </c>
      <c r="I82" s="47">
        <v>5000</v>
      </c>
      <c r="J82" s="47">
        <v>0</v>
      </c>
      <c r="K82" s="47">
        <v>185000</v>
      </c>
      <c r="L82" s="47">
        <v>0</v>
      </c>
      <c r="M82" s="47">
        <v>175000</v>
      </c>
      <c r="N82" s="7">
        <f>SUM(B82:M82)</f>
        <v>893847</v>
      </c>
    </row>
    <row r="83" spans="1:14">
      <c r="A83" s="33" t="s">
        <v>71</v>
      </c>
      <c r="B83" s="2">
        <f>+B82</f>
        <v>0</v>
      </c>
      <c r="C83" s="2">
        <f>+B83+C82</f>
        <v>101000</v>
      </c>
      <c r="D83" s="2">
        <f t="shared" ref="D83:M83" si="19">+C83+D82</f>
        <v>124668</v>
      </c>
      <c r="E83" s="7">
        <f t="shared" si="19"/>
        <v>204668</v>
      </c>
      <c r="F83" s="2">
        <f t="shared" si="19"/>
        <v>389347</v>
      </c>
      <c r="G83" s="7">
        <f t="shared" si="19"/>
        <v>431847</v>
      </c>
      <c r="H83" s="2">
        <f t="shared" si="19"/>
        <v>528847</v>
      </c>
      <c r="I83" s="2">
        <f t="shared" si="19"/>
        <v>533847</v>
      </c>
      <c r="J83" s="7">
        <f t="shared" si="19"/>
        <v>533847</v>
      </c>
      <c r="K83" s="2">
        <f t="shared" si="19"/>
        <v>718847</v>
      </c>
      <c r="L83" s="2">
        <f t="shared" si="19"/>
        <v>718847</v>
      </c>
      <c r="M83" s="2">
        <f t="shared" si="19"/>
        <v>893847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478463</v>
      </c>
      <c r="F84" s="7">
        <f>SUM($B53:F53)</f>
        <v>665303</v>
      </c>
      <c r="G84" s="7">
        <f>SUM($B53:G53)</f>
        <v>867303</v>
      </c>
      <c r="H84" s="7">
        <f>SUM(B53:H53)</f>
        <v>1064303</v>
      </c>
      <c r="I84" s="7">
        <f>SUM(B53:I53)</f>
        <v>1206303</v>
      </c>
      <c r="J84" s="7">
        <f>SUM(B53:J53)</f>
        <v>1325303</v>
      </c>
      <c r="K84" s="7">
        <f>SUM(B53:K53)</f>
        <v>1325303</v>
      </c>
      <c r="L84" s="7">
        <f>SUM(B53:L53)</f>
        <v>1325303</v>
      </c>
      <c r="M84" s="7">
        <f>SUM(B53:M53)</f>
        <v>1780303</v>
      </c>
    </row>
    <row r="85" spans="1:14">
      <c r="A85" s="33" t="s">
        <v>73</v>
      </c>
      <c r="B85" s="7">
        <f t="shared" ref="B85:G85" si="20">+B83-B84</f>
        <v>-24982</v>
      </c>
      <c r="C85" s="7">
        <f t="shared" si="20"/>
        <v>-282444</v>
      </c>
      <c r="D85" s="7">
        <f t="shared" si="20"/>
        <v>-309440</v>
      </c>
      <c r="E85" s="7">
        <f t="shared" si="20"/>
        <v>-273795</v>
      </c>
      <c r="F85" s="7">
        <f t="shared" si="20"/>
        <v>-275956</v>
      </c>
      <c r="G85" s="7">
        <f t="shared" si="20"/>
        <v>-435456</v>
      </c>
      <c r="H85" s="7">
        <f t="shared" ref="H85:M85" si="21">+H83-H84</f>
        <v>-535456</v>
      </c>
      <c r="I85" s="7">
        <f t="shared" si="21"/>
        <v>-672456</v>
      </c>
      <c r="J85" s="7">
        <f t="shared" si="21"/>
        <v>-791456</v>
      </c>
      <c r="K85" s="7">
        <f t="shared" si="21"/>
        <v>-606456</v>
      </c>
      <c r="L85" s="7">
        <f t="shared" si="21"/>
        <v>-606456</v>
      </c>
      <c r="M85" s="7">
        <f t="shared" si="21"/>
        <v>-886456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33000</v>
      </c>
      <c r="F87" s="35">
        <f t="shared" si="22"/>
        <v>33000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682252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414252</v>
      </c>
      <c r="F88" s="35">
        <f t="shared" si="23"/>
        <v>447252</v>
      </c>
      <c r="G88" s="40">
        <f t="shared" si="23"/>
        <v>480252</v>
      </c>
      <c r="H88" s="35">
        <f t="shared" si="23"/>
        <v>513252</v>
      </c>
      <c r="I88" s="40">
        <f t="shared" si="23"/>
        <v>546252</v>
      </c>
      <c r="J88" s="40">
        <f t="shared" si="23"/>
        <v>580252</v>
      </c>
      <c r="K88" s="40">
        <f t="shared" si="23"/>
        <v>614252</v>
      </c>
      <c r="L88" s="35">
        <f t="shared" si="23"/>
        <v>648252</v>
      </c>
      <c r="M88" s="35">
        <f t="shared" si="23"/>
        <v>682252</v>
      </c>
    </row>
    <row r="89" spans="1:14">
      <c r="K89" s="6"/>
    </row>
    <row r="91" spans="1:14">
      <c r="B91" s="6"/>
      <c r="C91" s="6"/>
      <c r="D91" s="6"/>
      <c r="E91" s="6"/>
    </row>
    <row r="92" spans="1:14">
      <c r="B92" s="21">
        <v>48198</v>
      </c>
      <c r="C92" s="21">
        <v>109945</v>
      </c>
      <c r="D92" s="36">
        <v>126000</v>
      </c>
      <c r="E92" s="6">
        <v>7681</v>
      </c>
      <c r="F92">
        <v>52000</v>
      </c>
      <c r="G92" s="6">
        <v>207419</v>
      </c>
      <c r="H92">
        <v>18000</v>
      </c>
      <c r="I92">
        <v>25000</v>
      </c>
      <c r="J92">
        <v>42000</v>
      </c>
      <c r="K92">
        <v>0</v>
      </c>
      <c r="L92">
        <v>0</v>
      </c>
      <c r="M92">
        <v>150000</v>
      </c>
      <c r="N92">
        <v>786243</v>
      </c>
    </row>
    <row r="93" spans="1:14">
      <c r="B93" s="37"/>
      <c r="C93" s="38"/>
      <c r="D93" s="6"/>
      <c r="E93" s="6"/>
    </row>
    <row r="94" spans="1:14">
      <c r="B94" s="6"/>
      <c r="C94" s="6"/>
      <c r="D94" s="6"/>
      <c r="E94" s="6"/>
    </row>
    <row r="95" spans="1:14">
      <c r="B95" s="6"/>
      <c r="C95" s="6"/>
      <c r="D95" s="21"/>
      <c r="E95" s="6"/>
    </row>
    <row r="96" spans="1:14">
      <c r="B96" s="6"/>
      <c r="C96" s="6"/>
      <c r="D96" s="6"/>
      <c r="E96" s="6"/>
    </row>
    <row r="97" spans="2:5">
      <c r="B97" s="6"/>
      <c r="C97" s="6"/>
      <c r="D97" s="6"/>
      <c r="E97" s="6"/>
    </row>
    <row r="98" spans="2:5">
      <c r="B98" s="6"/>
      <c r="C98" s="6"/>
      <c r="D98" s="6"/>
      <c r="E98" s="6"/>
    </row>
    <row r="99" spans="2:5">
      <c r="B99" s="6"/>
      <c r="C99" s="6"/>
      <c r="D99" s="34"/>
      <c r="E99" s="6"/>
    </row>
    <row r="100" spans="2:5">
      <c r="B100" s="6"/>
      <c r="C100" s="6"/>
      <c r="D100" s="6"/>
      <c r="E100" s="6"/>
    </row>
    <row r="101" spans="2:5">
      <c r="B101" s="6"/>
      <c r="C101" s="6"/>
      <c r="D101" s="6"/>
      <c r="E101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September 2016</oddFooter>
  </headerFooter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1:U85"/>
  <sheetViews>
    <sheetView showGridLines="0" zoomScaleNormal="100" workbookViewId="0"/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76</v>
      </c>
      <c r="F2" s="92" t="s">
        <v>76</v>
      </c>
      <c r="G2" s="92" t="s">
        <v>76</v>
      </c>
      <c r="H2" s="92" t="s">
        <v>76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476908</v>
      </c>
      <c r="C5" s="101">
        <v>2210992</v>
      </c>
      <c r="D5" s="101">
        <v>895797</v>
      </c>
      <c r="E5" s="101">
        <v>1218756</v>
      </c>
      <c r="F5" s="101">
        <v>973030</v>
      </c>
      <c r="G5" s="101">
        <v>813599</v>
      </c>
      <c r="H5" s="101">
        <v>2497871</v>
      </c>
      <c r="I5" s="101">
        <v>1535686</v>
      </c>
      <c r="J5" s="101">
        <v>1187116</v>
      </c>
      <c r="K5" s="101">
        <v>1395071</v>
      </c>
      <c r="L5" s="101">
        <v>1070364</v>
      </c>
      <c r="M5" s="101">
        <v>738619</v>
      </c>
      <c r="N5" s="102">
        <f>SUM(B5:M5)</f>
        <v>15013809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57792</v>
      </c>
      <c r="D6" s="101">
        <v>168012</v>
      </c>
      <c r="E6" s="101">
        <v>45809</v>
      </c>
      <c r="F6" s="101">
        <v>42002</v>
      </c>
      <c r="G6" s="101">
        <v>221803</v>
      </c>
      <c r="H6" s="101">
        <v>51087</v>
      </c>
      <c r="I6" s="101">
        <v>125594</v>
      </c>
      <c r="J6" s="101">
        <v>223279</v>
      </c>
      <c r="K6" s="101">
        <v>51978</v>
      </c>
      <c r="L6" s="101">
        <v>58717</v>
      </c>
      <c r="M6" s="101">
        <v>284877</v>
      </c>
      <c r="N6" s="103">
        <f>SUM(B6:M6)</f>
        <v>1530689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1063809</v>
      </c>
      <c r="E9" s="12">
        <f t="shared" si="0"/>
        <v>1264565</v>
      </c>
      <c r="F9" s="12">
        <f t="shared" si="0"/>
        <v>1015032</v>
      </c>
      <c r="G9" s="12">
        <f t="shared" si="0"/>
        <v>1035402</v>
      </c>
      <c r="H9" s="12">
        <f t="shared" si="0"/>
        <v>2548958</v>
      </c>
      <c r="I9" s="12">
        <f t="shared" si="0"/>
        <v>1661280</v>
      </c>
      <c r="J9" s="12">
        <f t="shared" si="0"/>
        <v>1410395</v>
      </c>
      <c r="K9" s="12">
        <f t="shared" si="0"/>
        <v>1447049</v>
      </c>
      <c r="L9" s="12">
        <f t="shared" si="0"/>
        <v>1129081</v>
      </c>
      <c r="M9" s="12">
        <f t="shared" si="0"/>
        <v>1023496</v>
      </c>
      <c r="N9" s="12">
        <f t="shared" si="0"/>
        <v>16544498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2268784</v>
      </c>
      <c r="D13" s="14">
        <f t="shared" si="1"/>
        <v>1063809</v>
      </c>
      <c r="E13" s="14">
        <f t="shared" si="1"/>
        <v>1264565</v>
      </c>
      <c r="F13" s="14">
        <f t="shared" si="1"/>
        <v>1015032</v>
      </c>
      <c r="G13" s="14">
        <f t="shared" si="1"/>
        <v>1035402</v>
      </c>
      <c r="H13" s="14">
        <f t="shared" si="1"/>
        <v>2548958</v>
      </c>
      <c r="I13" s="14">
        <f t="shared" si="1"/>
        <v>1661280</v>
      </c>
      <c r="J13" s="14">
        <f t="shared" si="1"/>
        <v>1410395</v>
      </c>
      <c r="K13" s="14">
        <f t="shared" si="1"/>
        <v>1447049</v>
      </c>
      <c r="L13" s="14">
        <f t="shared" si="1"/>
        <v>1129081</v>
      </c>
      <c r="M13" s="14">
        <f t="shared" si="1"/>
        <v>1023496</v>
      </c>
      <c r="N13" s="14">
        <f t="shared" si="1"/>
        <v>16544498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1608163</v>
      </c>
      <c r="D16" s="101">
        <v>538743</v>
      </c>
      <c r="E16" s="101">
        <v>476560</v>
      </c>
      <c r="F16" s="101">
        <v>394815</v>
      </c>
      <c r="G16" s="101">
        <v>329827</v>
      </c>
      <c r="H16" s="101">
        <v>1512502</v>
      </c>
      <c r="I16" s="101">
        <v>640537</v>
      </c>
      <c r="J16" s="101">
        <v>456948</v>
      </c>
      <c r="K16" s="101">
        <v>665472</v>
      </c>
      <c r="L16" s="101">
        <v>493571</v>
      </c>
      <c r="M16" s="101">
        <v>431870</v>
      </c>
      <c r="N16" s="103">
        <f>SUM(B16:M16)</f>
        <v>7885822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538743</v>
      </c>
      <c r="E20" s="12">
        <f t="shared" si="2"/>
        <v>476560</v>
      </c>
      <c r="F20" s="12">
        <f t="shared" si="2"/>
        <v>394815</v>
      </c>
      <c r="G20" s="12">
        <f t="shared" si="2"/>
        <v>329827</v>
      </c>
      <c r="H20" s="12">
        <f t="shared" si="2"/>
        <v>1512502</v>
      </c>
      <c r="I20" s="12">
        <f t="shared" si="2"/>
        <v>640537</v>
      </c>
      <c r="J20" s="12">
        <f t="shared" si="2"/>
        <v>456948</v>
      </c>
      <c r="K20" s="12">
        <f t="shared" si="2"/>
        <v>665472</v>
      </c>
      <c r="L20" s="12">
        <f t="shared" si="2"/>
        <v>493571</v>
      </c>
      <c r="M20" s="12">
        <f t="shared" si="2"/>
        <v>431870</v>
      </c>
      <c r="N20" s="12">
        <f t="shared" si="2"/>
        <v>7885822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140094</v>
      </c>
      <c r="C23" s="103">
        <f t="shared" si="3"/>
        <v>602829</v>
      </c>
      <c r="D23" s="103">
        <f t="shared" si="3"/>
        <v>357054</v>
      </c>
      <c r="E23" s="103">
        <f t="shared" si="3"/>
        <v>742196</v>
      </c>
      <c r="F23" s="103">
        <f t="shared" si="3"/>
        <v>578215</v>
      </c>
      <c r="G23" s="103">
        <f t="shared" si="3"/>
        <v>483772</v>
      </c>
      <c r="H23" s="103">
        <f t="shared" si="3"/>
        <v>985369</v>
      </c>
      <c r="I23" s="103">
        <f t="shared" si="3"/>
        <v>895149</v>
      </c>
      <c r="J23" s="103">
        <f t="shared" si="3"/>
        <v>730168</v>
      </c>
      <c r="K23" s="103">
        <f t="shared" si="3"/>
        <v>729599</v>
      </c>
      <c r="L23" s="103">
        <f t="shared" si="3"/>
        <v>576793</v>
      </c>
      <c r="M23" s="103">
        <f t="shared" si="3"/>
        <v>306749</v>
      </c>
      <c r="N23" s="103">
        <f>SUM(B23:M23)</f>
        <v>7127987</v>
      </c>
    </row>
    <row r="24" spans="1:14" s="6" customFormat="1" hidden="1" outlineLevel="1">
      <c r="A24" s="100" t="s">
        <v>37</v>
      </c>
      <c r="B24" s="103">
        <f t="shared" si="3"/>
        <v>199739</v>
      </c>
      <c r="C24" s="103">
        <f t="shared" si="3"/>
        <v>57792</v>
      </c>
      <c r="D24" s="103">
        <f t="shared" si="3"/>
        <v>168012</v>
      </c>
      <c r="E24" s="103">
        <f t="shared" si="3"/>
        <v>45809</v>
      </c>
      <c r="F24" s="103">
        <f t="shared" si="3"/>
        <v>42002</v>
      </c>
      <c r="G24" s="103">
        <f t="shared" si="3"/>
        <v>221803</v>
      </c>
      <c r="H24" s="103">
        <f t="shared" si="3"/>
        <v>51087</v>
      </c>
      <c r="I24" s="103">
        <f t="shared" si="3"/>
        <v>125594</v>
      </c>
      <c r="J24" s="103">
        <f t="shared" si="3"/>
        <v>223279</v>
      </c>
      <c r="K24" s="103">
        <f t="shared" si="3"/>
        <v>51978</v>
      </c>
      <c r="L24" s="103">
        <f t="shared" si="3"/>
        <v>58717</v>
      </c>
      <c r="M24" s="103">
        <f t="shared" si="3"/>
        <v>284877</v>
      </c>
      <c r="N24" s="103">
        <f>SUM(B24:M24)</f>
        <v>1530689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660621</v>
      </c>
      <c r="D27" s="12">
        <f t="shared" si="4"/>
        <v>525066</v>
      </c>
      <c r="E27" s="12">
        <f t="shared" si="4"/>
        <v>788005</v>
      </c>
      <c r="F27" s="12">
        <f t="shared" si="4"/>
        <v>620217</v>
      </c>
      <c r="G27" s="12">
        <f t="shared" si="4"/>
        <v>705575</v>
      </c>
      <c r="H27" s="12">
        <f>SUM(H23:H26)</f>
        <v>1036456</v>
      </c>
      <c r="I27" s="12">
        <f t="shared" si="4"/>
        <v>1020743</v>
      </c>
      <c r="J27" s="12">
        <f t="shared" si="4"/>
        <v>953447</v>
      </c>
      <c r="K27" s="12">
        <f t="shared" si="4"/>
        <v>781577</v>
      </c>
      <c r="L27" s="12">
        <f t="shared" si="4"/>
        <v>635510</v>
      </c>
      <c r="M27" s="12">
        <f>SUM(M23:M26)</f>
        <v>591626</v>
      </c>
      <c r="N27" s="12">
        <f t="shared" si="4"/>
        <v>8658676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0.291178446251384</v>
      </c>
      <c r="D28" s="73">
        <f t="shared" si="5"/>
        <v>0.49357168439071297</v>
      </c>
      <c r="E28" s="73">
        <f t="shared" si="5"/>
        <v>0.62314313617726258</v>
      </c>
      <c r="F28" s="73">
        <f t="shared" si="5"/>
        <v>0.61103196746506516</v>
      </c>
      <c r="G28" s="73">
        <f t="shared" si="5"/>
        <v>0.68145029659977474</v>
      </c>
      <c r="H28" s="73">
        <f t="shared" si="5"/>
        <v>0.40661948921873176</v>
      </c>
      <c r="I28" s="73">
        <f t="shared" si="5"/>
        <v>0.61443164307040354</v>
      </c>
      <c r="J28" s="73">
        <f t="shared" si="5"/>
        <v>0.67601416624420818</v>
      </c>
      <c r="K28" s="73">
        <f t="shared" si="5"/>
        <v>0.54011785364559184</v>
      </c>
      <c r="L28" s="73">
        <f t="shared" si="5"/>
        <v>0.56285598641727208</v>
      </c>
      <c r="M28" s="73">
        <f t="shared" si="5"/>
        <v>0.5780442717900216</v>
      </c>
      <c r="N28" s="73">
        <f t="shared" ref="N28" si="6">+N27/N9</f>
        <v>0.52335682835465902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314680</v>
      </c>
      <c r="D30" s="101">
        <v>302225</v>
      </c>
      <c r="E30" s="101">
        <v>445508.7024026924</v>
      </c>
      <c r="F30" s="101">
        <v>352354.01078715385</v>
      </c>
      <c r="G30" s="101">
        <v>359896.18306715385</v>
      </c>
      <c r="H30" s="101">
        <v>521253.96098961541</v>
      </c>
      <c r="I30" s="101">
        <v>411300.28455869236</v>
      </c>
      <c r="J30" s="101">
        <v>392403.38610869233</v>
      </c>
      <c r="K30" s="101">
        <v>470518.20239961543</v>
      </c>
      <c r="L30" s="101">
        <v>361457.1899586923</v>
      </c>
      <c r="M30" s="101">
        <v>309677.88845369231</v>
      </c>
      <c r="N30" s="103">
        <f>SUM(B30:M30)</f>
        <v>4518677.8087260006</v>
      </c>
    </row>
    <row r="31" spans="1:14" s="6" customFormat="1" hidden="1" outlineLevel="1">
      <c r="A31" s="100" t="s">
        <v>42</v>
      </c>
      <c r="B31" s="101">
        <v>154113</v>
      </c>
      <c r="C31" s="101">
        <v>151966</v>
      </c>
      <c r="D31" s="101">
        <v>157499</v>
      </c>
      <c r="E31" s="101">
        <v>194797.86961974416</v>
      </c>
      <c r="F31" s="101">
        <v>164984.83935628389</v>
      </c>
      <c r="G31" s="101">
        <v>164482.0924678685</v>
      </c>
      <c r="H31" s="101">
        <v>197799.39762897298</v>
      </c>
      <c r="I31" s="101">
        <v>168672.32326122007</v>
      </c>
      <c r="J31" s="101">
        <v>167875.54497822007</v>
      </c>
      <c r="K31" s="101">
        <v>196120.0843951499</v>
      </c>
      <c r="L31" s="101">
        <v>165873.94264382005</v>
      </c>
      <c r="M31" s="101">
        <v>166838.70938795508</v>
      </c>
      <c r="N31" s="103">
        <f>SUM(B31:M31)</f>
        <v>2051022.8037392346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466646</v>
      </c>
      <c r="D34" s="12">
        <f t="shared" si="7"/>
        <v>459724</v>
      </c>
      <c r="E34" s="12">
        <f t="shared" si="7"/>
        <v>640306.57202243654</v>
      </c>
      <c r="F34" s="12">
        <f t="shared" si="7"/>
        <v>517338.85014343774</v>
      </c>
      <c r="G34" s="12">
        <f t="shared" si="7"/>
        <v>524378.27553502237</v>
      </c>
      <c r="H34" s="12">
        <f t="shared" si="7"/>
        <v>719053.35861858842</v>
      </c>
      <c r="I34" s="12">
        <f t="shared" si="7"/>
        <v>579972.60781991249</v>
      </c>
      <c r="J34" s="12">
        <f t="shared" si="7"/>
        <v>560278.9310869124</v>
      </c>
      <c r="K34" s="12">
        <f t="shared" si="7"/>
        <v>666638.28679476539</v>
      </c>
      <c r="L34" s="12">
        <f t="shared" si="7"/>
        <v>527331.13260251237</v>
      </c>
      <c r="M34" s="12">
        <f t="shared" si="7"/>
        <v>476516.5978416474</v>
      </c>
      <c r="N34" s="12">
        <f t="shared" si="7"/>
        <v>6569700.6124652354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609031</v>
      </c>
      <c r="D37" s="101">
        <v>689724</v>
      </c>
      <c r="E37" s="101">
        <v>1019561.9053557699</v>
      </c>
      <c r="F37" s="101">
        <v>870783.18347677111</v>
      </c>
      <c r="G37" s="108">
        <v>898499.60886835575</v>
      </c>
      <c r="H37" s="108">
        <v>1068267.6919519217</v>
      </c>
      <c r="I37" s="108">
        <v>1012375.9411532459</v>
      </c>
      <c r="J37" s="108">
        <v>916858.26442024577</v>
      </c>
      <c r="K37" s="108">
        <v>1045019.6201280988</v>
      </c>
      <c r="L37" s="101">
        <v>879113.46593584574</v>
      </c>
      <c r="M37" s="101">
        <v>781957.93117498083</v>
      </c>
      <c r="N37" s="103">
        <f>SUM(B37:M37)</f>
        <v>10491079.612465234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-466646</v>
      </c>
      <c r="D38" s="7">
        <f t="shared" si="8"/>
        <v>-459724</v>
      </c>
      <c r="E38" s="7">
        <f t="shared" si="8"/>
        <v>-640306.57202243654</v>
      </c>
      <c r="F38" s="7">
        <f t="shared" si="8"/>
        <v>-517338.85014343774</v>
      </c>
      <c r="G38" s="7">
        <f t="shared" si="8"/>
        <v>-524378.27553502237</v>
      </c>
      <c r="H38" s="7">
        <f>-H34</f>
        <v>-719053.35861858842</v>
      </c>
      <c r="I38" s="7">
        <f t="shared" si="8"/>
        <v>-579972.60781991249</v>
      </c>
      <c r="J38" s="7">
        <f t="shared" si="8"/>
        <v>-560278.9310869124</v>
      </c>
      <c r="K38" s="7">
        <f t="shared" si="8"/>
        <v>-666638.28679476539</v>
      </c>
      <c r="L38" s="7">
        <f t="shared" si="8"/>
        <v>-527331.13260251237</v>
      </c>
      <c r="M38" s="7">
        <f t="shared" si="8"/>
        <v>-476516.5978416474</v>
      </c>
      <c r="N38" s="7">
        <f>SUM(B38:M38)</f>
        <v>-6569700.6124652354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-79108</v>
      </c>
      <c r="D39" s="109">
        <v>-79051</v>
      </c>
      <c r="E39" s="109">
        <v>-77256</v>
      </c>
      <c r="F39" s="109">
        <v>-77087</v>
      </c>
      <c r="G39" s="109">
        <v>-77087</v>
      </c>
      <c r="H39" s="109">
        <v>-77087</v>
      </c>
      <c r="I39" s="109">
        <v>-77087</v>
      </c>
      <c r="J39" s="109">
        <v>-77087</v>
      </c>
      <c r="K39" s="109">
        <v>-77087</v>
      </c>
      <c r="L39" s="109">
        <v>-77087</v>
      </c>
      <c r="M39" s="109">
        <v>-74530</v>
      </c>
      <c r="N39" s="103">
        <f>SUM(B39:M39)</f>
        <v>-926941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03">
        <f>SUM(B40:M40)</f>
        <v>-85340</v>
      </c>
    </row>
    <row r="41" spans="1:14" s="6" customFormat="1" ht="12.75" hidden="1" customHeight="1" outlineLevel="1">
      <c r="A41" s="100" t="s">
        <v>48</v>
      </c>
      <c r="B41" s="110">
        <v>-3350</v>
      </c>
      <c r="C41" s="110">
        <v>-3350</v>
      </c>
      <c r="D41" s="110">
        <v>-3350</v>
      </c>
      <c r="E41" s="110">
        <v>-4350</v>
      </c>
      <c r="F41" s="110">
        <v>-4350</v>
      </c>
      <c r="G41" s="110">
        <v>-9350</v>
      </c>
      <c r="H41" s="110">
        <v>-4350</v>
      </c>
      <c r="I41" s="110">
        <v>-4350</v>
      </c>
      <c r="J41" s="110">
        <v>-4350</v>
      </c>
      <c r="K41" s="110">
        <v>-4350</v>
      </c>
      <c r="L41" s="110">
        <v>-4350</v>
      </c>
      <c r="M41" s="110">
        <v>-47350</v>
      </c>
      <c r="N41" s="104">
        <f>SUM(B41:M41)</f>
        <v>-97200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52320</v>
      </c>
      <c r="D42" s="12">
        <f t="shared" si="9"/>
        <v>139992</v>
      </c>
      <c r="E42" s="12">
        <f t="shared" si="9"/>
        <v>290427.33333333337</v>
      </c>
      <c r="F42" s="12">
        <f t="shared" si="9"/>
        <v>264785.33333333337</v>
      </c>
      <c r="G42" s="12">
        <f t="shared" si="9"/>
        <v>280545.33333333337</v>
      </c>
      <c r="H42" s="12">
        <f t="shared" si="9"/>
        <v>260638.33333333326</v>
      </c>
      <c r="I42" s="12">
        <f t="shared" si="9"/>
        <v>344098.33333333337</v>
      </c>
      <c r="J42" s="12">
        <f t="shared" si="9"/>
        <v>268274.33333333337</v>
      </c>
      <c r="K42" s="12">
        <f t="shared" si="9"/>
        <v>290076.33333333337</v>
      </c>
      <c r="L42" s="12">
        <f t="shared" si="9"/>
        <v>263580.33333333337</v>
      </c>
      <c r="M42" s="12">
        <f t="shared" si="9"/>
        <v>177133.33333333343</v>
      </c>
      <c r="N42" s="12">
        <f t="shared" si="9"/>
        <v>2811897.9999999991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10">
        <v>234703</v>
      </c>
      <c r="C44" s="111">
        <v>219113</v>
      </c>
      <c r="D44" s="111">
        <v>210081</v>
      </c>
      <c r="E44" s="111">
        <v>306356</v>
      </c>
      <c r="F44" s="111">
        <v>272716</v>
      </c>
      <c r="G44" s="111">
        <v>246984</v>
      </c>
      <c r="H44" s="111">
        <v>294902</v>
      </c>
      <c r="I44" s="111">
        <v>245422</v>
      </c>
      <c r="J44" s="111">
        <v>271223</v>
      </c>
      <c r="K44" s="111">
        <v>309803</v>
      </c>
      <c r="L44" s="111">
        <v>249099</v>
      </c>
      <c r="M44" s="111">
        <v>-130463</v>
      </c>
      <c r="N44" s="102">
        <f>SUM(B44:M44)</f>
        <v>2729939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219113</v>
      </c>
      <c r="D46" s="12">
        <f t="shared" ref="D46:N46" si="10">SUM(D44:D45)</f>
        <v>210081</v>
      </c>
      <c r="E46" s="12">
        <f t="shared" si="10"/>
        <v>306356</v>
      </c>
      <c r="F46" s="12">
        <f t="shared" si="10"/>
        <v>272716</v>
      </c>
      <c r="G46" s="12">
        <f t="shared" si="10"/>
        <v>246984</v>
      </c>
      <c r="H46" s="12">
        <f t="shared" si="10"/>
        <v>294902</v>
      </c>
      <c r="I46" s="12">
        <f t="shared" si="10"/>
        <v>245422</v>
      </c>
      <c r="J46" s="12">
        <f t="shared" si="10"/>
        <v>271223</v>
      </c>
      <c r="K46" s="12">
        <f t="shared" si="10"/>
        <v>309803</v>
      </c>
      <c r="L46" s="12">
        <f t="shared" si="10"/>
        <v>249099</v>
      </c>
      <c r="M46" s="12">
        <f t="shared" si="10"/>
        <v>-130463</v>
      </c>
      <c r="N46" s="12">
        <f t="shared" si="10"/>
        <v>2729939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2346242</v>
      </c>
      <c r="D48" s="19">
        <f t="shared" si="11"/>
        <v>1348540</v>
      </c>
      <c r="E48" s="19">
        <f t="shared" si="11"/>
        <v>1713649.9053557701</v>
      </c>
      <c r="F48" s="19">
        <f>+F20+F34+F42+F46</f>
        <v>1449655.1834767712</v>
      </c>
      <c r="G48" s="19">
        <f t="shared" si="11"/>
        <v>1381734.6088683559</v>
      </c>
      <c r="H48" s="19">
        <f t="shared" si="11"/>
        <v>2787095.6919519212</v>
      </c>
      <c r="I48" s="19">
        <f t="shared" si="11"/>
        <v>1810029.941153246</v>
      </c>
      <c r="J48" s="19">
        <f t="shared" si="11"/>
        <v>1556724.2644202458</v>
      </c>
      <c r="K48" s="19">
        <f t="shared" si="11"/>
        <v>1931989.6201280989</v>
      </c>
      <c r="L48" s="19">
        <f t="shared" si="11"/>
        <v>1533581.4659358459</v>
      </c>
      <c r="M48" s="19">
        <f t="shared" si="11"/>
        <v>955056.93117498094</v>
      </c>
      <c r="N48" s="19">
        <f t="shared" si="11"/>
        <v>19997359.612465236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-77458</v>
      </c>
      <c r="D50" s="12">
        <f t="shared" si="12"/>
        <v>-284731</v>
      </c>
      <c r="E50" s="12">
        <f t="shared" si="12"/>
        <v>-449084.90535577014</v>
      </c>
      <c r="F50" s="12">
        <f>+F13-F48</f>
        <v>-434623.18347677123</v>
      </c>
      <c r="G50" s="12">
        <f t="shared" si="12"/>
        <v>-346332.60886835586</v>
      </c>
      <c r="H50" s="12">
        <f>+H13-H48</f>
        <v>-238137.69195192121</v>
      </c>
      <c r="I50" s="12">
        <f t="shared" si="12"/>
        <v>-148749.94115324598</v>
      </c>
      <c r="J50" s="12">
        <f t="shared" si="12"/>
        <v>-146329.26442024577</v>
      </c>
      <c r="K50" s="12">
        <f t="shared" si="12"/>
        <v>-484940.62012809888</v>
      </c>
      <c r="L50" s="12">
        <f t="shared" si="12"/>
        <v>-404500.46593584586</v>
      </c>
      <c r="M50" s="12">
        <f t="shared" si="12"/>
        <v>68439.068825019058</v>
      </c>
      <c r="N50" s="12">
        <f>SUM(B50:M50)</f>
        <v>-3452861.6124652359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107140</v>
      </c>
      <c r="D53" s="10">
        <v>2541</v>
      </c>
      <c r="E53" s="10">
        <v>0</v>
      </c>
      <c r="F53" s="10">
        <v>33980</v>
      </c>
      <c r="G53" s="10">
        <v>37000</v>
      </c>
      <c r="H53" s="23">
        <v>20000</v>
      </c>
      <c r="I53" s="10">
        <v>71000</v>
      </c>
      <c r="J53" s="10">
        <v>0</v>
      </c>
      <c r="K53" s="10">
        <v>0</v>
      </c>
      <c r="L53" s="10">
        <v>0</v>
      </c>
      <c r="M53" s="10">
        <v>261000</v>
      </c>
      <c r="N53" s="10">
        <f>SUM(B53:M53)</f>
        <v>539701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95000</v>
      </c>
    </row>
    <row r="55" spans="1:21" s="6" customFormat="1">
      <c r="A55" s="6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500000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>SUM(B55:M55)</f>
        <v>880402</v>
      </c>
    </row>
    <row r="56" spans="1:21" s="6" customFormat="1">
      <c r="A56" s="37" t="s">
        <v>58</v>
      </c>
      <c r="B56" s="7">
        <v>-19539</v>
      </c>
      <c r="C56" s="7">
        <v>-18488</v>
      </c>
      <c r="D56" s="7">
        <v>-23302</v>
      </c>
      <c r="E56" s="7">
        <v>-15000</v>
      </c>
      <c r="F56" s="7">
        <v>-15000</v>
      </c>
      <c r="G56" s="7">
        <v>-15000</v>
      </c>
      <c r="H56" s="7">
        <v>-15000</v>
      </c>
      <c r="I56" s="7">
        <v>-15000</v>
      </c>
      <c r="J56" s="7">
        <v>-15000</v>
      </c>
      <c r="K56" s="7">
        <v>-15000</v>
      </c>
      <c r="L56" s="7">
        <v>-15000</v>
      </c>
      <c r="M56" s="7">
        <v>-15000</v>
      </c>
      <c r="N56" s="7">
        <f>SUM(B56:M56)</f>
        <v>-196329</v>
      </c>
    </row>
    <row r="57" spans="1:21" s="6" customFormat="1">
      <c r="A57" s="6" t="s">
        <v>134</v>
      </c>
      <c r="B57" s="22">
        <v>-463884</v>
      </c>
      <c r="C57" s="7">
        <v>-487459</v>
      </c>
      <c r="D57" s="7">
        <v>231583</v>
      </c>
      <c r="E57" s="7">
        <v>-15000</v>
      </c>
      <c r="F57" s="7">
        <v>-15000</v>
      </c>
      <c r="G57" s="7">
        <v>-15000</v>
      </c>
      <c r="H57" s="7">
        <v>-15000</v>
      </c>
      <c r="I57" s="7">
        <v>-15000</v>
      </c>
      <c r="J57" s="7">
        <v>-15000</v>
      </c>
      <c r="K57" s="7">
        <v>-15000</v>
      </c>
      <c r="L57" s="7">
        <v>-15000</v>
      </c>
      <c r="M57" s="7">
        <v>-15000</v>
      </c>
      <c r="N57" s="22">
        <f>SUM(B57:M57)</f>
        <v>-854760</v>
      </c>
    </row>
    <row r="58" spans="1:21" s="6" customFormat="1">
      <c r="A58" s="13" t="s">
        <v>60</v>
      </c>
      <c r="B58" s="19">
        <f t="shared" ref="B58:N58" si="13">SUM(B53:B57)</f>
        <v>-95981</v>
      </c>
      <c r="C58" s="19">
        <f t="shared" si="13"/>
        <v>-398807</v>
      </c>
      <c r="D58" s="19">
        <f t="shared" si="13"/>
        <v>210822</v>
      </c>
      <c r="E58" s="19">
        <f t="shared" si="13"/>
        <v>-30000</v>
      </c>
      <c r="F58" s="19">
        <f t="shared" si="13"/>
        <v>98980</v>
      </c>
      <c r="G58" s="19">
        <f t="shared" si="13"/>
        <v>7000</v>
      </c>
      <c r="H58" s="19">
        <f>SUM(H53:H57)</f>
        <v>490000</v>
      </c>
      <c r="I58" s="19">
        <f t="shared" si="13"/>
        <v>41000</v>
      </c>
      <c r="J58" s="19">
        <f t="shared" si="13"/>
        <v>-30000</v>
      </c>
      <c r="K58" s="19">
        <f t="shared" si="13"/>
        <v>-30000</v>
      </c>
      <c r="L58" s="19">
        <f t="shared" si="13"/>
        <v>-30000</v>
      </c>
      <c r="M58" s="19">
        <f t="shared" si="13"/>
        <v>231000</v>
      </c>
      <c r="N58" s="19">
        <f t="shared" si="13"/>
        <v>464014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15210291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4">+B58+B48</f>
        <v>1087079</v>
      </c>
      <c r="C61" s="19">
        <f t="shared" si="14"/>
        <v>1947435</v>
      </c>
      <c r="D61" s="19">
        <f t="shared" si="14"/>
        <v>1559362</v>
      </c>
      <c r="E61" s="19">
        <f t="shared" si="14"/>
        <v>1683649.9053557701</v>
      </c>
      <c r="F61" s="19">
        <f>+F58+F48</f>
        <v>1548635.1834767712</v>
      </c>
      <c r="G61" s="19">
        <f t="shared" si="14"/>
        <v>1388734.6088683559</v>
      </c>
      <c r="H61" s="19">
        <f t="shared" si="14"/>
        <v>3277095.6919519212</v>
      </c>
      <c r="I61" s="19">
        <f t="shared" si="14"/>
        <v>1851029.941153246</v>
      </c>
      <c r="J61" s="19">
        <f t="shared" si="14"/>
        <v>1526724.2644202458</v>
      </c>
      <c r="K61" s="19">
        <f t="shared" si="14"/>
        <v>1901989.6201280989</v>
      </c>
      <c r="L61" s="19">
        <f t="shared" si="14"/>
        <v>1503581.4659358459</v>
      </c>
      <c r="M61" s="19">
        <f t="shared" si="14"/>
        <v>1186056.9311749809</v>
      </c>
      <c r="N61" s="19">
        <f t="shared" si="14"/>
        <v>20461373.612465236</v>
      </c>
    </row>
    <row r="62" spans="1:21" ht="13.5" thickBot="1">
      <c r="A62" s="13" t="s">
        <v>63</v>
      </c>
      <c r="B62" s="14">
        <f t="shared" ref="B62:N62" si="15">+B13-B61</f>
        <v>-410432</v>
      </c>
      <c r="C62" s="14">
        <f t="shared" si="15"/>
        <v>321349</v>
      </c>
      <c r="D62" s="14">
        <f t="shared" si="15"/>
        <v>-495553</v>
      </c>
      <c r="E62" s="14">
        <f t="shared" si="15"/>
        <v>-419084.90535577014</v>
      </c>
      <c r="F62" s="14">
        <f>+F13-F61</f>
        <v>-533603.18347677123</v>
      </c>
      <c r="G62" s="14">
        <f t="shared" si="15"/>
        <v>-353332.60886835586</v>
      </c>
      <c r="H62" s="14">
        <f t="shared" si="15"/>
        <v>-728137.69195192121</v>
      </c>
      <c r="I62" s="14">
        <f t="shared" si="15"/>
        <v>-189749.94115324598</v>
      </c>
      <c r="J62" s="14">
        <f t="shared" si="15"/>
        <v>-116329.26442024577</v>
      </c>
      <c r="K62" s="14">
        <f t="shared" si="15"/>
        <v>-454940.62012809888</v>
      </c>
      <c r="L62" s="14">
        <f t="shared" si="15"/>
        <v>-374500.46593584586</v>
      </c>
      <c r="M62" s="14">
        <f t="shared" si="15"/>
        <v>-162560.93117498094</v>
      </c>
      <c r="N62" s="14">
        <f t="shared" si="15"/>
        <v>-3916875.6124652363</v>
      </c>
    </row>
    <row r="63" spans="1:21" s="6" customFormat="1" ht="13.5" thickTop="1">
      <c r="A63" s="13" t="s">
        <v>64</v>
      </c>
      <c r="B63" s="12">
        <f>+B62</f>
        <v>-410432</v>
      </c>
      <c r="C63" s="12">
        <f t="shared" ref="C63:M63" si="16">B63+C62</f>
        <v>-89083</v>
      </c>
      <c r="D63" s="12">
        <f t="shared" si="16"/>
        <v>-584636</v>
      </c>
      <c r="E63" s="12">
        <f t="shared" si="16"/>
        <v>-1003720.9053557701</v>
      </c>
      <c r="F63" s="12">
        <f t="shared" si="16"/>
        <v>-1537324.0888325414</v>
      </c>
      <c r="G63" s="12">
        <f t="shared" si="16"/>
        <v>-1890656.6977008972</v>
      </c>
      <c r="H63" s="12">
        <f t="shared" si="16"/>
        <v>-2618794.3896528184</v>
      </c>
      <c r="I63" s="12">
        <f>H63+I62</f>
        <v>-2808544.3308060644</v>
      </c>
      <c r="J63" s="12">
        <f t="shared" si="16"/>
        <v>-2924873.5952263102</v>
      </c>
      <c r="K63" s="12">
        <f t="shared" si="16"/>
        <v>-3379814.2153544091</v>
      </c>
      <c r="L63" s="12">
        <f t="shared" si="16"/>
        <v>-3754314.6812902549</v>
      </c>
      <c r="M63" s="12">
        <f t="shared" si="16"/>
        <v>-3916875.6124652359</v>
      </c>
      <c r="N63" s="12"/>
    </row>
    <row r="64" spans="1:21">
      <c r="A64" s="13" t="s">
        <v>65</v>
      </c>
      <c r="B64" s="12">
        <f t="shared" ref="B64:M64" si="17">+$B$60+B63</f>
        <v>14799859</v>
      </c>
      <c r="C64" s="12">
        <f t="shared" si="17"/>
        <v>15121208</v>
      </c>
      <c r="D64" s="12">
        <f t="shared" si="17"/>
        <v>14625655</v>
      </c>
      <c r="E64" s="12">
        <f t="shared" si="17"/>
        <v>14206570.09464423</v>
      </c>
      <c r="F64" s="12">
        <f>+$B$60+F63</f>
        <v>13672966.911167458</v>
      </c>
      <c r="G64" s="12">
        <f t="shared" si="17"/>
        <v>13319634.302299103</v>
      </c>
      <c r="H64" s="12">
        <f t="shared" si="17"/>
        <v>12591496.610347182</v>
      </c>
      <c r="I64" s="12">
        <f t="shared" si="17"/>
        <v>12401746.669193935</v>
      </c>
      <c r="J64" s="12">
        <f t="shared" si="17"/>
        <v>12285417.40477369</v>
      </c>
      <c r="K64" s="12">
        <f t="shared" si="17"/>
        <v>11830476.784645591</v>
      </c>
      <c r="L64" s="12">
        <f t="shared" si="17"/>
        <v>11455976.318709746</v>
      </c>
      <c r="M64" s="12">
        <f t="shared" si="17"/>
        <v>11293415.387534764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141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-1206184.54570327</v>
      </c>
      <c r="C67" s="30">
        <v>-91236.09179938212</v>
      </c>
      <c r="D67" s="30">
        <v>-21884.721865982749</v>
      </c>
      <c r="E67" s="30">
        <v>-419084.90535577014</v>
      </c>
      <c r="F67" s="30">
        <v>-533603.18347677123</v>
      </c>
      <c r="G67" s="30">
        <v>-353332.60886835586</v>
      </c>
      <c r="H67" s="30">
        <v>-728137.69195192121</v>
      </c>
      <c r="I67" s="30">
        <v>-189749.94115324598</v>
      </c>
      <c r="J67" s="30">
        <v>-116329.26442024577</v>
      </c>
      <c r="K67" s="30">
        <v>-454940.62012809888</v>
      </c>
      <c r="L67" s="30">
        <v>-374500.46593584586</v>
      </c>
      <c r="M67" s="30">
        <v>-162560.93117498094</v>
      </c>
      <c r="N67" s="124"/>
    </row>
    <row r="68" spans="1:14" ht="13.5" thickTop="1">
      <c r="A68" s="115" t="s">
        <v>64</v>
      </c>
      <c r="B68" s="31">
        <f>+B67</f>
        <v>-1206184.54570327</v>
      </c>
      <c r="C68" s="31">
        <f t="shared" ref="C68:M68" si="18">+B68+C67</f>
        <v>-1297420.6375026521</v>
      </c>
      <c r="D68" s="31">
        <f t="shared" si="18"/>
        <v>-1319305.3593686349</v>
      </c>
      <c r="E68" s="31">
        <f t="shared" si="18"/>
        <v>-1738390.264724405</v>
      </c>
      <c r="F68" s="31">
        <f t="shared" si="18"/>
        <v>-2271993.4482011762</v>
      </c>
      <c r="G68" s="31">
        <f t="shared" si="18"/>
        <v>-2625326.0570695321</v>
      </c>
      <c r="H68" s="31">
        <f t="shared" si="18"/>
        <v>-3353463.7490214533</v>
      </c>
      <c r="I68" s="31">
        <f t="shared" si="18"/>
        <v>-3543213.6901746993</v>
      </c>
      <c r="J68" s="31">
        <f t="shared" si="18"/>
        <v>-3659542.9545949451</v>
      </c>
      <c r="K68" s="31">
        <f t="shared" si="18"/>
        <v>-4114483.5747230439</v>
      </c>
      <c r="L68" s="31">
        <f t="shared" si="18"/>
        <v>-4488984.0406588893</v>
      </c>
      <c r="M68" s="31">
        <f t="shared" si="18"/>
        <v>-4651544.9718338698</v>
      </c>
      <c r="N68" s="125"/>
    </row>
    <row r="69" spans="1:14">
      <c r="A69" s="115" t="s">
        <v>65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M74" si="19">+B62-B67</f>
        <v>795752.54570327001</v>
      </c>
      <c r="C72" s="31">
        <f t="shared" si="19"/>
        <v>412585.09179938212</v>
      </c>
      <c r="D72" s="31">
        <f t="shared" si="19"/>
        <v>-473668.27813401725</v>
      </c>
      <c r="E72" s="31">
        <f t="shared" si="19"/>
        <v>0</v>
      </c>
      <c r="F72" s="31">
        <f t="shared" si="19"/>
        <v>0</v>
      </c>
      <c r="G72" s="31">
        <f t="shared" si="19"/>
        <v>0</v>
      </c>
      <c r="H72" s="31">
        <f t="shared" si="19"/>
        <v>0</v>
      </c>
      <c r="I72" s="31">
        <f t="shared" si="19"/>
        <v>0</v>
      </c>
      <c r="J72" s="31">
        <f t="shared" si="19"/>
        <v>0</v>
      </c>
      <c r="K72" s="31">
        <f t="shared" si="19"/>
        <v>0</v>
      </c>
      <c r="L72" s="31">
        <f t="shared" si="19"/>
        <v>0</v>
      </c>
      <c r="M72" s="31">
        <f t="shared" si="19"/>
        <v>0</v>
      </c>
      <c r="N72" s="125"/>
    </row>
    <row r="73" spans="1:14" s="6" customFormat="1">
      <c r="A73" s="115" t="s">
        <v>64</v>
      </c>
      <c r="B73" s="31">
        <f t="shared" si="19"/>
        <v>795752.54570327001</v>
      </c>
      <c r="C73" s="31">
        <f t="shared" si="19"/>
        <v>1208337.6375026521</v>
      </c>
      <c r="D73" s="31">
        <f t="shared" si="19"/>
        <v>734669.35936863488</v>
      </c>
      <c r="E73" s="31">
        <f t="shared" si="19"/>
        <v>734669.35936863488</v>
      </c>
      <c r="F73" s="31">
        <f t="shared" si="19"/>
        <v>734669.35936863488</v>
      </c>
      <c r="G73" s="31">
        <f t="shared" si="19"/>
        <v>734669.35936863488</v>
      </c>
      <c r="H73" s="31">
        <f t="shared" si="19"/>
        <v>734669.35936863488</v>
      </c>
      <c r="I73" s="31">
        <f t="shared" si="19"/>
        <v>734669.35936863488</v>
      </c>
      <c r="J73" s="31">
        <f t="shared" si="19"/>
        <v>734669.35936863488</v>
      </c>
      <c r="K73" s="31">
        <f t="shared" si="19"/>
        <v>734669.35936863488</v>
      </c>
      <c r="L73" s="31">
        <f t="shared" si="19"/>
        <v>734669.35936863441</v>
      </c>
      <c r="M73" s="31">
        <f t="shared" si="19"/>
        <v>734669.35936863394</v>
      </c>
      <c r="N73" s="125">
        <f>+N63-N68</f>
        <v>0</v>
      </c>
    </row>
    <row r="74" spans="1:14">
      <c r="A74" s="121" t="s">
        <v>65</v>
      </c>
      <c r="B74" s="122">
        <f t="shared" si="19"/>
        <v>14799859</v>
      </c>
      <c r="C74" s="122">
        <f t="shared" si="19"/>
        <v>15121208</v>
      </c>
      <c r="D74" s="122">
        <f t="shared" si="19"/>
        <v>14625655</v>
      </c>
      <c r="E74" s="122">
        <f t="shared" si="19"/>
        <v>14206570.09464423</v>
      </c>
      <c r="F74" s="122">
        <f t="shared" si="19"/>
        <v>13672966.911167458</v>
      </c>
      <c r="G74" s="122">
        <f t="shared" si="19"/>
        <v>13319634.302299103</v>
      </c>
      <c r="H74" s="122">
        <f t="shared" si="19"/>
        <v>12591496.610347182</v>
      </c>
      <c r="I74" s="122">
        <f t="shared" si="19"/>
        <v>12401746.669193935</v>
      </c>
      <c r="J74" s="122">
        <f t="shared" si="19"/>
        <v>12285417.40477369</v>
      </c>
      <c r="K74" s="122">
        <f t="shared" si="19"/>
        <v>11830476.784645591</v>
      </c>
      <c r="L74" s="122">
        <f t="shared" si="19"/>
        <v>11455976.318709746</v>
      </c>
      <c r="M74" s="122">
        <f t="shared" si="19"/>
        <v>11293415.387534764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1:U85"/>
  <sheetViews>
    <sheetView showGridLines="0" zoomScaleNormal="100" workbookViewId="0">
      <selection activeCell="D2" sqref="D2"/>
    </sheetView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76</v>
      </c>
      <c r="E2" s="92" t="s">
        <v>76</v>
      </c>
      <c r="F2" s="92" t="s">
        <v>76</v>
      </c>
      <c r="G2" s="92" t="s">
        <v>76</v>
      </c>
      <c r="H2" s="92" t="s">
        <v>76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476908</v>
      </c>
      <c r="C5" s="101">
        <v>2210992</v>
      </c>
      <c r="D5" s="101">
        <v>2146134</v>
      </c>
      <c r="E5" s="101">
        <v>1218756</v>
      </c>
      <c r="F5" s="101">
        <v>973030</v>
      </c>
      <c r="G5" s="101">
        <v>813599</v>
      </c>
      <c r="H5" s="101">
        <v>2497871</v>
      </c>
      <c r="I5" s="101">
        <v>1535686</v>
      </c>
      <c r="J5" s="101">
        <v>1187116</v>
      </c>
      <c r="K5" s="101">
        <v>1395071</v>
      </c>
      <c r="L5" s="101">
        <v>1070364</v>
      </c>
      <c r="M5" s="101">
        <v>738619</v>
      </c>
      <c r="N5" s="102">
        <f>SUM(B5:M5)</f>
        <v>16264146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57792</v>
      </c>
      <c r="D6" s="101">
        <v>137412</v>
      </c>
      <c r="E6" s="101">
        <v>45809</v>
      </c>
      <c r="F6" s="101">
        <v>42002</v>
      </c>
      <c r="G6" s="101">
        <v>221803</v>
      </c>
      <c r="H6" s="101">
        <v>51087</v>
      </c>
      <c r="I6" s="101">
        <v>125594</v>
      </c>
      <c r="J6" s="101">
        <v>223279</v>
      </c>
      <c r="K6" s="101">
        <v>51978</v>
      </c>
      <c r="L6" s="101">
        <v>58717</v>
      </c>
      <c r="M6" s="101">
        <v>284877</v>
      </c>
      <c r="N6" s="103">
        <f>SUM(B6:M6)</f>
        <v>1500089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2268784</v>
      </c>
      <c r="D9" s="12">
        <f t="shared" si="0"/>
        <v>2283546</v>
      </c>
      <c r="E9" s="12">
        <f t="shared" si="0"/>
        <v>1264565</v>
      </c>
      <c r="F9" s="12">
        <f t="shared" si="0"/>
        <v>1015032</v>
      </c>
      <c r="G9" s="12">
        <f t="shared" si="0"/>
        <v>1035402</v>
      </c>
      <c r="H9" s="12">
        <f t="shared" si="0"/>
        <v>2548958</v>
      </c>
      <c r="I9" s="12">
        <f t="shared" si="0"/>
        <v>1661280</v>
      </c>
      <c r="J9" s="12">
        <f t="shared" si="0"/>
        <v>1410395</v>
      </c>
      <c r="K9" s="12">
        <f t="shared" si="0"/>
        <v>1447049</v>
      </c>
      <c r="L9" s="12">
        <f t="shared" si="0"/>
        <v>1129081</v>
      </c>
      <c r="M9" s="12">
        <f t="shared" si="0"/>
        <v>1023496</v>
      </c>
      <c r="N9" s="12">
        <f t="shared" si="0"/>
        <v>17764235</v>
      </c>
    </row>
    <row r="10" spans="1:14" s="6" customFormat="1" ht="6.75" hidden="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 hidden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2268784</v>
      </c>
      <c r="D13" s="14">
        <f t="shared" si="1"/>
        <v>2283546</v>
      </c>
      <c r="E13" s="14">
        <f t="shared" si="1"/>
        <v>1264565</v>
      </c>
      <c r="F13" s="14">
        <f t="shared" si="1"/>
        <v>1015032</v>
      </c>
      <c r="G13" s="14">
        <f t="shared" si="1"/>
        <v>1035402</v>
      </c>
      <c r="H13" s="14">
        <f t="shared" si="1"/>
        <v>2548958</v>
      </c>
      <c r="I13" s="14">
        <f t="shared" si="1"/>
        <v>1661280</v>
      </c>
      <c r="J13" s="14">
        <f t="shared" si="1"/>
        <v>1410395</v>
      </c>
      <c r="K13" s="14">
        <f t="shared" si="1"/>
        <v>1447049</v>
      </c>
      <c r="L13" s="14">
        <f t="shared" si="1"/>
        <v>1129081</v>
      </c>
      <c r="M13" s="14">
        <f t="shared" si="1"/>
        <v>1023496</v>
      </c>
      <c r="N13" s="14">
        <f t="shared" si="1"/>
        <v>17764235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1608163</v>
      </c>
      <c r="D16" s="101">
        <v>1205829</v>
      </c>
      <c r="E16" s="101">
        <v>476560</v>
      </c>
      <c r="F16" s="101">
        <v>394815</v>
      </c>
      <c r="G16" s="101">
        <v>329827</v>
      </c>
      <c r="H16" s="101">
        <v>1512502</v>
      </c>
      <c r="I16" s="101">
        <v>640537</v>
      </c>
      <c r="J16" s="101">
        <v>456948</v>
      </c>
      <c r="K16" s="101">
        <v>665472</v>
      </c>
      <c r="L16" s="101">
        <v>493571</v>
      </c>
      <c r="M16" s="101">
        <v>431870</v>
      </c>
      <c r="N16" s="103">
        <f>SUM(B16:M16)</f>
        <v>8552908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1608163</v>
      </c>
      <c r="D20" s="12">
        <f t="shared" si="2"/>
        <v>1205829</v>
      </c>
      <c r="E20" s="12">
        <f t="shared" si="2"/>
        <v>476560</v>
      </c>
      <c r="F20" s="12">
        <f t="shared" si="2"/>
        <v>394815</v>
      </c>
      <c r="G20" s="12">
        <f t="shared" si="2"/>
        <v>329827</v>
      </c>
      <c r="H20" s="12">
        <f t="shared" si="2"/>
        <v>1512502</v>
      </c>
      <c r="I20" s="12">
        <f t="shared" si="2"/>
        <v>640537</v>
      </c>
      <c r="J20" s="12">
        <f t="shared" si="2"/>
        <v>456948</v>
      </c>
      <c r="K20" s="12">
        <f t="shared" si="2"/>
        <v>665472</v>
      </c>
      <c r="L20" s="12">
        <f t="shared" si="2"/>
        <v>493571</v>
      </c>
      <c r="M20" s="12">
        <f t="shared" si="2"/>
        <v>431870</v>
      </c>
      <c r="N20" s="12">
        <f t="shared" si="2"/>
        <v>8552908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140094</v>
      </c>
      <c r="C23" s="103">
        <f t="shared" si="3"/>
        <v>602829</v>
      </c>
      <c r="D23" s="103">
        <f t="shared" si="3"/>
        <v>940305</v>
      </c>
      <c r="E23" s="103">
        <f t="shared" si="3"/>
        <v>742196</v>
      </c>
      <c r="F23" s="103">
        <f t="shared" si="3"/>
        <v>578215</v>
      </c>
      <c r="G23" s="103">
        <f t="shared" si="3"/>
        <v>483772</v>
      </c>
      <c r="H23" s="103">
        <f t="shared" si="3"/>
        <v>985369</v>
      </c>
      <c r="I23" s="103">
        <f t="shared" si="3"/>
        <v>895149</v>
      </c>
      <c r="J23" s="103">
        <f t="shared" si="3"/>
        <v>730168</v>
      </c>
      <c r="K23" s="103">
        <f t="shared" si="3"/>
        <v>729599</v>
      </c>
      <c r="L23" s="103">
        <f t="shared" si="3"/>
        <v>576793</v>
      </c>
      <c r="M23" s="103">
        <f t="shared" si="3"/>
        <v>306749</v>
      </c>
      <c r="N23" s="103">
        <f>SUM(B23:M23)</f>
        <v>7711238</v>
      </c>
    </row>
    <row r="24" spans="1:14" s="6" customFormat="1" hidden="1" outlineLevel="1">
      <c r="A24" s="100" t="s">
        <v>37</v>
      </c>
      <c r="B24" s="103">
        <f t="shared" si="3"/>
        <v>199739</v>
      </c>
      <c r="C24" s="103">
        <f t="shared" si="3"/>
        <v>57792</v>
      </c>
      <c r="D24" s="103">
        <f t="shared" si="3"/>
        <v>137412</v>
      </c>
      <c r="E24" s="103">
        <f t="shared" si="3"/>
        <v>45809</v>
      </c>
      <c r="F24" s="103">
        <f t="shared" si="3"/>
        <v>42002</v>
      </c>
      <c r="G24" s="103">
        <f t="shared" si="3"/>
        <v>221803</v>
      </c>
      <c r="H24" s="103">
        <f t="shared" si="3"/>
        <v>51087</v>
      </c>
      <c r="I24" s="103">
        <f t="shared" si="3"/>
        <v>125594</v>
      </c>
      <c r="J24" s="103">
        <f t="shared" si="3"/>
        <v>223279</v>
      </c>
      <c r="K24" s="103">
        <f t="shared" si="3"/>
        <v>51978</v>
      </c>
      <c r="L24" s="103">
        <f t="shared" si="3"/>
        <v>58717</v>
      </c>
      <c r="M24" s="103">
        <f t="shared" si="3"/>
        <v>284877</v>
      </c>
      <c r="N24" s="103">
        <f>SUM(B24:M24)</f>
        <v>1500089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660621</v>
      </c>
      <c r="D27" s="12">
        <f t="shared" si="4"/>
        <v>1077717</v>
      </c>
      <c r="E27" s="12">
        <f t="shared" si="4"/>
        <v>788005</v>
      </c>
      <c r="F27" s="12">
        <f t="shared" si="4"/>
        <v>620217</v>
      </c>
      <c r="G27" s="12">
        <f t="shared" si="4"/>
        <v>705575</v>
      </c>
      <c r="H27" s="12">
        <f>SUM(H23:H26)</f>
        <v>1036456</v>
      </c>
      <c r="I27" s="12">
        <f t="shared" si="4"/>
        <v>1020743</v>
      </c>
      <c r="J27" s="12">
        <f t="shared" si="4"/>
        <v>953447</v>
      </c>
      <c r="K27" s="12">
        <f t="shared" si="4"/>
        <v>781577</v>
      </c>
      <c r="L27" s="12">
        <f t="shared" si="4"/>
        <v>635510</v>
      </c>
      <c r="M27" s="12">
        <f>SUM(M23:M26)</f>
        <v>591626</v>
      </c>
      <c r="N27" s="12">
        <f t="shared" si="4"/>
        <v>9211327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0.291178446251384</v>
      </c>
      <c r="D28" s="73">
        <f t="shared" si="5"/>
        <v>0.47194889001579121</v>
      </c>
      <c r="E28" s="73">
        <f t="shared" si="5"/>
        <v>0.62314313617726258</v>
      </c>
      <c r="F28" s="73">
        <f t="shared" si="5"/>
        <v>0.61103196746506516</v>
      </c>
      <c r="G28" s="73">
        <f t="shared" si="5"/>
        <v>0.68145029659977474</v>
      </c>
      <c r="H28" s="73">
        <f t="shared" si="5"/>
        <v>0.40661948921873176</v>
      </c>
      <c r="I28" s="73">
        <f t="shared" si="5"/>
        <v>0.61443164307040354</v>
      </c>
      <c r="J28" s="73">
        <f t="shared" si="5"/>
        <v>0.67601416624420818</v>
      </c>
      <c r="K28" s="73">
        <f t="shared" si="5"/>
        <v>0.54011785364559184</v>
      </c>
      <c r="L28" s="73">
        <f t="shared" si="5"/>
        <v>0.56285598641727208</v>
      </c>
      <c r="M28" s="73">
        <f t="shared" si="5"/>
        <v>0.5780442717900216</v>
      </c>
      <c r="N28" s="73">
        <f t="shared" ref="N28" si="6">+N27/N9</f>
        <v>0.51853215182077927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314680</v>
      </c>
      <c r="D30" s="101">
        <v>392469.91352215386</v>
      </c>
      <c r="E30" s="101">
        <v>445508.7024026924</v>
      </c>
      <c r="F30" s="101">
        <v>352354.01078715385</v>
      </c>
      <c r="G30" s="101">
        <v>359896.18306715385</v>
      </c>
      <c r="H30" s="101">
        <v>521253.96098961541</v>
      </c>
      <c r="I30" s="101">
        <v>411300.28455869236</v>
      </c>
      <c r="J30" s="101">
        <v>392403.38610869233</v>
      </c>
      <c r="K30" s="101">
        <v>470518.20239961543</v>
      </c>
      <c r="L30" s="101">
        <v>361457.1899586923</v>
      </c>
      <c r="M30" s="101">
        <v>309677.88845369231</v>
      </c>
      <c r="N30" s="103">
        <f>SUM(B30:M30)</f>
        <v>4608922.7222481547</v>
      </c>
    </row>
    <row r="31" spans="1:14" s="6" customFormat="1" hidden="1" outlineLevel="1">
      <c r="A31" s="100" t="s">
        <v>42</v>
      </c>
      <c r="B31" s="101">
        <v>154113</v>
      </c>
      <c r="C31" s="101">
        <v>151966</v>
      </c>
      <c r="D31" s="101">
        <v>167093.47501049543</v>
      </c>
      <c r="E31" s="101">
        <v>194797.86961974416</v>
      </c>
      <c r="F31" s="101">
        <v>164984.83935628389</v>
      </c>
      <c r="G31" s="101">
        <v>164482.0924678685</v>
      </c>
      <c r="H31" s="101">
        <v>197799.39762897298</v>
      </c>
      <c r="I31" s="101">
        <v>168672.32326122007</v>
      </c>
      <c r="J31" s="101">
        <v>167875.54497822007</v>
      </c>
      <c r="K31" s="101">
        <v>196120.0843951499</v>
      </c>
      <c r="L31" s="101">
        <v>165873.94264382005</v>
      </c>
      <c r="M31" s="101">
        <v>166838.70938795508</v>
      </c>
      <c r="N31" s="103">
        <f>SUM(B31:M31)</f>
        <v>2060617.27874973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466646</v>
      </c>
      <c r="D34" s="12">
        <f t="shared" si="7"/>
        <v>559563.38853264926</v>
      </c>
      <c r="E34" s="12">
        <f t="shared" si="7"/>
        <v>640306.57202243654</v>
      </c>
      <c r="F34" s="12">
        <f t="shared" si="7"/>
        <v>517338.85014343774</v>
      </c>
      <c r="G34" s="12">
        <f t="shared" si="7"/>
        <v>524378.27553502237</v>
      </c>
      <c r="H34" s="12">
        <f t="shared" si="7"/>
        <v>719053.35861858842</v>
      </c>
      <c r="I34" s="12">
        <f t="shared" si="7"/>
        <v>579972.60781991249</v>
      </c>
      <c r="J34" s="12">
        <f t="shared" si="7"/>
        <v>560278.9310869124</v>
      </c>
      <c r="K34" s="12">
        <f t="shared" si="7"/>
        <v>666638.28679476539</v>
      </c>
      <c r="L34" s="12">
        <f t="shared" si="7"/>
        <v>527331.13260251237</v>
      </c>
      <c r="M34" s="12">
        <f t="shared" si="7"/>
        <v>476516.5978416474</v>
      </c>
      <c r="N34" s="12">
        <f t="shared" si="7"/>
        <v>6669540.0009978842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609031</v>
      </c>
      <c r="D37" s="101">
        <v>974826.72186598263</v>
      </c>
      <c r="E37" s="101">
        <v>1019561.9053557699</v>
      </c>
      <c r="F37" s="101">
        <v>870783.18347677111</v>
      </c>
      <c r="G37" s="108">
        <v>898499.60886835575</v>
      </c>
      <c r="H37" s="108">
        <v>1068267.6919519217</v>
      </c>
      <c r="I37" s="108">
        <v>1012375.9411532459</v>
      </c>
      <c r="J37" s="108">
        <v>916858.26442024577</v>
      </c>
      <c r="K37" s="108">
        <v>1045019.6201280988</v>
      </c>
      <c r="L37" s="101">
        <v>879113.46593584574</v>
      </c>
      <c r="M37" s="101">
        <v>781957.93117498083</v>
      </c>
      <c r="N37" s="103">
        <f>SUM(B37:M37)</f>
        <v>10776182.334331218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-466646</v>
      </c>
      <c r="D38" s="7">
        <f t="shared" si="8"/>
        <v>-559563.38853264926</v>
      </c>
      <c r="E38" s="7">
        <f t="shared" si="8"/>
        <v>-640306.57202243654</v>
      </c>
      <c r="F38" s="7">
        <f t="shared" si="8"/>
        <v>-517338.85014343774</v>
      </c>
      <c r="G38" s="7">
        <f t="shared" si="8"/>
        <v>-524378.27553502237</v>
      </c>
      <c r="H38" s="7">
        <f>-H34</f>
        <v>-719053.35861858842</v>
      </c>
      <c r="I38" s="7">
        <f t="shared" si="8"/>
        <v>-579972.60781991249</v>
      </c>
      <c r="J38" s="7">
        <f t="shared" si="8"/>
        <v>-560278.9310869124</v>
      </c>
      <c r="K38" s="7">
        <f t="shared" si="8"/>
        <v>-666638.28679476539</v>
      </c>
      <c r="L38" s="7">
        <f t="shared" si="8"/>
        <v>-527331.13260251237</v>
      </c>
      <c r="M38" s="7">
        <f t="shared" si="8"/>
        <v>-476516.5978416474</v>
      </c>
      <c r="N38" s="7">
        <f>SUM(B38:M38)</f>
        <v>-6669540.0009978851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-79108</v>
      </c>
      <c r="D39" s="109">
        <v>-78384</v>
      </c>
      <c r="E39" s="109">
        <v>-77256</v>
      </c>
      <c r="F39" s="109">
        <v>-77087</v>
      </c>
      <c r="G39" s="109">
        <v>-77087</v>
      </c>
      <c r="H39" s="109">
        <v>-77087</v>
      </c>
      <c r="I39" s="109">
        <v>-77087</v>
      </c>
      <c r="J39" s="109">
        <v>-77087</v>
      </c>
      <c r="K39" s="109">
        <v>-77087</v>
      </c>
      <c r="L39" s="109">
        <v>-77087</v>
      </c>
      <c r="M39" s="109">
        <v>-74530</v>
      </c>
      <c r="N39" s="103">
        <f>SUM(B39:M39)</f>
        <v>-926274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03">
        <f>SUM(B40:M40)</f>
        <v>-85340</v>
      </c>
    </row>
    <row r="41" spans="1:14" s="6" customFormat="1" ht="12.75" hidden="1" customHeight="1" outlineLevel="1">
      <c r="A41" s="100" t="s">
        <v>48</v>
      </c>
      <c r="B41" s="110">
        <v>-3350</v>
      </c>
      <c r="C41" s="101">
        <v>-3350</v>
      </c>
      <c r="D41" s="101">
        <v>-4350</v>
      </c>
      <c r="E41" s="101">
        <v>-4350</v>
      </c>
      <c r="F41" s="101">
        <v>-4350</v>
      </c>
      <c r="G41" s="101">
        <v>-9350</v>
      </c>
      <c r="H41" s="101">
        <v>-4350</v>
      </c>
      <c r="I41" s="101">
        <v>-4350</v>
      </c>
      <c r="J41" s="101">
        <v>-4350</v>
      </c>
      <c r="K41" s="101">
        <v>-4350</v>
      </c>
      <c r="L41" s="101">
        <v>-4350</v>
      </c>
      <c r="M41" s="101">
        <v>-47350</v>
      </c>
      <c r="N41" s="104">
        <f>SUM(B41:M41)</f>
        <v>-98200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52320</v>
      </c>
      <c r="D42" s="12">
        <f t="shared" si="9"/>
        <v>324922.33333333337</v>
      </c>
      <c r="E42" s="12">
        <f t="shared" si="9"/>
        <v>290427.33333333337</v>
      </c>
      <c r="F42" s="12">
        <f t="shared" si="9"/>
        <v>264785.33333333337</v>
      </c>
      <c r="G42" s="12">
        <f t="shared" si="9"/>
        <v>280545.33333333337</v>
      </c>
      <c r="H42" s="12">
        <f t="shared" si="9"/>
        <v>260638.33333333326</v>
      </c>
      <c r="I42" s="12">
        <f t="shared" si="9"/>
        <v>344098.33333333337</v>
      </c>
      <c r="J42" s="12">
        <f t="shared" si="9"/>
        <v>268274.33333333337</v>
      </c>
      <c r="K42" s="12">
        <f t="shared" si="9"/>
        <v>290076.33333333337</v>
      </c>
      <c r="L42" s="12">
        <f t="shared" si="9"/>
        <v>263580.33333333337</v>
      </c>
      <c r="M42" s="12">
        <f t="shared" si="9"/>
        <v>177133.33333333343</v>
      </c>
      <c r="N42" s="12">
        <f t="shared" si="9"/>
        <v>2996828.333333333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10">
        <v>234703</v>
      </c>
      <c r="C44" s="111">
        <v>219113</v>
      </c>
      <c r="D44" s="111">
        <v>245116</v>
      </c>
      <c r="E44" s="111">
        <v>306356</v>
      </c>
      <c r="F44" s="111">
        <v>272716</v>
      </c>
      <c r="G44" s="111">
        <v>246984</v>
      </c>
      <c r="H44" s="111">
        <v>294902</v>
      </c>
      <c r="I44" s="111">
        <v>245422</v>
      </c>
      <c r="J44" s="111">
        <v>271223</v>
      </c>
      <c r="K44" s="111">
        <v>309803</v>
      </c>
      <c r="L44" s="111">
        <v>249099</v>
      </c>
      <c r="M44" s="111">
        <v>-130463</v>
      </c>
      <c r="N44" s="102">
        <f>SUM(B44:M44)</f>
        <v>2764974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219113</v>
      </c>
      <c r="D46" s="12">
        <f t="shared" ref="D46:N46" si="10">SUM(D44:D45)</f>
        <v>245116</v>
      </c>
      <c r="E46" s="12">
        <f t="shared" si="10"/>
        <v>306356</v>
      </c>
      <c r="F46" s="12">
        <f t="shared" si="10"/>
        <v>272716</v>
      </c>
      <c r="G46" s="12">
        <f t="shared" si="10"/>
        <v>246984</v>
      </c>
      <c r="H46" s="12">
        <f t="shared" si="10"/>
        <v>294902</v>
      </c>
      <c r="I46" s="12">
        <f t="shared" si="10"/>
        <v>245422</v>
      </c>
      <c r="J46" s="12">
        <f t="shared" si="10"/>
        <v>271223</v>
      </c>
      <c r="K46" s="12">
        <f t="shared" si="10"/>
        <v>309803</v>
      </c>
      <c r="L46" s="12">
        <f t="shared" si="10"/>
        <v>249099</v>
      </c>
      <c r="M46" s="12">
        <f t="shared" si="10"/>
        <v>-130463</v>
      </c>
      <c r="N46" s="12">
        <f t="shared" si="10"/>
        <v>2764974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2346242</v>
      </c>
      <c r="D48" s="19">
        <f t="shared" si="11"/>
        <v>2335430.7218659827</v>
      </c>
      <c r="E48" s="19">
        <f t="shared" si="11"/>
        <v>1713649.9053557701</v>
      </c>
      <c r="F48" s="19">
        <f>+F20+F34+F42+F46</f>
        <v>1449655.1834767712</v>
      </c>
      <c r="G48" s="19">
        <f t="shared" si="11"/>
        <v>1381734.6088683559</v>
      </c>
      <c r="H48" s="19">
        <f t="shared" si="11"/>
        <v>2787095.6919519212</v>
      </c>
      <c r="I48" s="19">
        <f t="shared" si="11"/>
        <v>1810029.941153246</v>
      </c>
      <c r="J48" s="19">
        <f t="shared" si="11"/>
        <v>1556724.2644202458</v>
      </c>
      <c r="K48" s="19">
        <f t="shared" si="11"/>
        <v>1931989.6201280989</v>
      </c>
      <c r="L48" s="19">
        <f t="shared" si="11"/>
        <v>1533581.4659358459</v>
      </c>
      <c r="M48" s="19">
        <f t="shared" si="11"/>
        <v>955056.93117498094</v>
      </c>
      <c r="N48" s="19">
        <f t="shared" si="11"/>
        <v>20984250.334331218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-77458</v>
      </c>
      <c r="D50" s="12">
        <f t="shared" si="12"/>
        <v>-51884.721865982749</v>
      </c>
      <c r="E50" s="12">
        <f t="shared" si="12"/>
        <v>-449084.90535577014</v>
      </c>
      <c r="F50" s="12">
        <f>+F13-F48</f>
        <v>-434623.18347677123</v>
      </c>
      <c r="G50" s="12">
        <f t="shared" si="12"/>
        <v>-346332.60886835586</v>
      </c>
      <c r="H50" s="12">
        <f>+H13-H48</f>
        <v>-238137.69195192121</v>
      </c>
      <c r="I50" s="12">
        <f t="shared" si="12"/>
        <v>-148749.94115324598</v>
      </c>
      <c r="J50" s="12">
        <f t="shared" si="12"/>
        <v>-146329.26442024577</v>
      </c>
      <c r="K50" s="12">
        <f t="shared" si="12"/>
        <v>-484940.62012809888</v>
      </c>
      <c r="L50" s="12">
        <f t="shared" si="12"/>
        <v>-404500.46593584586</v>
      </c>
      <c r="M50" s="12">
        <f t="shared" si="12"/>
        <v>68439.068825019058</v>
      </c>
      <c r="N50" s="12">
        <f>SUM(B50:M50)</f>
        <v>-3220015.3343312186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107140</v>
      </c>
      <c r="D53" s="10">
        <v>0</v>
      </c>
      <c r="E53" s="10">
        <v>0</v>
      </c>
      <c r="F53" s="10">
        <v>33980</v>
      </c>
      <c r="G53" s="10">
        <v>37000</v>
      </c>
      <c r="H53" s="23">
        <v>20000</v>
      </c>
      <c r="I53" s="10">
        <v>71000</v>
      </c>
      <c r="J53" s="10">
        <v>0</v>
      </c>
      <c r="K53" s="10">
        <v>0</v>
      </c>
      <c r="L53" s="10">
        <v>0</v>
      </c>
      <c r="M53" s="10">
        <v>261000</v>
      </c>
      <c r="N53" s="10">
        <f>SUM(B53:M53)</f>
        <v>537160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95000</v>
      </c>
    </row>
    <row r="55" spans="1:21" s="6" customFormat="1">
      <c r="A55" s="6" t="s">
        <v>111</v>
      </c>
      <c r="B55" s="10">
        <v>380402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500000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>SUM(B55:M55)</f>
        <v>880402</v>
      </c>
    </row>
    <row r="56" spans="1:21" s="6" customFormat="1">
      <c r="A56" s="37" t="s">
        <v>58</v>
      </c>
      <c r="B56" s="7">
        <v>-19539</v>
      </c>
      <c r="C56" s="7">
        <v>-18488</v>
      </c>
      <c r="D56" s="7">
        <v>-15000</v>
      </c>
      <c r="E56" s="7">
        <v>-15000</v>
      </c>
      <c r="F56" s="7">
        <v>-15000</v>
      </c>
      <c r="G56" s="7">
        <v>-15000</v>
      </c>
      <c r="H56" s="7">
        <v>-15000</v>
      </c>
      <c r="I56" s="7">
        <v>-15000</v>
      </c>
      <c r="J56" s="7">
        <v>-15000</v>
      </c>
      <c r="K56" s="7">
        <v>-15000</v>
      </c>
      <c r="L56" s="7">
        <v>-15000</v>
      </c>
      <c r="M56" s="7">
        <v>-15000</v>
      </c>
      <c r="N56" s="7">
        <f>SUM(B56:M56)</f>
        <v>-188027</v>
      </c>
    </row>
    <row r="57" spans="1:21" s="6" customFormat="1">
      <c r="A57" s="6" t="s">
        <v>134</v>
      </c>
      <c r="B57" s="22">
        <v>-463884</v>
      </c>
      <c r="C57" s="7">
        <v>-487459</v>
      </c>
      <c r="D57" s="7">
        <v>-15000</v>
      </c>
      <c r="E57" s="7">
        <v>-15000</v>
      </c>
      <c r="F57" s="7">
        <v>-15000</v>
      </c>
      <c r="G57" s="7">
        <v>-15000</v>
      </c>
      <c r="H57" s="7">
        <v>-15000</v>
      </c>
      <c r="I57" s="7">
        <v>-15000</v>
      </c>
      <c r="J57" s="7">
        <v>-15000</v>
      </c>
      <c r="K57" s="7">
        <v>-15000</v>
      </c>
      <c r="L57" s="7">
        <v>-15000</v>
      </c>
      <c r="M57" s="7">
        <v>-15000</v>
      </c>
      <c r="N57" s="22">
        <f>SUM(B57:M57)</f>
        <v>-1101343</v>
      </c>
    </row>
    <row r="58" spans="1:21" s="6" customFormat="1">
      <c r="A58" s="13" t="s">
        <v>60</v>
      </c>
      <c r="B58" s="19">
        <f t="shared" ref="B58:N58" si="13">SUM(B53:B57)</f>
        <v>-95981</v>
      </c>
      <c r="C58" s="19">
        <f t="shared" si="13"/>
        <v>-398807</v>
      </c>
      <c r="D58" s="19">
        <f t="shared" si="13"/>
        <v>-30000</v>
      </c>
      <c r="E58" s="19">
        <f t="shared" si="13"/>
        <v>-30000</v>
      </c>
      <c r="F58" s="19">
        <f t="shared" si="13"/>
        <v>98980</v>
      </c>
      <c r="G58" s="19">
        <f t="shared" si="13"/>
        <v>7000</v>
      </c>
      <c r="H58" s="19">
        <f>SUM(H53:H57)</f>
        <v>490000</v>
      </c>
      <c r="I58" s="19">
        <f t="shared" si="13"/>
        <v>41000</v>
      </c>
      <c r="J58" s="19">
        <f t="shared" si="13"/>
        <v>-30000</v>
      </c>
      <c r="K58" s="19">
        <f t="shared" si="13"/>
        <v>-30000</v>
      </c>
      <c r="L58" s="19">
        <f t="shared" si="13"/>
        <v>-30000</v>
      </c>
      <c r="M58" s="19">
        <f t="shared" si="13"/>
        <v>231000</v>
      </c>
      <c r="N58" s="19">
        <f t="shared" si="13"/>
        <v>223192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15210291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4">+B58+B48</f>
        <v>1087079</v>
      </c>
      <c r="C61" s="19">
        <f t="shared" si="14"/>
        <v>1947435</v>
      </c>
      <c r="D61" s="19">
        <f t="shared" si="14"/>
        <v>2305430.7218659827</v>
      </c>
      <c r="E61" s="19">
        <f t="shared" si="14"/>
        <v>1683649.9053557701</v>
      </c>
      <c r="F61" s="19">
        <f>+F58+F48</f>
        <v>1548635.1834767712</v>
      </c>
      <c r="G61" s="19">
        <f t="shared" si="14"/>
        <v>1388734.6088683559</v>
      </c>
      <c r="H61" s="19">
        <f t="shared" si="14"/>
        <v>3277095.6919519212</v>
      </c>
      <c r="I61" s="19">
        <f t="shared" si="14"/>
        <v>1851029.941153246</v>
      </c>
      <c r="J61" s="19">
        <f t="shared" si="14"/>
        <v>1526724.2644202458</v>
      </c>
      <c r="K61" s="19">
        <f t="shared" si="14"/>
        <v>1901989.6201280989</v>
      </c>
      <c r="L61" s="19">
        <f t="shared" si="14"/>
        <v>1503581.4659358459</v>
      </c>
      <c r="M61" s="19">
        <f t="shared" si="14"/>
        <v>1186056.9311749809</v>
      </c>
      <c r="N61" s="19">
        <f t="shared" si="14"/>
        <v>21207442.334331218</v>
      </c>
    </row>
    <row r="62" spans="1:21" ht="13.5" thickBot="1">
      <c r="A62" s="13" t="s">
        <v>63</v>
      </c>
      <c r="B62" s="14">
        <f t="shared" ref="B62:N62" si="15">+B13-B61</f>
        <v>-410432</v>
      </c>
      <c r="C62" s="14">
        <f t="shared" si="15"/>
        <v>321349</v>
      </c>
      <c r="D62" s="14">
        <f t="shared" si="15"/>
        <v>-21884.721865982749</v>
      </c>
      <c r="E62" s="14">
        <f t="shared" si="15"/>
        <v>-419084.90535577014</v>
      </c>
      <c r="F62" s="14">
        <f>+F13-F61</f>
        <v>-533603.18347677123</v>
      </c>
      <c r="G62" s="14">
        <f t="shared" si="15"/>
        <v>-353332.60886835586</v>
      </c>
      <c r="H62" s="14">
        <f t="shared" si="15"/>
        <v>-728137.69195192121</v>
      </c>
      <c r="I62" s="14">
        <f t="shared" si="15"/>
        <v>-189749.94115324598</v>
      </c>
      <c r="J62" s="14">
        <f t="shared" si="15"/>
        <v>-116329.26442024577</v>
      </c>
      <c r="K62" s="14">
        <f t="shared" si="15"/>
        <v>-454940.62012809888</v>
      </c>
      <c r="L62" s="14">
        <f t="shared" si="15"/>
        <v>-374500.46593584586</v>
      </c>
      <c r="M62" s="14">
        <f t="shared" si="15"/>
        <v>-162560.93117498094</v>
      </c>
      <c r="N62" s="14">
        <f t="shared" si="15"/>
        <v>-3443207.3343312182</v>
      </c>
    </row>
    <row r="63" spans="1:21" s="6" customFormat="1" ht="13.5" thickTop="1">
      <c r="A63" s="13" t="s">
        <v>64</v>
      </c>
      <c r="B63" s="12">
        <f>+B62</f>
        <v>-410432</v>
      </c>
      <c r="C63" s="12">
        <f t="shared" ref="C63:M63" si="16">B63+C62</f>
        <v>-89083</v>
      </c>
      <c r="D63" s="12">
        <f t="shared" si="16"/>
        <v>-110967.72186598275</v>
      </c>
      <c r="E63" s="12">
        <f t="shared" si="16"/>
        <v>-530052.62722175289</v>
      </c>
      <c r="F63" s="12">
        <f t="shared" si="16"/>
        <v>-1063655.8106985241</v>
      </c>
      <c r="G63" s="12">
        <f t="shared" si="16"/>
        <v>-1416988.41956688</v>
      </c>
      <c r="H63" s="12">
        <f t="shared" si="16"/>
        <v>-2145126.1115188012</v>
      </c>
      <c r="I63" s="12">
        <f>H63+I62</f>
        <v>-2334876.0526720472</v>
      </c>
      <c r="J63" s="12">
        <f t="shared" si="16"/>
        <v>-2451205.3170922929</v>
      </c>
      <c r="K63" s="12">
        <f t="shared" si="16"/>
        <v>-2906145.9372203918</v>
      </c>
      <c r="L63" s="12">
        <f t="shared" si="16"/>
        <v>-3280646.4031562377</v>
      </c>
      <c r="M63" s="12">
        <f t="shared" si="16"/>
        <v>-3443207.3343312186</v>
      </c>
      <c r="N63" s="12"/>
    </row>
    <row r="64" spans="1:21">
      <c r="A64" s="13" t="s">
        <v>65</v>
      </c>
      <c r="B64" s="12">
        <f t="shared" ref="B64:M64" si="17">+$B$60+B63</f>
        <v>14799859</v>
      </c>
      <c r="C64" s="12">
        <f t="shared" si="17"/>
        <v>15121208</v>
      </c>
      <c r="D64" s="12">
        <f t="shared" si="17"/>
        <v>15099323.278134018</v>
      </c>
      <c r="E64" s="12">
        <f t="shared" si="17"/>
        <v>14680238.372778248</v>
      </c>
      <c r="F64" s="12">
        <f>+$B$60+F63</f>
        <v>14146635.189301476</v>
      </c>
      <c r="G64" s="12">
        <f t="shared" si="17"/>
        <v>13793302.580433119</v>
      </c>
      <c r="H64" s="12">
        <f t="shared" si="17"/>
        <v>13065164.8884812</v>
      </c>
      <c r="I64" s="12">
        <f t="shared" si="17"/>
        <v>12875414.947327953</v>
      </c>
      <c r="J64" s="12">
        <f t="shared" si="17"/>
        <v>12759085.682907708</v>
      </c>
      <c r="K64" s="12">
        <f t="shared" si="17"/>
        <v>12304145.062779609</v>
      </c>
      <c r="L64" s="12">
        <f t="shared" si="17"/>
        <v>11929644.596843762</v>
      </c>
      <c r="M64" s="12">
        <f t="shared" si="17"/>
        <v>11767083.665668782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141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-1206184.54570327</v>
      </c>
      <c r="C67" s="30">
        <v>-91236.09179938212</v>
      </c>
      <c r="D67" s="30">
        <v>-21884.721865982749</v>
      </c>
      <c r="E67" s="30">
        <v>-419084.90535577014</v>
      </c>
      <c r="F67" s="30">
        <v>-533603.18347677123</v>
      </c>
      <c r="G67" s="30">
        <v>-353332.60886835586</v>
      </c>
      <c r="H67" s="30">
        <v>-728137.69195192121</v>
      </c>
      <c r="I67" s="30">
        <v>-189749.94115324598</v>
      </c>
      <c r="J67" s="30">
        <v>-116329.26442024577</v>
      </c>
      <c r="K67" s="30">
        <v>-454940.62012809888</v>
      </c>
      <c r="L67" s="30">
        <v>-374500.46593584586</v>
      </c>
      <c r="M67" s="30">
        <v>-162560.93117498094</v>
      </c>
      <c r="N67" s="124"/>
    </row>
    <row r="68" spans="1:14" ht="13.5" thickTop="1">
      <c r="A68" s="115" t="s">
        <v>64</v>
      </c>
      <c r="B68" s="31">
        <f>+B67</f>
        <v>-1206184.54570327</v>
      </c>
      <c r="C68" s="31">
        <f t="shared" ref="C68:M68" si="18">+B68+C67</f>
        <v>-1297420.6375026521</v>
      </c>
      <c r="D68" s="31">
        <f t="shared" si="18"/>
        <v>-1319305.3593686349</v>
      </c>
      <c r="E68" s="31">
        <f t="shared" si="18"/>
        <v>-1738390.264724405</v>
      </c>
      <c r="F68" s="31">
        <f t="shared" si="18"/>
        <v>-2271993.4482011762</v>
      </c>
      <c r="G68" s="31">
        <f t="shared" si="18"/>
        <v>-2625326.0570695321</v>
      </c>
      <c r="H68" s="31">
        <f t="shared" si="18"/>
        <v>-3353463.7490214533</v>
      </c>
      <c r="I68" s="31">
        <f t="shared" si="18"/>
        <v>-3543213.6901746993</v>
      </c>
      <c r="J68" s="31">
        <f t="shared" si="18"/>
        <v>-3659542.9545949451</v>
      </c>
      <c r="K68" s="31">
        <f t="shared" si="18"/>
        <v>-4114483.5747230439</v>
      </c>
      <c r="L68" s="31">
        <f t="shared" si="18"/>
        <v>-4488984.0406588893</v>
      </c>
      <c r="M68" s="31">
        <f t="shared" si="18"/>
        <v>-4651544.9718338698</v>
      </c>
      <c r="N68" s="125"/>
    </row>
    <row r="69" spans="1:14">
      <c r="A69" s="115" t="s">
        <v>65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M74" si="19">+B62-B67</f>
        <v>795752.54570327001</v>
      </c>
      <c r="C72" s="31">
        <f t="shared" si="19"/>
        <v>412585.09179938212</v>
      </c>
      <c r="D72" s="31">
        <f t="shared" si="19"/>
        <v>0</v>
      </c>
      <c r="E72" s="31">
        <f t="shared" si="19"/>
        <v>0</v>
      </c>
      <c r="F72" s="31">
        <f t="shared" si="19"/>
        <v>0</v>
      </c>
      <c r="G72" s="31">
        <f t="shared" si="19"/>
        <v>0</v>
      </c>
      <c r="H72" s="31">
        <f t="shared" si="19"/>
        <v>0</v>
      </c>
      <c r="I72" s="31">
        <f t="shared" si="19"/>
        <v>0</v>
      </c>
      <c r="J72" s="31">
        <f t="shared" si="19"/>
        <v>0</v>
      </c>
      <c r="K72" s="31">
        <f t="shared" si="19"/>
        <v>0</v>
      </c>
      <c r="L72" s="31">
        <f t="shared" si="19"/>
        <v>0</v>
      </c>
      <c r="M72" s="31">
        <f t="shared" si="19"/>
        <v>0</v>
      </c>
      <c r="N72" s="125"/>
    </row>
    <row r="73" spans="1:14" s="6" customFormat="1">
      <c r="A73" s="115" t="s">
        <v>64</v>
      </c>
      <c r="B73" s="31">
        <f t="shared" si="19"/>
        <v>795752.54570327001</v>
      </c>
      <c r="C73" s="31">
        <f t="shared" si="19"/>
        <v>1208337.6375026521</v>
      </c>
      <c r="D73" s="31">
        <f t="shared" si="19"/>
        <v>1208337.6375026521</v>
      </c>
      <c r="E73" s="31">
        <f t="shared" si="19"/>
        <v>1208337.6375026521</v>
      </c>
      <c r="F73" s="31">
        <f t="shared" si="19"/>
        <v>1208337.6375026521</v>
      </c>
      <c r="G73" s="31">
        <f t="shared" si="19"/>
        <v>1208337.6375026521</v>
      </c>
      <c r="H73" s="31">
        <f t="shared" si="19"/>
        <v>1208337.6375026521</v>
      </c>
      <c r="I73" s="31">
        <f t="shared" si="19"/>
        <v>1208337.6375026521</v>
      </c>
      <c r="J73" s="31">
        <f t="shared" si="19"/>
        <v>1208337.6375026521</v>
      </c>
      <c r="K73" s="31">
        <f t="shared" si="19"/>
        <v>1208337.6375026521</v>
      </c>
      <c r="L73" s="31">
        <f t="shared" si="19"/>
        <v>1208337.6375026517</v>
      </c>
      <c r="M73" s="31">
        <f t="shared" si="19"/>
        <v>1208337.6375026512</v>
      </c>
      <c r="N73" s="125">
        <f>+N63-N68</f>
        <v>0</v>
      </c>
    </row>
    <row r="74" spans="1:14">
      <c r="A74" s="121" t="s">
        <v>65</v>
      </c>
      <c r="B74" s="122">
        <f t="shared" si="19"/>
        <v>14799859</v>
      </c>
      <c r="C74" s="122">
        <f t="shared" si="19"/>
        <v>15121208</v>
      </c>
      <c r="D74" s="122">
        <f t="shared" si="19"/>
        <v>15099323.278134018</v>
      </c>
      <c r="E74" s="122">
        <f t="shared" si="19"/>
        <v>14680238.372778248</v>
      </c>
      <c r="F74" s="122">
        <f t="shared" si="19"/>
        <v>14146635.189301476</v>
      </c>
      <c r="G74" s="122">
        <f t="shared" si="19"/>
        <v>13793302.580433119</v>
      </c>
      <c r="H74" s="122">
        <f t="shared" si="19"/>
        <v>13065164.8884812</v>
      </c>
      <c r="I74" s="122">
        <f t="shared" si="19"/>
        <v>12875414.947327953</v>
      </c>
      <c r="J74" s="122">
        <f t="shared" si="19"/>
        <v>12759085.682907708</v>
      </c>
      <c r="K74" s="122">
        <f t="shared" si="19"/>
        <v>12304145.062779609</v>
      </c>
      <c r="L74" s="122">
        <f t="shared" si="19"/>
        <v>11929644.596843762</v>
      </c>
      <c r="M74" s="122">
        <f t="shared" si="19"/>
        <v>11767083.665668782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92D050"/>
    <pageSetUpPr fitToPage="1"/>
  </sheetPr>
  <dimension ref="A1:U85"/>
  <sheetViews>
    <sheetView showGridLines="0" zoomScaleNormal="100" workbookViewId="0">
      <selection activeCell="J69" sqref="J69"/>
    </sheetView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24</v>
      </c>
      <c r="C2" s="92" t="s">
        <v>76</v>
      </c>
      <c r="D2" s="92" t="s">
        <v>76</v>
      </c>
      <c r="E2" s="92" t="s">
        <v>76</v>
      </c>
      <c r="F2" s="92" t="s">
        <v>76</v>
      </c>
      <c r="G2" s="92" t="s">
        <v>76</v>
      </c>
      <c r="H2" s="92" t="s">
        <v>76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476908</v>
      </c>
      <c r="C5" s="101">
        <v>2773569</v>
      </c>
      <c r="D5" s="101">
        <v>2146134</v>
      </c>
      <c r="E5" s="101">
        <v>1218756</v>
      </c>
      <c r="F5" s="101">
        <v>973030</v>
      </c>
      <c r="G5" s="101">
        <v>813599</v>
      </c>
      <c r="H5" s="101">
        <v>2497871</v>
      </c>
      <c r="I5" s="101">
        <v>1535686</v>
      </c>
      <c r="J5" s="101">
        <v>1187116</v>
      </c>
      <c r="K5" s="101">
        <v>1395071</v>
      </c>
      <c r="L5" s="101">
        <v>1070364</v>
      </c>
      <c r="M5" s="101">
        <v>738619</v>
      </c>
      <c r="N5" s="102">
        <f>SUM(B5:M5)</f>
        <v>16826723</v>
      </c>
    </row>
    <row r="6" spans="1:14" s="6" customFormat="1" ht="12.75" hidden="1" customHeight="1" outlineLevel="1">
      <c r="A6" s="100" t="s">
        <v>29</v>
      </c>
      <c r="B6" s="101">
        <v>199739</v>
      </c>
      <c r="C6" s="101">
        <v>45314</v>
      </c>
      <c r="D6" s="101">
        <v>137412</v>
      </c>
      <c r="E6" s="101">
        <v>45809</v>
      </c>
      <c r="F6" s="101">
        <v>42002</v>
      </c>
      <c r="G6" s="101">
        <v>221803</v>
      </c>
      <c r="H6" s="101">
        <v>51087</v>
      </c>
      <c r="I6" s="101">
        <v>125594</v>
      </c>
      <c r="J6" s="101">
        <v>223279</v>
      </c>
      <c r="K6" s="101">
        <v>51978</v>
      </c>
      <c r="L6" s="101">
        <v>58717</v>
      </c>
      <c r="M6" s="101">
        <v>284877</v>
      </c>
      <c r="N6" s="103">
        <f>SUM(B6:M6)</f>
        <v>1487611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676647</v>
      </c>
      <c r="C9" s="12">
        <f t="shared" si="0"/>
        <v>2818883</v>
      </c>
      <c r="D9" s="12">
        <f t="shared" si="0"/>
        <v>2283546</v>
      </c>
      <c r="E9" s="12">
        <f t="shared" si="0"/>
        <v>1264565</v>
      </c>
      <c r="F9" s="12">
        <f t="shared" si="0"/>
        <v>1015032</v>
      </c>
      <c r="G9" s="12">
        <f t="shared" si="0"/>
        <v>1035402</v>
      </c>
      <c r="H9" s="12">
        <f t="shared" si="0"/>
        <v>2548958</v>
      </c>
      <c r="I9" s="12">
        <f t="shared" si="0"/>
        <v>1661280</v>
      </c>
      <c r="J9" s="12">
        <f t="shared" si="0"/>
        <v>1410395</v>
      </c>
      <c r="K9" s="12">
        <f t="shared" si="0"/>
        <v>1447049</v>
      </c>
      <c r="L9" s="12">
        <f t="shared" si="0"/>
        <v>1129081</v>
      </c>
      <c r="M9" s="12">
        <f t="shared" si="0"/>
        <v>1023496</v>
      </c>
      <c r="N9" s="12">
        <f t="shared" si="0"/>
        <v>18314334</v>
      </c>
    </row>
    <row r="10" spans="1:14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676647</v>
      </c>
      <c r="C13" s="14">
        <f>C9+C11</f>
        <v>2818883</v>
      </c>
      <c r="D13" s="14">
        <f t="shared" si="1"/>
        <v>2283546</v>
      </c>
      <c r="E13" s="14">
        <f t="shared" si="1"/>
        <v>1264565</v>
      </c>
      <c r="F13" s="14">
        <f t="shared" si="1"/>
        <v>1015032</v>
      </c>
      <c r="G13" s="14">
        <f t="shared" si="1"/>
        <v>1035402</v>
      </c>
      <c r="H13" s="14">
        <f t="shared" si="1"/>
        <v>2548958</v>
      </c>
      <c r="I13" s="14">
        <f t="shared" si="1"/>
        <v>1661280</v>
      </c>
      <c r="J13" s="14">
        <f t="shared" si="1"/>
        <v>1410395</v>
      </c>
      <c r="K13" s="14">
        <f t="shared" si="1"/>
        <v>1447049</v>
      </c>
      <c r="L13" s="14">
        <f t="shared" si="1"/>
        <v>1129081</v>
      </c>
      <c r="M13" s="14">
        <f t="shared" si="1"/>
        <v>1023496</v>
      </c>
      <c r="N13" s="14">
        <f t="shared" si="1"/>
        <v>18314334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336814</v>
      </c>
      <c r="C16" s="101">
        <v>1705870</v>
      </c>
      <c r="D16" s="101">
        <v>1205829</v>
      </c>
      <c r="E16" s="101">
        <v>476560</v>
      </c>
      <c r="F16" s="101">
        <v>394815</v>
      </c>
      <c r="G16" s="101">
        <v>329827</v>
      </c>
      <c r="H16" s="101">
        <v>1512502</v>
      </c>
      <c r="I16" s="101">
        <v>640537</v>
      </c>
      <c r="J16" s="101">
        <v>456948</v>
      </c>
      <c r="K16" s="101">
        <v>665472</v>
      </c>
      <c r="L16" s="101">
        <v>493571</v>
      </c>
      <c r="M16" s="101">
        <v>431870</v>
      </c>
      <c r="N16" s="103">
        <f>SUM(B16:M16)</f>
        <v>8650615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336814</v>
      </c>
      <c r="C20" s="12">
        <f t="shared" si="2"/>
        <v>1705870</v>
      </c>
      <c r="D20" s="12">
        <f t="shared" si="2"/>
        <v>1205829</v>
      </c>
      <c r="E20" s="12">
        <f t="shared" si="2"/>
        <v>476560</v>
      </c>
      <c r="F20" s="12">
        <f t="shared" si="2"/>
        <v>394815</v>
      </c>
      <c r="G20" s="12">
        <f t="shared" si="2"/>
        <v>329827</v>
      </c>
      <c r="H20" s="12">
        <f t="shared" si="2"/>
        <v>1512502</v>
      </c>
      <c r="I20" s="12">
        <f t="shared" si="2"/>
        <v>640537</v>
      </c>
      <c r="J20" s="12">
        <f t="shared" si="2"/>
        <v>456948</v>
      </c>
      <c r="K20" s="12">
        <f t="shared" si="2"/>
        <v>665472</v>
      </c>
      <c r="L20" s="12">
        <f t="shared" si="2"/>
        <v>493571</v>
      </c>
      <c r="M20" s="12">
        <f t="shared" si="2"/>
        <v>431870</v>
      </c>
      <c r="N20" s="12">
        <f t="shared" si="2"/>
        <v>8650615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140094</v>
      </c>
      <c r="C23" s="103">
        <f t="shared" si="3"/>
        <v>1067699</v>
      </c>
      <c r="D23" s="103">
        <f t="shared" si="3"/>
        <v>940305</v>
      </c>
      <c r="E23" s="103">
        <f t="shared" si="3"/>
        <v>742196</v>
      </c>
      <c r="F23" s="103">
        <f t="shared" si="3"/>
        <v>578215</v>
      </c>
      <c r="G23" s="103">
        <f t="shared" si="3"/>
        <v>483772</v>
      </c>
      <c r="H23" s="103">
        <f t="shared" si="3"/>
        <v>985369</v>
      </c>
      <c r="I23" s="103">
        <f t="shared" si="3"/>
        <v>895149</v>
      </c>
      <c r="J23" s="103">
        <f t="shared" si="3"/>
        <v>730168</v>
      </c>
      <c r="K23" s="103">
        <f t="shared" si="3"/>
        <v>729599</v>
      </c>
      <c r="L23" s="103">
        <f t="shared" si="3"/>
        <v>576793</v>
      </c>
      <c r="M23" s="103">
        <f t="shared" si="3"/>
        <v>306749</v>
      </c>
      <c r="N23" s="103">
        <f>SUM(B23:M23)</f>
        <v>8176108</v>
      </c>
    </row>
    <row r="24" spans="1:14" s="6" customFormat="1" hidden="1" outlineLevel="1">
      <c r="A24" s="100" t="s">
        <v>37</v>
      </c>
      <c r="B24" s="103">
        <f t="shared" si="3"/>
        <v>199739</v>
      </c>
      <c r="C24" s="103">
        <f t="shared" si="3"/>
        <v>45314</v>
      </c>
      <c r="D24" s="103">
        <f t="shared" si="3"/>
        <v>137412</v>
      </c>
      <c r="E24" s="103">
        <f t="shared" si="3"/>
        <v>45809</v>
      </c>
      <c r="F24" s="103">
        <f t="shared" si="3"/>
        <v>42002</v>
      </c>
      <c r="G24" s="103">
        <f t="shared" si="3"/>
        <v>221803</v>
      </c>
      <c r="H24" s="103">
        <f t="shared" si="3"/>
        <v>51087</v>
      </c>
      <c r="I24" s="103">
        <f t="shared" si="3"/>
        <v>125594</v>
      </c>
      <c r="J24" s="103">
        <f t="shared" si="3"/>
        <v>223279</v>
      </c>
      <c r="K24" s="103">
        <f t="shared" si="3"/>
        <v>51978</v>
      </c>
      <c r="L24" s="103">
        <f t="shared" si="3"/>
        <v>58717</v>
      </c>
      <c r="M24" s="103">
        <f t="shared" si="3"/>
        <v>284877</v>
      </c>
      <c r="N24" s="103">
        <f>SUM(B24:M24)</f>
        <v>1487611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339833</v>
      </c>
      <c r="C27" s="12">
        <f t="shared" si="4"/>
        <v>1113013</v>
      </c>
      <c r="D27" s="12">
        <f t="shared" si="4"/>
        <v>1077717</v>
      </c>
      <c r="E27" s="12">
        <f t="shared" si="4"/>
        <v>788005</v>
      </c>
      <c r="F27" s="12">
        <f t="shared" si="4"/>
        <v>620217</v>
      </c>
      <c r="G27" s="12">
        <f t="shared" si="4"/>
        <v>705575</v>
      </c>
      <c r="H27" s="12">
        <f>SUM(H23:H26)</f>
        <v>1036456</v>
      </c>
      <c r="I27" s="12">
        <f t="shared" si="4"/>
        <v>1020743</v>
      </c>
      <c r="J27" s="12">
        <f t="shared" si="4"/>
        <v>953447</v>
      </c>
      <c r="K27" s="12">
        <f t="shared" si="4"/>
        <v>781577</v>
      </c>
      <c r="L27" s="12">
        <f t="shared" si="4"/>
        <v>635510</v>
      </c>
      <c r="M27" s="12">
        <f>SUM(M23:M26)</f>
        <v>591626</v>
      </c>
      <c r="N27" s="12">
        <f t="shared" si="4"/>
        <v>9663719</v>
      </c>
    </row>
    <row r="28" spans="1:14" s="6" customFormat="1" ht="14.25" customHeight="1">
      <c r="B28" s="73">
        <f>IFERROR(+B27/B9, 0)</f>
        <v>0.50223085301493986</v>
      </c>
      <c r="C28" s="73">
        <f t="shared" ref="C28:M28" si="5">IFERROR(+C27/C9, 0)</f>
        <v>0.39484185757266266</v>
      </c>
      <c r="D28" s="73">
        <f t="shared" si="5"/>
        <v>0.47194889001579121</v>
      </c>
      <c r="E28" s="73">
        <f t="shared" si="5"/>
        <v>0.62314313617726258</v>
      </c>
      <c r="F28" s="73">
        <f t="shared" si="5"/>
        <v>0.61103196746506516</v>
      </c>
      <c r="G28" s="73">
        <f t="shared" si="5"/>
        <v>0.68145029659977474</v>
      </c>
      <c r="H28" s="73">
        <f t="shared" si="5"/>
        <v>0.40661948921873176</v>
      </c>
      <c r="I28" s="73">
        <f t="shared" si="5"/>
        <v>0.61443164307040354</v>
      </c>
      <c r="J28" s="73">
        <f t="shared" si="5"/>
        <v>0.67601416624420818</v>
      </c>
      <c r="K28" s="73">
        <f t="shared" si="5"/>
        <v>0.54011785364559184</v>
      </c>
      <c r="L28" s="73">
        <f t="shared" si="5"/>
        <v>0.56285598641727208</v>
      </c>
      <c r="M28" s="73">
        <f t="shared" si="5"/>
        <v>0.5780442717900216</v>
      </c>
      <c r="N28" s="73">
        <f t="shared" ref="N28" si="6">+N27/N9</f>
        <v>0.52765877263131711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277403</v>
      </c>
      <c r="C30" s="101">
        <v>395447.18836215389</v>
      </c>
      <c r="D30" s="101">
        <v>392469.91352215386</v>
      </c>
      <c r="E30" s="101">
        <v>445508.7024026924</v>
      </c>
      <c r="F30" s="101">
        <v>352354.01078715385</v>
      </c>
      <c r="G30" s="101">
        <v>359896.18306715385</v>
      </c>
      <c r="H30" s="101">
        <v>521253.96098961541</v>
      </c>
      <c r="I30" s="101">
        <v>411300.28455869236</v>
      </c>
      <c r="J30" s="101">
        <v>392403.38610869233</v>
      </c>
      <c r="K30" s="101">
        <v>470518.20239961543</v>
      </c>
      <c r="L30" s="101">
        <v>361457.1899586923</v>
      </c>
      <c r="M30" s="101">
        <v>309677.88845369231</v>
      </c>
      <c r="N30" s="103">
        <f>SUM(B30:M30)</f>
        <v>4689689.9106103079</v>
      </c>
    </row>
    <row r="31" spans="1:14" s="6" customFormat="1" hidden="1" outlineLevel="1">
      <c r="A31" s="100" t="s">
        <v>42</v>
      </c>
      <c r="B31" s="101">
        <v>154113</v>
      </c>
      <c r="C31" s="101">
        <v>173366.57010389538</v>
      </c>
      <c r="D31" s="101">
        <v>167093.47501049543</v>
      </c>
      <c r="E31" s="101">
        <v>194797.86961974416</v>
      </c>
      <c r="F31" s="101">
        <v>164984.83935628389</v>
      </c>
      <c r="G31" s="101">
        <v>164482.0924678685</v>
      </c>
      <c r="H31" s="101">
        <v>197799.39762897298</v>
      </c>
      <c r="I31" s="101">
        <v>168672.32326122007</v>
      </c>
      <c r="J31" s="101">
        <v>167875.54497822007</v>
      </c>
      <c r="K31" s="101">
        <v>196120.0843951499</v>
      </c>
      <c r="L31" s="101">
        <v>165873.94264382005</v>
      </c>
      <c r="M31" s="101">
        <v>166838.70938795508</v>
      </c>
      <c r="N31" s="103">
        <f>SUM(B31:M31)</f>
        <v>2082017.8488536254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431516</v>
      </c>
      <c r="C34" s="12">
        <f t="shared" si="7"/>
        <v>568813.75846604933</v>
      </c>
      <c r="D34" s="12">
        <f t="shared" si="7"/>
        <v>559563.38853264926</v>
      </c>
      <c r="E34" s="12">
        <f t="shared" si="7"/>
        <v>640306.57202243654</v>
      </c>
      <c r="F34" s="12">
        <f t="shared" si="7"/>
        <v>517338.85014343774</v>
      </c>
      <c r="G34" s="12">
        <f t="shared" si="7"/>
        <v>524378.27553502237</v>
      </c>
      <c r="H34" s="12">
        <f t="shared" si="7"/>
        <v>719053.35861858842</v>
      </c>
      <c r="I34" s="12">
        <f t="shared" si="7"/>
        <v>579972.60781991249</v>
      </c>
      <c r="J34" s="12">
        <f t="shared" si="7"/>
        <v>560278.9310869124</v>
      </c>
      <c r="K34" s="12">
        <f t="shared" si="7"/>
        <v>666638.28679476539</v>
      </c>
      <c r="L34" s="12">
        <f t="shared" si="7"/>
        <v>527331.13260251237</v>
      </c>
      <c r="M34" s="12">
        <f t="shared" si="7"/>
        <v>476516.5978416474</v>
      </c>
      <c r="N34" s="12">
        <f t="shared" si="7"/>
        <v>6771707.7594639333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699887</v>
      </c>
      <c r="C37" s="101">
        <v>1083477.0917993826</v>
      </c>
      <c r="D37" s="101">
        <v>974826.72186598263</v>
      </c>
      <c r="E37" s="101">
        <v>1019561.9053557699</v>
      </c>
      <c r="F37" s="101">
        <v>870783.18347677111</v>
      </c>
      <c r="G37" s="108">
        <v>898499.60886835575</v>
      </c>
      <c r="H37" s="108">
        <v>1068267.6919519217</v>
      </c>
      <c r="I37" s="108">
        <v>1012375.9411532459</v>
      </c>
      <c r="J37" s="108">
        <v>916858.26442024577</v>
      </c>
      <c r="K37" s="108">
        <v>1045019.6201280988</v>
      </c>
      <c r="L37" s="101">
        <v>879113.46593584574</v>
      </c>
      <c r="M37" s="101">
        <v>781957.93117498083</v>
      </c>
      <c r="N37" s="103">
        <f>SUM(B37:M37)</f>
        <v>11250628.4261306</v>
      </c>
    </row>
    <row r="38" spans="1:14" s="6" customFormat="1" ht="12.75" hidden="1" customHeight="1" outlineLevel="1">
      <c r="A38" s="6" t="s">
        <v>46</v>
      </c>
      <c r="B38" s="7">
        <f>-B34</f>
        <v>-431516</v>
      </c>
      <c r="C38" s="7">
        <f t="shared" ref="C38:M38" si="8">-C34</f>
        <v>-568813.75846604933</v>
      </c>
      <c r="D38" s="7">
        <f t="shared" si="8"/>
        <v>-559563.38853264926</v>
      </c>
      <c r="E38" s="7">
        <f t="shared" si="8"/>
        <v>-640306.57202243654</v>
      </c>
      <c r="F38" s="7">
        <f t="shared" si="8"/>
        <v>-517338.85014343774</v>
      </c>
      <c r="G38" s="7">
        <f t="shared" si="8"/>
        <v>-524378.27553502237</v>
      </c>
      <c r="H38" s="7">
        <f>-H34</f>
        <v>-719053.35861858842</v>
      </c>
      <c r="I38" s="7">
        <f t="shared" si="8"/>
        <v>-579972.60781991249</v>
      </c>
      <c r="J38" s="7">
        <f t="shared" si="8"/>
        <v>-560278.9310869124</v>
      </c>
      <c r="K38" s="7">
        <f t="shared" si="8"/>
        <v>-666638.28679476539</v>
      </c>
      <c r="L38" s="7">
        <f t="shared" si="8"/>
        <v>-527331.13260251237</v>
      </c>
      <c r="M38" s="7">
        <f t="shared" si="8"/>
        <v>-476516.5978416474</v>
      </c>
      <c r="N38" s="7">
        <f>SUM(B38:M38)</f>
        <v>-6771707.7594639333</v>
      </c>
    </row>
    <row r="39" spans="1:14" s="6" customFormat="1" ht="12.75" hidden="1" customHeight="1" outlineLevel="1">
      <c r="A39" s="100" t="s">
        <v>47</v>
      </c>
      <c r="B39" s="109">
        <v>-77387</v>
      </c>
      <c r="C39" s="109">
        <v>-78384</v>
      </c>
      <c r="D39" s="109">
        <v>-78384</v>
      </c>
      <c r="E39" s="109">
        <v>-77256</v>
      </c>
      <c r="F39" s="109">
        <v>-77087</v>
      </c>
      <c r="G39" s="109">
        <v>-77087</v>
      </c>
      <c r="H39" s="109">
        <v>-77087</v>
      </c>
      <c r="I39" s="109">
        <v>-77087</v>
      </c>
      <c r="J39" s="109">
        <v>-77087</v>
      </c>
      <c r="K39" s="109">
        <v>-77087</v>
      </c>
      <c r="L39" s="109">
        <v>-77087</v>
      </c>
      <c r="M39" s="109">
        <v>-74530</v>
      </c>
      <c r="N39" s="103">
        <f>SUM(B39:M39)</f>
        <v>-925550</v>
      </c>
    </row>
    <row r="40" spans="1:14" s="6" customFormat="1" ht="12.75" hidden="1" customHeight="1" outlineLevel="1">
      <c r="A40" s="100" t="s">
        <v>124</v>
      </c>
      <c r="B40" s="101">
        <v>-7607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03">
        <f>SUM(B40:M40)</f>
        <v>-85340</v>
      </c>
    </row>
    <row r="41" spans="1:14" s="6" customFormat="1" ht="12.75" hidden="1" customHeight="1" outlineLevel="1">
      <c r="A41" s="100" t="s">
        <v>48</v>
      </c>
      <c r="B41" s="110">
        <v>-3350</v>
      </c>
      <c r="C41" s="101">
        <v>-4350</v>
      </c>
      <c r="D41" s="101">
        <v>-4350</v>
      </c>
      <c r="E41" s="101">
        <v>-4350</v>
      </c>
      <c r="F41" s="101">
        <v>-4350</v>
      </c>
      <c r="G41" s="101">
        <v>-9350</v>
      </c>
      <c r="H41" s="101">
        <v>-4350</v>
      </c>
      <c r="I41" s="101">
        <v>-4350</v>
      </c>
      <c r="J41" s="101">
        <v>-4350</v>
      </c>
      <c r="K41" s="101">
        <v>-4350</v>
      </c>
      <c r="L41" s="101">
        <v>-4350</v>
      </c>
      <c r="M41" s="101">
        <v>-47350</v>
      </c>
      <c r="N41" s="104">
        <f>SUM(B41:M41)</f>
        <v>-99200</v>
      </c>
    </row>
    <row r="42" spans="1:14" s="6" customFormat="1" collapsed="1">
      <c r="A42" s="13" t="s">
        <v>49</v>
      </c>
      <c r="B42" s="12">
        <f t="shared" ref="B42:N42" si="9">SUM(B37:B41)</f>
        <v>180027</v>
      </c>
      <c r="C42" s="12">
        <f t="shared" si="9"/>
        <v>424322.33333333326</v>
      </c>
      <c r="D42" s="12">
        <f t="shared" si="9"/>
        <v>324922.33333333337</v>
      </c>
      <c r="E42" s="12">
        <f t="shared" si="9"/>
        <v>290427.33333333337</v>
      </c>
      <c r="F42" s="12">
        <f t="shared" si="9"/>
        <v>264785.33333333337</v>
      </c>
      <c r="G42" s="12">
        <f t="shared" si="9"/>
        <v>280545.33333333337</v>
      </c>
      <c r="H42" s="12">
        <f t="shared" si="9"/>
        <v>260638.33333333326</v>
      </c>
      <c r="I42" s="12">
        <f t="shared" si="9"/>
        <v>344098.33333333337</v>
      </c>
      <c r="J42" s="12">
        <f t="shared" si="9"/>
        <v>268274.33333333337</v>
      </c>
      <c r="K42" s="12">
        <f t="shared" si="9"/>
        <v>290076.33333333337</v>
      </c>
      <c r="L42" s="12">
        <f t="shared" si="9"/>
        <v>263580.33333333337</v>
      </c>
      <c r="M42" s="12">
        <f t="shared" si="9"/>
        <v>177133.33333333343</v>
      </c>
      <c r="N42" s="12">
        <f t="shared" si="9"/>
        <v>3368830.666666667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01">
        <v>234703</v>
      </c>
      <c r="C44" s="111">
        <v>230113</v>
      </c>
      <c r="D44" s="111">
        <v>245116</v>
      </c>
      <c r="E44" s="111">
        <v>306356</v>
      </c>
      <c r="F44" s="111">
        <v>272716</v>
      </c>
      <c r="G44" s="111">
        <v>246984</v>
      </c>
      <c r="H44" s="111">
        <v>294902</v>
      </c>
      <c r="I44" s="111">
        <v>245422</v>
      </c>
      <c r="J44" s="111">
        <v>271223</v>
      </c>
      <c r="K44" s="111">
        <v>309803</v>
      </c>
      <c r="L44" s="111">
        <v>249099</v>
      </c>
      <c r="M44" s="111">
        <v>-130463</v>
      </c>
      <c r="N44" s="102">
        <f>SUM(B44:M44)</f>
        <v>2775974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234703</v>
      </c>
      <c r="C46" s="12">
        <f>SUM(C44:C45)</f>
        <v>230113</v>
      </c>
      <c r="D46" s="12">
        <f t="shared" ref="D46:N46" si="10">SUM(D44:D45)</f>
        <v>245116</v>
      </c>
      <c r="E46" s="12">
        <f t="shared" si="10"/>
        <v>306356</v>
      </c>
      <c r="F46" s="12">
        <f t="shared" si="10"/>
        <v>272716</v>
      </c>
      <c r="G46" s="12">
        <f t="shared" si="10"/>
        <v>246984</v>
      </c>
      <c r="H46" s="12">
        <f t="shared" si="10"/>
        <v>294902</v>
      </c>
      <c r="I46" s="12">
        <f t="shared" si="10"/>
        <v>245422</v>
      </c>
      <c r="J46" s="12">
        <f t="shared" si="10"/>
        <v>271223</v>
      </c>
      <c r="K46" s="12">
        <f t="shared" si="10"/>
        <v>309803</v>
      </c>
      <c r="L46" s="12">
        <f t="shared" si="10"/>
        <v>249099</v>
      </c>
      <c r="M46" s="12">
        <f t="shared" si="10"/>
        <v>-130463</v>
      </c>
      <c r="N46" s="12">
        <f t="shared" si="10"/>
        <v>2775974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1183060</v>
      </c>
      <c r="C48" s="19">
        <f t="shared" si="11"/>
        <v>2929119.0917993821</v>
      </c>
      <c r="D48" s="19">
        <f t="shared" si="11"/>
        <v>2335430.7218659827</v>
      </c>
      <c r="E48" s="19">
        <f t="shared" si="11"/>
        <v>1713649.9053557701</v>
      </c>
      <c r="F48" s="19">
        <f>+F20+F34+F42+F46</f>
        <v>1449655.1834767712</v>
      </c>
      <c r="G48" s="19">
        <f t="shared" si="11"/>
        <v>1381734.6088683559</v>
      </c>
      <c r="H48" s="19">
        <f t="shared" si="11"/>
        <v>2787095.6919519212</v>
      </c>
      <c r="I48" s="19">
        <f t="shared" si="11"/>
        <v>1810029.941153246</v>
      </c>
      <c r="J48" s="19">
        <f t="shared" si="11"/>
        <v>1556724.2644202458</v>
      </c>
      <c r="K48" s="19">
        <f t="shared" si="11"/>
        <v>1931989.6201280989</v>
      </c>
      <c r="L48" s="19">
        <f t="shared" si="11"/>
        <v>1533581.4659358459</v>
      </c>
      <c r="M48" s="19">
        <f t="shared" si="11"/>
        <v>955056.93117498094</v>
      </c>
      <c r="N48" s="19">
        <f t="shared" si="11"/>
        <v>21567127.4261306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-506413</v>
      </c>
      <c r="C50" s="12">
        <f t="shared" si="12"/>
        <v>-110236.09179938212</v>
      </c>
      <c r="D50" s="12">
        <f t="shared" si="12"/>
        <v>-51884.721865982749</v>
      </c>
      <c r="E50" s="12">
        <f t="shared" si="12"/>
        <v>-449084.90535577014</v>
      </c>
      <c r="F50" s="12">
        <f>+F13-F48</f>
        <v>-434623.18347677123</v>
      </c>
      <c r="G50" s="12">
        <f t="shared" si="12"/>
        <v>-346332.60886835586</v>
      </c>
      <c r="H50" s="12">
        <f>+H13-H48</f>
        <v>-238137.69195192121</v>
      </c>
      <c r="I50" s="12">
        <f t="shared" si="12"/>
        <v>-148749.94115324598</v>
      </c>
      <c r="J50" s="12">
        <f t="shared" si="12"/>
        <v>-146329.26442024577</v>
      </c>
      <c r="K50" s="12">
        <f t="shared" si="12"/>
        <v>-484940.62012809888</v>
      </c>
      <c r="L50" s="12">
        <f t="shared" si="12"/>
        <v>-404500.46593584586</v>
      </c>
      <c r="M50" s="12">
        <f t="shared" si="12"/>
        <v>68439.068825019058</v>
      </c>
      <c r="N50" s="12">
        <f>SUM(B50:M50)</f>
        <v>-3252793.4261306007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7040</v>
      </c>
      <c r="C53" s="10">
        <v>11000</v>
      </c>
      <c r="D53" s="10">
        <v>0</v>
      </c>
      <c r="E53" s="10">
        <v>0</v>
      </c>
      <c r="F53" s="10">
        <v>33980</v>
      </c>
      <c r="G53" s="10">
        <v>37000</v>
      </c>
      <c r="H53" s="23">
        <v>20000</v>
      </c>
      <c r="I53" s="10">
        <v>71000</v>
      </c>
      <c r="J53" s="10">
        <v>0</v>
      </c>
      <c r="K53" s="10">
        <v>0</v>
      </c>
      <c r="L53" s="10">
        <v>0</v>
      </c>
      <c r="M53" s="10">
        <v>261000</v>
      </c>
      <c r="N53" s="10">
        <f>SUM(B53:M53)</f>
        <v>441020</v>
      </c>
      <c r="U53" s="40"/>
    </row>
    <row r="54" spans="1:21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</row>
    <row r="55" spans="1:21" s="6" customFormat="1">
      <c r="A55" s="6" t="s">
        <v>111</v>
      </c>
      <c r="B55" s="10">
        <v>380402</v>
      </c>
      <c r="C55" s="10"/>
      <c r="D55" s="10"/>
      <c r="E55" s="10"/>
      <c r="F55" s="10"/>
      <c r="G55" s="10"/>
      <c r="H55" s="10">
        <v>500000</v>
      </c>
      <c r="I55" s="10"/>
      <c r="J55" s="10"/>
      <c r="K55" s="10"/>
      <c r="L55" s="10"/>
      <c r="M55" s="10"/>
      <c r="N55" s="10">
        <f>SUM(B55:M55)</f>
        <v>880402</v>
      </c>
    </row>
    <row r="56" spans="1:21" s="6" customFormat="1">
      <c r="A56" s="37" t="s">
        <v>58</v>
      </c>
      <c r="B56" s="7">
        <v>-19539</v>
      </c>
      <c r="C56" s="7">
        <v>-15000</v>
      </c>
      <c r="D56" s="7">
        <v>-15000</v>
      </c>
      <c r="E56" s="7">
        <v>-15000</v>
      </c>
      <c r="F56" s="7">
        <v>-15000</v>
      </c>
      <c r="G56" s="7">
        <v>-15000</v>
      </c>
      <c r="H56" s="7">
        <v>-15000</v>
      </c>
      <c r="I56" s="7">
        <v>-15000</v>
      </c>
      <c r="J56" s="7">
        <v>-15000</v>
      </c>
      <c r="K56" s="7">
        <v>-15000</v>
      </c>
      <c r="L56" s="7">
        <v>-15000</v>
      </c>
      <c r="M56" s="7">
        <v>-15000</v>
      </c>
      <c r="N56" s="7">
        <f>SUM(B56:M56)</f>
        <v>-184539</v>
      </c>
    </row>
    <row r="57" spans="1:21" s="6" customFormat="1">
      <c r="A57" s="6" t="s">
        <v>134</v>
      </c>
      <c r="B57" s="22">
        <v>-463884</v>
      </c>
      <c r="C57" s="7">
        <v>-15000</v>
      </c>
      <c r="D57" s="7">
        <v>-15000</v>
      </c>
      <c r="E57" s="7">
        <v>-15000</v>
      </c>
      <c r="F57" s="7">
        <v>-15000</v>
      </c>
      <c r="G57" s="7">
        <v>-15000</v>
      </c>
      <c r="H57" s="7">
        <v>-15000</v>
      </c>
      <c r="I57" s="7">
        <v>-15000</v>
      </c>
      <c r="J57" s="7">
        <v>-15000</v>
      </c>
      <c r="K57" s="7">
        <v>-15000</v>
      </c>
      <c r="L57" s="7">
        <v>-15000</v>
      </c>
      <c r="M57" s="7">
        <v>-15000</v>
      </c>
      <c r="N57" s="22">
        <f>SUM(B57:M57)</f>
        <v>-628884</v>
      </c>
    </row>
    <row r="58" spans="1:21" s="6" customFormat="1">
      <c r="A58" s="13" t="s">
        <v>60</v>
      </c>
      <c r="B58" s="19">
        <f t="shared" ref="B58:N58" si="13">SUM(B53:B57)</f>
        <v>-95981</v>
      </c>
      <c r="C58" s="19">
        <f t="shared" si="13"/>
        <v>-19000</v>
      </c>
      <c r="D58" s="19">
        <f t="shared" si="13"/>
        <v>-30000</v>
      </c>
      <c r="E58" s="19">
        <f t="shared" si="13"/>
        <v>-30000</v>
      </c>
      <c r="F58" s="19">
        <f t="shared" si="13"/>
        <v>98980</v>
      </c>
      <c r="G58" s="19">
        <f t="shared" si="13"/>
        <v>7000</v>
      </c>
      <c r="H58" s="19">
        <f>SUM(H53:H57)</f>
        <v>490000</v>
      </c>
      <c r="I58" s="19">
        <f t="shared" si="13"/>
        <v>41000</v>
      </c>
      <c r="J58" s="19">
        <f t="shared" si="13"/>
        <v>-30000</v>
      </c>
      <c r="K58" s="19">
        <f t="shared" si="13"/>
        <v>-30000</v>
      </c>
      <c r="L58" s="19">
        <f t="shared" si="13"/>
        <v>-30000</v>
      </c>
      <c r="M58" s="19">
        <f t="shared" si="13"/>
        <v>231000</v>
      </c>
      <c r="N58" s="19">
        <f t="shared" si="13"/>
        <v>602999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15210291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4">+B58+B48</f>
        <v>1087079</v>
      </c>
      <c r="C61" s="19">
        <f t="shared" si="14"/>
        <v>2910119.0917993821</v>
      </c>
      <c r="D61" s="19">
        <f t="shared" si="14"/>
        <v>2305430.7218659827</v>
      </c>
      <c r="E61" s="19">
        <f t="shared" si="14"/>
        <v>1683649.9053557701</v>
      </c>
      <c r="F61" s="19">
        <f>+F58+F48</f>
        <v>1548635.1834767712</v>
      </c>
      <c r="G61" s="19">
        <f t="shared" si="14"/>
        <v>1388734.6088683559</v>
      </c>
      <c r="H61" s="19">
        <f t="shared" si="14"/>
        <v>3277095.6919519212</v>
      </c>
      <c r="I61" s="19">
        <f t="shared" si="14"/>
        <v>1851029.941153246</v>
      </c>
      <c r="J61" s="19">
        <f t="shared" si="14"/>
        <v>1526724.2644202458</v>
      </c>
      <c r="K61" s="19">
        <f t="shared" si="14"/>
        <v>1901989.6201280989</v>
      </c>
      <c r="L61" s="19">
        <f t="shared" si="14"/>
        <v>1503581.4659358459</v>
      </c>
      <c r="M61" s="19">
        <f t="shared" si="14"/>
        <v>1186056.9311749809</v>
      </c>
      <c r="N61" s="19">
        <f t="shared" si="14"/>
        <v>22170126.4261306</v>
      </c>
    </row>
    <row r="62" spans="1:21" ht="13.5" thickBot="1">
      <c r="A62" s="13" t="s">
        <v>63</v>
      </c>
      <c r="B62" s="14">
        <f t="shared" ref="B62:N62" si="15">+B13-B61</f>
        <v>-410432</v>
      </c>
      <c r="C62" s="14">
        <f t="shared" si="15"/>
        <v>-91236.09179938212</v>
      </c>
      <c r="D62" s="14">
        <f t="shared" si="15"/>
        <v>-21884.721865982749</v>
      </c>
      <c r="E62" s="14">
        <f t="shared" si="15"/>
        <v>-419084.90535577014</v>
      </c>
      <c r="F62" s="14">
        <f>+F13-F61</f>
        <v>-533603.18347677123</v>
      </c>
      <c r="G62" s="14">
        <f t="shared" si="15"/>
        <v>-353332.60886835586</v>
      </c>
      <c r="H62" s="14">
        <f t="shared" si="15"/>
        <v>-728137.69195192121</v>
      </c>
      <c r="I62" s="14">
        <f t="shared" si="15"/>
        <v>-189749.94115324598</v>
      </c>
      <c r="J62" s="14">
        <f t="shared" si="15"/>
        <v>-116329.26442024577</v>
      </c>
      <c r="K62" s="14">
        <f t="shared" si="15"/>
        <v>-454940.62012809888</v>
      </c>
      <c r="L62" s="14">
        <f t="shared" si="15"/>
        <v>-374500.46593584586</v>
      </c>
      <c r="M62" s="14">
        <f t="shared" si="15"/>
        <v>-162560.93117498094</v>
      </c>
      <c r="N62" s="14">
        <f t="shared" si="15"/>
        <v>-3855792.4261306003</v>
      </c>
    </row>
    <row r="63" spans="1:21" s="6" customFormat="1" ht="13.5" thickTop="1">
      <c r="A63" s="13" t="s">
        <v>64</v>
      </c>
      <c r="B63" s="12">
        <f>+B62</f>
        <v>-410432</v>
      </c>
      <c r="C63" s="12">
        <f t="shared" ref="C63:M63" si="16">B63+C62</f>
        <v>-501668.09179938212</v>
      </c>
      <c r="D63" s="12">
        <f t="shared" si="16"/>
        <v>-523552.81366536487</v>
      </c>
      <c r="E63" s="12">
        <f t="shared" si="16"/>
        <v>-942637.71902113501</v>
      </c>
      <c r="F63" s="12">
        <f t="shared" si="16"/>
        <v>-1476240.9024979062</v>
      </c>
      <c r="G63" s="12">
        <f t="shared" si="16"/>
        <v>-1829573.5113662621</v>
      </c>
      <c r="H63" s="12">
        <f t="shared" si="16"/>
        <v>-2557711.2033181833</v>
      </c>
      <c r="I63" s="12">
        <f>H63+I62</f>
        <v>-2747461.1444714293</v>
      </c>
      <c r="J63" s="12">
        <f t="shared" si="16"/>
        <v>-2863790.4088916751</v>
      </c>
      <c r="K63" s="12">
        <f t="shared" si="16"/>
        <v>-3318731.0290197739</v>
      </c>
      <c r="L63" s="12">
        <f t="shared" si="16"/>
        <v>-3693231.4949556198</v>
      </c>
      <c r="M63" s="12">
        <f t="shared" si="16"/>
        <v>-3855792.4261306007</v>
      </c>
      <c r="N63" s="12"/>
    </row>
    <row r="64" spans="1:21">
      <c r="A64" s="13" t="s">
        <v>65</v>
      </c>
      <c r="B64" s="12">
        <f t="shared" ref="B64:M64" si="17">+$B$60+B63</f>
        <v>14799859</v>
      </c>
      <c r="C64" s="12">
        <f t="shared" si="17"/>
        <v>14708622.908200618</v>
      </c>
      <c r="D64" s="12">
        <f t="shared" si="17"/>
        <v>14686738.186334636</v>
      </c>
      <c r="E64" s="12">
        <f t="shared" si="17"/>
        <v>14267653.280978866</v>
      </c>
      <c r="F64" s="12">
        <f>+$B$60+F63</f>
        <v>13734050.097502094</v>
      </c>
      <c r="G64" s="12">
        <f t="shared" si="17"/>
        <v>13380717.488633737</v>
      </c>
      <c r="H64" s="12">
        <f t="shared" si="17"/>
        <v>12652579.796681818</v>
      </c>
      <c r="I64" s="12">
        <f t="shared" si="17"/>
        <v>12462829.855528571</v>
      </c>
      <c r="J64" s="12">
        <f t="shared" si="17"/>
        <v>12346500.591108326</v>
      </c>
      <c r="K64" s="12">
        <f t="shared" si="17"/>
        <v>11891559.970980227</v>
      </c>
      <c r="L64" s="12">
        <f t="shared" si="17"/>
        <v>11517059.50504438</v>
      </c>
      <c r="M64" s="12">
        <f t="shared" si="17"/>
        <v>11354498.5738694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141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-1206184.54570327</v>
      </c>
      <c r="C67" s="30">
        <v>-91236.09179938212</v>
      </c>
      <c r="D67" s="30">
        <v>-21884.721865982749</v>
      </c>
      <c r="E67" s="30">
        <v>-419084.90535577014</v>
      </c>
      <c r="F67" s="30">
        <v>-533603.18347677123</v>
      </c>
      <c r="G67" s="30">
        <v>-353332.60886835586</v>
      </c>
      <c r="H67" s="30">
        <v>-728137.69195192121</v>
      </c>
      <c r="I67" s="30">
        <v>-189749.94115324598</v>
      </c>
      <c r="J67" s="30">
        <v>-116329.26442024577</v>
      </c>
      <c r="K67" s="30">
        <v>-454940.62012809888</v>
      </c>
      <c r="L67" s="30">
        <v>-374500.46593584586</v>
      </c>
      <c r="M67" s="30">
        <v>-162560.93117498094</v>
      </c>
      <c r="N67" s="124"/>
    </row>
    <row r="68" spans="1:14" ht="13.5" thickTop="1">
      <c r="A68" s="115" t="s">
        <v>64</v>
      </c>
      <c r="B68" s="31">
        <f>+B67</f>
        <v>-1206184.54570327</v>
      </c>
      <c r="C68" s="31">
        <f t="shared" ref="C68:M68" si="18">+B68+C67</f>
        <v>-1297420.6375026521</v>
      </c>
      <c r="D68" s="31">
        <f t="shared" si="18"/>
        <v>-1319305.3593686349</v>
      </c>
      <c r="E68" s="31">
        <f t="shared" si="18"/>
        <v>-1738390.264724405</v>
      </c>
      <c r="F68" s="31">
        <f t="shared" si="18"/>
        <v>-2271993.4482011762</v>
      </c>
      <c r="G68" s="31">
        <f t="shared" si="18"/>
        <v>-2625326.0570695321</v>
      </c>
      <c r="H68" s="31">
        <f t="shared" si="18"/>
        <v>-3353463.7490214533</v>
      </c>
      <c r="I68" s="31">
        <f t="shared" si="18"/>
        <v>-3543213.6901746993</v>
      </c>
      <c r="J68" s="31">
        <f t="shared" si="18"/>
        <v>-3659542.9545949451</v>
      </c>
      <c r="K68" s="31">
        <f t="shared" si="18"/>
        <v>-4114483.5747230439</v>
      </c>
      <c r="L68" s="31">
        <f t="shared" si="18"/>
        <v>-4488984.0406588893</v>
      </c>
      <c r="M68" s="31">
        <f t="shared" si="18"/>
        <v>-4651544.9718338698</v>
      </c>
      <c r="N68" s="125"/>
    </row>
    <row r="69" spans="1:14">
      <c r="A69" s="115" t="s">
        <v>65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M74" si="19">+B62-B67</f>
        <v>795752.54570327001</v>
      </c>
      <c r="C72" s="31">
        <f t="shared" si="19"/>
        <v>0</v>
      </c>
      <c r="D72" s="31">
        <f t="shared" si="19"/>
        <v>0</v>
      </c>
      <c r="E72" s="31">
        <f t="shared" si="19"/>
        <v>0</v>
      </c>
      <c r="F72" s="31">
        <f t="shared" si="19"/>
        <v>0</v>
      </c>
      <c r="G72" s="31">
        <f t="shared" si="19"/>
        <v>0</v>
      </c>
      <c r="H72" s="31">
        <f t="shared" si="19"/>
        <v>0</v>
      </c>
      <c r="I72" s="31">
        <f t="shared" si="19"/>
        <v>0</v>
      </c>
      <c r="J72" s="31">
        <f t="shared" si="19"/>
        <v>0</v>
      </c>
      <c r="K72" s="31">
        <f t="shared" si="19"/>
        <v>0</v>
      </c>
      <c r="L72" s="31">
        <f t="shared" si="19"/>
        <v>0</v>
      </c>
      <c r="M72" s="31">
        <f t="shared" si="19"/>
        <v>0</v>
      </c>
      <c r="N72" s="125"/>
    </row>
    <row r="73" spans="1:14" s="6" customFormat="1">
      <c r="A73" s="115" t="s">
        <v>64</v>
      </c>
      <c r="B73" s="31">
        <f t="shared" si="19"/>
        <v>795752.54570327001</v>
      </c>
      <c r="C73" s="31">
        <f t="shared" si="19"/>
        <v>795752.54570327001</v>
      </c>
      <c r="D73" s="31">
        <f t="shared" si="19"/>
        <v>795752.54570327001</v>
      </c>
      <c r="E73" s="31">
        <f t="shared" si="19"/>
        <v>795752.54570327001</v>
      </c>
      <c r="F73" s="31">
        <f t="shared" si="19"/>
        <v>795752.54570327001</v>
      </c>
      <c r="G73" s="31">
        <f t="shared" si="19"/>
        <v>795752.54570327001</v>
      </c>
      <c r="H73" s="31">
        <f t="shared" si="19"/>
        <v>795752.54570327001</v>
      </c>
      <c r="I73" s="31">
        <f t="shared" si="19"/>
        <v>795752.54570327001</v>
      </c>
      <c r="J73" s="31">
        <f t="shared" si="19"/>
        <v>795752.54570327001</v>
      </c>
      <c r="K73" s="31">
        <f t="shared" si="19"/>
        <v>795752.54570327001</v>
      </c>
      <c r="L73" s="31">
        <f t="shared" si="19"/>
        <v>795752.54570326954</v>
      </c>
      <c r="M73" s="31">
        <f t="shared" si="19"/>
        <v>795752.54570326908</v>
      </c>
      <c r="N73" s="125">
        <f>+N63-N68</f>
        <v>0</v>
      </c>
    </row>
    <row r="74" spans="1:14">
      <c r="A74" s="121" t="s">
        <v>65</v>
      </c>
      <c r="B74" s="122">
        <f t="shared" si="19"/>
        <v>14799859</v>
      </c>
      <c r="C74" s="122">
        <f t="shared" si="19"/>
        <v>14708622.908200618</v>
      </c>
      <c r="D74" s="122">
        <f t="shared" si="19"/>
        <v>14686738.186334636</v>
      </c>
      <c r="E74" s="122">
        <f t="shared" si="19"/>
        <v>14267653.280978866</v>
      </c>
      <c r="F74" s="122">
        <f t="shared" si="19"/>
        <v>13734050.097502094</v>
      </c>
      <c r="G74" s="122">
        <f t="shared" si="19"/>
        <v>13380717.488633737</v>
      </c>
      <c r="H74" s="122">
        <f t="shared" si="19"/>
        <v>12652579.796681818</v>
      </c>
      <c r="I74" s="122">
        <f t="shared" si="19"/>
        <v>12462829.855528571</v>
      </c>
      <c r="J74" s="122">
        <f t="shared" si="19"/>
        <v>12346500.591108326</v>
      </c>
      <c r="K74" s="122">
        <f t="shared" si="19"/>
        <v>11891559.970980227</v>
      </c>
      <c r="L74" s="122">
        <f t="shared" si="19"/>
        <v>11517059.50504438</v>
      </c>
      <c r="M74" s="122">
        <f t="shared" si="19"/>
        <v>11354498.5738694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92D050"/>
    <pageSetUpPr fitToPage="1"/>
  </sheetPr>
  <dimension ref="A1:U85"/>
  <sheetViews>
    <sheetView showGridLines="0" zoomScaleNormal="100" workbookViewId="0">
      <selection activeCell="J69" sqref="J69"/>
    </sheetView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2.28515625" style="6" bestFit="1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140</v>
      </c>
      <c r="E1" s="6"/>
      <c r="F1" s="6"/>
      <c r="J1" s="6"/>
      <c r="K1" s="6"/>
      <c r="N1" s="3"/>
    </row>
    <row r="2" spans="1:14">
      <c r="B2" s="92" t="s">
        <v>76</v>
      </c>
      <c r="C2" s="92" t="s">
        <v>76</v>
      </c>
      <c r="D2" s="92" t="s">
        <v>76</v>
      </c>
      <c r="E2" s="92" t="s">
        <v>76</v>
      </c>
      <c r="F2" s="92" t="s">
        <v>76</v>
      </c>
      <c r="G2" s="92" t="s">
        <v>76</v>
      </c>
      <c r="H2" s="92" t="s">
        <v>76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44013</v>
      </c>
      <c r="C3" s="95">
        <v>44044</v>
      </c>
      <c r="D3" s="95">
        <v>44075</v>
      </c>
      <c r="E3" s="94">
        <v>44105</v>
      </c>
      <c r="F3" s="94">
        <v>44136</v>
      </c>
      <c r="G3" s="95">
        <v>44166</v>
      </c>
      <c r="H3" s="94">
        <v>44197</v>
      </c>
      <c r="I3" s="94">
        <v>44228</v>
      </c>
      <c r="J3" s="94">
        <v>44256</v>
      </c>
      <c r="K3" s="94">
        <v>44287</v>
      </c>
      <c r="L3" s="94">
        <v>44317</v>
      </c>
      <c r="M3" s="94">
        <v>44348</v>
      </c>
      <c r="N3" s="94" t="s">
        <v>139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690357</v>
      </c>
      <c r="C5" s="101">
        <v>2773569</v>
      </c>
      <c r="D5" s="101">
        <v>2146134</v>
      </c>
      <c r="E5" s="101">
        <v>1218756</v>
      </c>
      <c r="F5" s="101">
        <v>973030</v>
      </c>
      <c r="G5" s="101">
        <v>813599</v>
      </c>
      <c r="H5" s="101">
        <v>2497871</v>
      </c>
      <c r="I5" s="101">
        <v>1535686</v>
      </c>
      <c r="J5" s="101">
        <v>1187116</v>
      </c>
      <c r="K5" s="101">
        <v>1395071</v>
      </c>
      <c r="L5" s="101">
        <v>1070364</v>
      </c>
      <c r="M5" s="101">
        <v>738619</v>
      </c>
      <c r="N5" s="102">
        <f>SUM(B5:M5)</f>
        <v>17040172</v>
      </c>
    </row>
    <row r="6" spans="1:14" s="6" customFormat="1" ht="12.75" hidden="1" customHeight="1" outlineLevel="1">
      <c r="A6" s="100" t="s">
        <v>29</v>
      </c>
      <c r="B6" s="101">
        <v>37076</v>
      </c>
      <c r="C6" s="101">
        <v>45314</v>
      </c>
      <c r="D6" s="101">
        <v>137412</v>
      </c>
      <c r="E6" s="101">
        <v>45809</v>
      </c>
      <c r="F6" s="101">
        <v>42002</v>
      </c>
      <c r="G6" s="101">
        <v>221803</v>
      </c>
      <c r="H6" s="101">
        <v>51087</v>
      </c>
      <c r="I6" s="101">
        <v>125594</v>
      </c>
      <c r="J6" s="101">
        <v>223279</v>
      </c>
      <c r="K6" s="101">
        <v>51978</v>
      </c>
      <c r="L6" s="101">
        <v>58717</v>
      </c>
      <c r="M6" s="101">
        <v>284877</v>
      </c>
      <c r="N6" s="103">
        <f>SUM(B6:M6)</f>
        <v>1324948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727433</v>
      </c>
      <c r="C9" s="12">
        <f t="shared" si="0"/>
        <v>2818883</v>
      </c>
      <c r="D9" s="12">
        <f t="shared" si="0"/>
        <v>2283546</v>
      </c>
      <c r="E9" s="12">
        <f t="shared" si="0"/>
        <v>1264565</v>
      </c>
      <c r="F9" s="12">
        <f t="shared" si="0"/>
        <v>1015032</v>
      </c>
      <c r="G9" s="12">
        <f t="shared" si="0"/>
        <v>1035402</v>
      </c>
      <c r="H9" s="12">
        <f t="shared" si="0"/>
        <v>2548958</v>
      </c>
      <c r="I9" s="12">
        <f t="shared" si="0"/>
        <v>1661280</v>
      </c>
      <c r="J9" s="12">
        <f t="shared" si="0"/>
        <v>1410395</v>
      </c>
      <c r="K9" s="12">
        <f t="shared" si="0"/>
        <v>1447049</v>
      </c>
      <c r="L9" s="12">
        <f t="shared" si="0"/>
        <v>1129081</v>
      </c>
      <c r="M9" s="12">
        <f t="shared" si="0"/>
        <v>1023496</v>
      </c>
      <c r="N9" s="12">
        <f t="shared" si="0"/>
        <v>18365120</v>
      </c>
    </row>
    <row r="10" spans="1:14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727433</v>
      </c>
      <c r="C13" s="14">
        <f>C9+C11</f>
        <v>2818883</v>
      </c>
      <c r="D13" s="14">
        <f t="shared" si="1"/>
        <v>2283546</v>
      </c>
      <c r="E13" s="14">
        <f t="shared" si="1"/>
        <v>1264565</v>
      </c>
      <c r="F13" s="14">
        <f t="shared" si="1"/>
        <v>1015032</v>
      </c>
      <c r="G13" s="14">
        <f t="shared" si="1"/>
        <v>1035402</v>
      </c>
      <c r="H13" s="14">
        <f t="shared" si="1"/>
        <v>2548958</v>
      </c>
      <c r="I13" s="14">
        <f t="shared" si="1"/>
        <v>1661280</v>
      </c>
      <c r="J13" s="14">
        <f t="shared" si="1"/>
        <v>1410395</v>
      </c>
      <c r="K13" s="14">
        <f t="shared" si="1"/>
        <v>1447049</v>
      </c>
      <c r="L13" s="14">
        <f t="shared" si="1"/>
        <v>1129081</v>
      </c>
      <c r="M13" s="14">
        <f t="shared" si="1"/>
        <v>1023496</v>
      </c>
      <c r="N13" s="14">
        <f t="shared" si="1"/>
        <v>18365120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416459</v>
      </c>
      <c r="C16" s="101">
        <v>1705870</v>
      </c>
      <c r="D16" s="101">
        <v>1205829</v>
      </c>
      <c r="E16" s="101">
        <v>476560</v>
      </c>
      <c r="F16" s="101">
        <v>394815</v>
      </c>
      <c r="G16" s="101">
        <v>329827</v>
      </c>
      <c r="H16" s="101">
        <v>1512502</v>
      </c>
      <c r="I16" s="101">
        <v>640537</v>
      </c>
      <c r="J16" s="101">
        <v>456948</v>
      </c>
      <c r="K16" s="101">
        <v>665472</v>
      </c>
      <c r="L16" s="101">
        <v>493571</v>
      </c>
      <c r="M16" s="101">
        <v>431870</v>
      </c>
      <c r="N16" s="103">
        <f>SUM(B16:M16)</f>
        <v>8730260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416459</v>
      </c>
      <c r="C20" s="12">
        <f t="shared" si="2"/>
        <v>1705870</v>
      </c>
      <c r="D20" s="12">
        <f t="shared" si="2"/>
        <v>1205829</v>
      </c>
      <c r="E20" s="12">
        <f t="shared" si="2"/>
        <v>476560</v>
      </c>
      <c r="F20" s="12">
        <f t="shared" si="2"/>
        <v>394815</v>
      </c>
      <c r="G20" s="12">
        <f t="shared" si="2"/>
        <v>329827</v>
      </c>
      <c r="H20" s="12">
        <f t="shared" si="2"/>
        <v>1512502</v>
      </c>
      <c r="I20" s="12">
        <f t="shared" si="2"/>
        <v>640537</v>
      </c>
      <c r="J20" s="12">
        <f t="shared" si="2"/>
        <v>456948</v>
      </c>
      <c r="K20" s="12">
        <f t="shared" si="2"/>
        <v>665472</v>
      </c>
      <c r="L20" s="12">
        <f t="shared" si="2"/>
        <v>493571</v>
      </c>
      <c r="M20" s="12">
        <f t="shared" si="2"/>
        <v>431870</v>
      </c>
      <c r="N20" s="12">
        <f t="shared" si="2"/>
        <v>8730260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273898</v>
      </c>
      <c r="C23" s="103">
        <f t="shared" si="3"/>
        <v>1067699</v>
      </c>
      <c r="D23" s="103">
        <f t="shared" si="3"/>
        <v>940305</v>
      </c>
      <c r="E23" s="103">
        <f t="shared" si="3"/>
        <v>742196</v>
      </c>
      <c r="F23" s="103">
        <f t="shared" si="3"/>
        <v>578215</v>
      </c>
      <c r="G23" s="103">
        <f t="shared" si="3"/>
        <v>483772</v>
      </c>
      <c r="H23" s="103">
        <f t="shared" si="3"/>
        <v>985369</v>
      </c>
      <c r="I23" s="103">
        <f t="shared" si="3"/>
        <v>895149</v>
      </c>
      <c r="J23" s="103">
        <f t="shared" si="3"/>
        <v>730168</v>
      </c>
      <c r="K23" s="103">
        <f t="shared" si="3"/>
        <v>729599</v>
      </c>
      <c r="L23" s="103">
        <f t="shared" si="3"/>
        <v>576793</v>
      </c>
      <c r="M23" s="103">
        <f t="shared" si="3"/>
        <v>306749</v>
      </c>
      <c r="N23" s="103">
        <f>SUM(B23:M23)</f>
        <v>8309912</v>
      </c>
    </row>
    <row r="24" spans="1:14" s="6" customFormat="1" hidden="1" outlineLevel="1">
      <c r="A24" s="100" t="s">
        <v>37</v>
      </c>
      <c r="B24" s="103">
        <f t="shared" si="3"/>
        <v>37076</v>
      </c>
      <c r="C24" s="103">
        <f t="shared" si="3"/>
        <v>45314</v>
      </c>
      <c r="D24" s="103">
        <f t="shared" si="3"/>
        <v>137412</v>
      </c>
      <c r="E24" s="103">
        <f t="shared" si="3"/>
        <v>45809</v>
      </c>
      <c r="F24" s="103">
        <f t="shared" si="3"/>
        <v>42002</v>
      </c>
      <c r="G24" s="103">
        <f t="shared" si="3"/>
        <v>221803</v>
      </c>
      <c r="H24" s="103">
        <f t="shared" si="3"/>
        <v>51087</v>
      </c>
      <c r="I24" s="103">
        <f t="shared" si="3"/>
        <v>125594</v>
      </c>
      <c r="J24" s="103">
        <f t="shared" si="3"/>
        <v>223279</v>
      </c>
      <c r="K24" s="103">
        <f t="shared" si="3"/>
        <v>51978</v>
      </c>
      <c r="L24" s="103">
        <f t="shared" si="3"/>
        <v>58717</v>
      </c>
      <c r="M24" s="103">
        <f t="shared" si="3"/>
        <v>284877</v>
      </c>
      <c r="N24" s="103">
        <f>SUM(B24:M24)</f>
        <v>1324948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310974</v>
      </c>
      <c r="C27" s="12">
        <f t="shared" si="4"/>
        <v>1113013</v>
      </c>
      <c r="D27" s="12">
        <f t="shared" si="4"/>
        <v>1077717</v>
      </c>
      <c r="E27" s="12">
        <f t="shared" si="4"/>
        <v>788005</v>
      </c>
      <c r="F27" s="12">
        <f t="shared" si="4"/>
        <v>620217</v>
      </c>
      <c r="G27" s="12">
        <f t="shared" si="4"/>
        <v>705575</v>
      </c>
      <c r="H27" s="12">
        <f>SUM(H23:H26)</f>
        <v>1036456</v>
      </c>
      <c r="I27" s="12">
        <f t="shared" si="4"/>
        <v>1020743</v>
      </c>
      <c r="J27" s="12">
        <f t="shared" si="4"/>
        <v>953447</v>
      </c>
      <c r="K27" s="12">
        <f t="shared" si="4"/>
        <v>781577</v>
      </c>
      <c r="L27" s="12">
        <f t="shared" si="4"/>
        <v>635510</v>
      </c>
      <c r="M27" s="12">
        <f>SUM(M23:M26)</f>
        <v>591626</v>
      </c>
      <c r="N27" s="12">
        <f t="shared" si="4"/>
        <v>9634860</v>
      </c>
    </row>
    <row r="28" spans="1:14" s="6" customFormat="1" ht="14.25" customHeight="1">
      <c r="B28" s="73">
        <f>IFERROR(+B27/B9, 0)</f>
        <v>0.42749504078038802</v>
      </c>
      <c r="C28" s="73">
        <f t="shared" ref="C28:M28" si="5">IFERROR(+C27/C9, 0)</f>
        <v>0.39484185757266266</v>
      </c>
      <c r="D28" s="73">
        <f t="shared" si="5"/>
        <v>0.47194889001579121</v>
      </c>
      <c r="E28" s="73">
        <f t="shared" si="5"/>
        <v>0.62314313617726258</v>
      </c>
      <c r="F28" s="73">
        <f t="shared" si="5"/>
        <v>0.61103196746506516</v>
      </c>
      <c r="G28" s="73">
        <f t="shared" si="5"/>
        <v>0.68145029659977474</v>
      </c>
      <c r="H28" s="73">
        <f t="shared" si="5"/>
        <v>0.40661948921873176</v>
      </c>
      <c r="I28" s="73">
        <f t="shared" si="5"/>
        <v>0.61443164307040354</v>
      </c>
      <c r="J28" s="73">
        <f t="shared" si="5"/>
        <v>0.67601416624420818</v>
      </c>
      <c r="K28" s="73">
        <f t="shared" si="5"/>
        <v>0.54011785364559184</v>
      </c>
      <c r="L28" s="73">
        <f t="shared" si="5"/>
        <v>0.56285598641727208</v>
      </c>
      <c r="M28" s="73">
        <f t="shared" si="5"/>
        <v>0.5780442717900216</v>
      </c>
      <c r="N28" s="73">
        <f t="shared" ref="N28" si="6">+N27/N9</f>
        <v>0.52462820825564982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370271.07587769238</v>
      </c>
      <c r="C30" s="101">
        <v>395447.18836215389</v>
      </c>
      <c r="D30" s="101">
        <v>392469.91352215386</v>
      </c>
      <c r="E30" s="101">
        <v>445508.7024026924</v>
      </c>
      <c r="F30" s="101">
        <v>352354.01078715385</v>
      </c>
      <c r="G30" s="101">
        <v>359896.18306715385</v>
      </c>
      <c r="H30" s="101">
        <v>521253.96098961541</v>
      </c>
      <c r="I30" s="101">
        <v>411300.28455869236</v>
      </c>
      <c r="J30" s="101">
        <v>392403.38610869233</v>
      </c>
      <c r="K30" s="101">
        <v>470518.20239961543</v>
      </c>
      <c r="L30" s="101">
        <v>361457.1899586923</v>
      </c>
      <c r="M30" s="101">
        <v>309677.88845369231</v>
      </c>
      <c r="N30" s="103">
        <f>SUM(B30:M30)</f>
        <v>4782557.9864880005</v>
      </c>
    </row>
    <row r="31" spans="1:14" s="6" customFormat="1" hidden="1" outlineLevel="1">
      <c r="A31" s="100" t="s">
        <v>42</v>
      </c>
      <c r="B31" s="101">
        <v>194578.13649224414</v>
      </c>
      <c r="C31" s="101">
        <v>173366.57010389538</v>
      </c>
      <c r="D31" s="101">
        <v>167093.47501049543</v>
      </c>
      <c r="E31" s="101">
        <v>194797.86961974416</v>
      </c>
      <c r="F31" s="101">
        <v>164984.83935628389</v>
      </c>
      <c r="G31" s="101">
        <v>164482.0924678685</v>
      </c>
      <c r="H31" s="101">
        <v>197799.39762897298</v>
      </c>
      <c r="I31" s="101">
        <v>168672.32326122007</v>
      </c>
      <c r="J31" s="101">
        <v>167875.54497822007</v>
      </c>
      <c r="K31" s="101">
        <v>196120.0843951499</v>
      </c>
      <c r="L31" s="101">
        <v>165873.94264382005</v>
      </c>
      <c r="M31" s="101">
        <v>166838.70938795508</v>
      </c>
      <c r="N31" s="103">
        <f>SUM(B31:M31)</f>
        <v>2122482.9853458698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7">SUM(B30:B33)</f>
        <v>564849.21236993652</v>
      </c>
      <c r="C34" s="12">
        <f t="shared" si="7"/>
        <v>568813.75846604933</v>
      </c>
      <c r="D34" s="12">
        <f t="shared" si="7"/>
        <v>559563.38853264926</v>
      </c>
      <c r="E34" s="12">
        <f t="shared" si="7"/>
        <v>640306.57202243654</v>
      </c>
      <c r="F34" s="12">
        <f t="shared" si="7"/>
        <v>517338.85014343774</v>
      </c>
      <c r="G34" s="12">
        <f t="shared" si="7"/>
        <v>524378.27553502237</v>
      </c>
      <c r="H34" s="12">
        <f t="shared" si="7"/>
        <v>719053.35861858842</v>
      </c>
      <c r="I34" s="12">
        <f t="shared" si="7"/>
        <v>579972.60781991249</v>
      </c>
      <c r="J34" s="12">
        <f t="shared" si="7"/>
        <v>560278.9310869124</v>
      </c>
      <c r="K34" s="12">
        <f t="shared" si="7"/>
        <v>666638.28679476539</v>
      </c>
      <c r="L34" s="12">
        <f t="shared" si="7"/>
        <v>527331.13260251237</v>
      </c>
      <c r="M34" s="12">
        <f t="shared" si="7"/>
        <v>476516.5978416474</v>
      </c>
      <c r="N34" s="12">
        <f t="shared" si="7"/>
        <v>6905040.9718338698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894305.54570326989</v>
      </c>
      <c r="C37" s="101">
        <v>1083477.0917993826</v>
      </c>
      <c r="D37" s="101">
        <v>974826.72186598263</v>
      </c>
      <c r="E37" s="101">
        <v>1019561.9053557699</v>
      </c>
      <c r="F37" s="101">
        <v>870783.18347677111</v>
      </c>
      <c r="G37" s="108">
        <v>898499.60886835575</v>
      </c>
      <c r="H37" s="108">
        <v>1068267.6919519217</v>
      </c>
      <c r="I37" s="108">
        <v>1012375.9411532459</v>
      </c>
      <c r="J37" s="108">
        <v>916858.26442024577</v>
      </c>
      <c r="K37" s="108">
        <v>1045019.6201280988</v>
      </c>
      <c r="L37" s="101">
        <v>879113.46593584574</v>
      </c>
      <c r="M37" s="101">
        <v>781957.93117498083</v>
      </c>
      <c r="N37" s="103">
        <f>SUM(B37:M37)</f>
        <v>11445046.97183387</v>
      </c>
    </row>
    <row r="38" spans="1:14" s="6" customFormat="1" ht="12.75" hidden="1" customHeight="1" outlineLevel="1">
      <c r="A38" s="6" t="s">
        <v>46</v>
      </c>
      <c r="B38" s="7">
        <f>-B34</f>
        <v>-564849.21236993652</v>
      </c>
      <c r="C38" s="7">
        <f t="shared" ref="C38:M38" si="8">-C34</f>
        <v>-568813.75846604933</v>
      </c>
      <c r="D38" s="7">
        <f t="shared" si="8"/>
        <v>-559563.38853264926</v>
      </c>
      <c r="E38" s="7">
        <f t="shared" si="8"/>
        <v>-640306.57202243654</v>
      </c>
      <c r="F38" s="7">
        <f t="shared" si="8"/>
        <v>-517338.85014343774</v>
      </c>
      <c r="G38" s="7">
        <f t="shared" si="8"/>
        <v>-524378.27553502237</v>
      </c>
      <c r="H38" s="7">
        <f>-H34</f>
        <v>-719053.35861858842</v>
      </c>
      <c r="I38" s="7">
        <f t="shared" si="8"/>
        <v>-579972.60781991249</v>
      </c>
      <c r="J38" s="7">
        <f t="shared" si="8"/>
        <v>-560278.9310869124</v>
      </c>
      <c r="K38" s="7">
        <f t="shared" si="8"/>
        <v>-666638.28679476539</v>
      </c>
      <c r="L38" s="7">
        <f t="shared" si="8"/>
        <v>-527331.13260251237</v>
      </c>
      <c r="M38" s="7">
        <f t="shared" si="8"/>
        <v>-476516.5978416474</v>
      </c>
      <c r="N38" s="7">
        <f>SUM(B38:M38)</f>
        <v>-6905040.9718338707</v>
      </c>
    </row>
    <row r="39" spans="1:14" s="6" customFormat="1" ht="12.75" hidden="1" customHeight="1" outlineLevel="1">
      <c r="A39" s="100" t="s">
        <v>47</v>
      </c>
      <c r="B39" s="109">
        <v>-78384</v>
      </c>
      <c r="C39" s="109">
        <v>-78384</v>
      </c>
      <c r="D39" s="109">
        <v>-78384</v>
      </c>
      <c r="E39" s="109">
        <v>-77256</v>
      </c>
      <c r="F39" s="109">
        <v>-77087</v>
      </c>
      <c r="G39" s="109">
        <v>-77087</v>
      </c>
      <c r="H39" s="109">
        <v>-77087</v>
      </c>
      <c r="I39" s="109">
        <v>-77087</v>
      </c>
      <c r="J39" s="109">
        <v>-77087</v>
      </c>
      <c r="K39" s="109">
        <v>-77087</v>
      </c>
      <c r="L39" s="109">
        <v>-77087</v>
      </c>
      <c r="M39" s="109">
        <v>-74530</v>
      </c>
      <c r="N39" s="103">
        <f>SUM(B39:M39)</f>
        <v>-926547</v>
      </c>
    </row>
    <row r="40" spans="1:14" s="6" customFormat="1" ht="12.75" hidden="1" customHeight="1" outlineLevel="1">
      <c r="A40" s="100" t="s">
        <v>124</v>
      </c>
      <c r="B40" s="101">
        <v>-2345</v>
      </c>
      <c r="C40" s="101">
        <v>-7607</v>
      </c>
      <c r="D40" s="101">
        <v>-7607</v>
      </c>
      <c r="E40" s="101">
        <v>-7222</v>
      </c>
      <c r="F40" s="101">
        <v>-7222</v>
      </c>
      <c r="G40" s="101">
        <v>-7139</v>
      </c>
      <c r="H40" s="101">
        <v>-7139</v>
      </c>
      <c r="I40" s="101">
        <v>-6868</v>
      </c>
      <c r="J40" s="101">
        <v>-6868</v>
      </c>
      <c r="K40" s="101">
        <v>-6868</v>
      </c>
      <c r="L40" s="101">
        <v>-6765</v>
      </c>
      <c r="M40" s="101">
        <v>-6428</v>
      </c>
      <c r="N40" s="103">
        <f>SUM(B40:M40)</f>
        <v>-80078</v>
      </c>
    </row>
    <row r="41" spans="1:14" s="6" customFormat="1" ht="12.75" hidden="1" customHeight="1" outlineLevel="1">
      <c r="A41" s="100" t="s">
        <v>48</v>
      </c>
      <c r="B41" s="101">
        <v>-4350</v>
      </c>
      <c r="C41" s="101">
        <v>-4350</v>
      </c>
      <c r="D41" s="101">
        <v>-4350</v>
      </c>
      <c r="E41" s="101">
        <v>-4350</v>
      </c>
      <c r="F41" s="101">
        <v>-4350</v>
      </c>
      <c r="G41" s="101">
        <v>-9350</v>
      </c>
      <c r="H41" s="101">
        <v>-4350</v>
      </c>
      <c r="I41" s="101">
        <v>-4350</v>
      </c>
      <c r="J41" s="101">
        <v>-4350</v>
      </c>
      <c r="K41" s="101">
        <v>-4350</v>
      </c>
      <c r="L41" s="101">
        <v>-4350</v>
      </c>
      <c r="M41" s="101">
        <v>-47350</v>
      </c>
      <c r="N41" s="104">
        <f>SUM(B41:M41)</f>
        <v>-100200</v>
      </c>
    </row>
    <row r="42" spans="1:14" s="6" customFormat="1" collapsed="1">
      <c r="A42" s="13" t="s">
        <v>49</v>
      </c>
      <c r="B42" s="12">
        <f t="shared" ref="B42:N42" si="9">SUM(B37:B41)</f>
        <v>244377.33333333337</v>
      </c>
      <c r="C42" s="12">
        <f t="shared" si="9"/>
        <v>424322.33333333326</v>
      </c>
      <c r="D42" s="12">
        <f t="shared" si="9"/>
        <v>324922.33333333337</v>
      </c>
      <c r="E42" s="12">
        <f t="shared" si="9"/>
        <v>290427.33333333337</v>
      </c>
      <c r="F42" s="12">
        <f t="shared" si="9"/>
        <v>264785.33333333337</v>
      </c>
      <c r="G42" s="12">
        <f t="shared" si="9"/>
        <v>280545.33333333337</v>
      </c>
      <c r="H42" s="12">
        <f t="shared" si="9"/>
        <v>260638.33333333326</v>
      </c>
      <c r="I42" s="12">
        <f t="shared" si="9"/>
        <v>344098.33333333337</v>
      </c>
      <c r="J42" s="12">
        <f t="shared" si="9"/>
        <v>268274.33333333337</v>
      </c>
      <c r="K42" s="12">
        <f t="shared" si="9"/>
        <v>290076.33333333337</v>
      </c>
      <c r="L42" s="12">
        <f t="shared" si="9"/>
        <v>263580.33333333337</v>
      </c>
      <c r="M42" s="12">
        <f t="shared" si="9"/>
        <v>177133.33333333343</v>
      </c>
      <c r="N42" s="12">
        <f t="shared" si="9"/>
        <v>3433180.9999999991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01">
        <v>337932</v>
      </c>
      <c r="C44" s="101">
        <v>230113</v>
      </c>
      <c r="D44" s="101">
        <v>245116</v>
      </c>
      <c r="E44" s="101">
        <v>306356</v>
      </c>
      <c r="F44" s="101">
        <v>272716</v>
      </c>
      <c r="G44" s="101">
        <v>246984</v>
      </c>
      <c r="H44" s="101">
        <v>294902</v>
      </c>
      <c r="I44" s="101">
        <v>245422</v>
      </c>
      <c r="J44" s="101">
        <v>271223</v>
      </c>
      <c r="K44" s="101">
        <v>309803</v>
      </c>
      <c r="L44" s="101">
        <v>249099</v>
      </c>
      <c r="M44" s="101">
        <v>-130463</v>
      </c>
      <c r="N44" s="102">
        <f>SUM(B44:M44)</f>
        <v>2879203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337932</v>
      </c>
      <c r="C46" s="12">
        <f>SUM(C44:C45)</f>
        <v>230113</v>
      </c>
      <c r="D46" s="12">
        <f t="shared" ref="D46:N46" si="10">SUM(D44:D45)</f>
        <v>245116</v>
      </c>
      <c r="E46" s="12">
        <f t="shared" si="10"/>
        <v>306356</v>
      </c>
      <c r="F46" s="12">
        <f t="shared" si="10"/>
        <v>272716</v>
      </c>
      <c r="G46" s="12">
        <f t="shared" si="10"/>
        <v>246984</v>
      </c>
      <c r="H46" s="12">
        <f t="shared" si="10"/>
        <v>294902</v>
      </c>
      <c r="I46" s="12">
        <f t="shared" si="10"/>
        <v>245422</v>
      </c>
      <c r="J46" s="12">
        <f t="shared" si="10"/>
        <v>271223</v>
      </c>
      <c r="K46" s="12">
        <f t="shared" si="10"/>
        <v>309803</v>
      </c>
      <c r="L46" s="12">
        <f t="shared" si="10"/>
        <v>249099</v>
      </c>
      <c r="M46" s="12">
        <f t="shared" si="10"/>
        <v>-130463</v>
      </c>
      <c r="N46" s="12">
        <f t="shared" si="10"/>
        <v>2879203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1">+B20+B34+B42+B46</f>
        <v>1563617.54570327</v>
      </c>
      <c r="C48" s="19">
        <f t="shared" si="11"/>
        <v>2929119.0917993821</v>
      </c>
      <c r="D48" s="19">
        <f t="shared" si="11"/>
        <v>2335430.7218659827</v>
      </c>
      <c r="E48" s="19">
        <f t="shared" si="11"/>
        <v>1713649.9053557701</v>
      </c>
      <c r="F48" s="19">
        <f>+F20+F34+F42+F46</f>
        <v>1449655.1834767712</v>
      </c>
      <c r="G48" s="19">
        <f t="shared" si="11"/>
        <v>1381734.6088683559</v>
      </c>
      <c r="H48" s="19">
        <f t="shared" si="11"/>
        <v>2787095.6919519212</v>
      </c>
      <c r="I48" s="19">
        <f t="shared" si="11"/>
        <v>1810029.941153246</v>
      </c>
      <c r="J48" s="19">
        <f t="shared" si="11"/>
        <v>1556724.2644202458</v>
      </c>
      <c r="K48" s="19">
        <f t="shared" si="11"/>
        <v>1931989.6201280989</v>
      </c>
      <c r="L48" s="19">
        <f t="shared" si="11"/>
        <v>1533581.4659358459</v>
      </c>
      <c r="M48" s="19">
        <f t="shared" si="11"/>
        <v>955056.93117498094</v>
      </c>
      <c r="N48" s="19">
        <f t="shared" si="11"/>
        <v>21947684.97183387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2">+B13-B48</f>
        <v>-836184.54570327001</v>
      </c>
      <c r="C50" s="12">
        <f t="shared" si="12"/>
        <v>-110236.09179938212</v>
      </c>
      <c r="D50" s="12">
        <f t="shared" si="12"/>
        <v>-51884.721865982749</v>
      </c>
      <c r="E50" s="12">
        <f t="shared" si="12"/>
        <v>-449084.90535577014</v>
      </c>
      <c r="F50" s="12">
        <f>+F13-F48</f>
        <v>-434623.18347677123</v>
      </c>
      <c r="G50" s="12">
        <f t="shared" si="12"/>
        <v>-346332.60886835586</v>
      </c>
      <c r="H50" s="12">
        <f>+H13-H48</f>
        <v>-238137.69195192121</v>
      </c>
      <c r="I50" s="12">
        <f t="shared" si="12"/>
        <v>-148749.94115324598</v>
      </c>
      <c r="J50" s="12">
        <f t="shared" si="12"/>
        <v>-146329.26442024577</v>
      </c>
      <c r="K50" s="12">
        <f t="shared" si="12"/>
        <v>-484940.62012809888</v>
      </c>
      <c r="L50" s="12">
        <f t="shared" si="12"/>
        <v>-404500.46593584586</v>
      </c>
      <c r="M50" s="12">
        <f t="shared" si="12"/>
        <v>68439.068825019058</v>
      </c>
      <c r="N50" s="12">
        <f>SUM(B50:M50)</f>
        <v>-3582564.9718338707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0</v>
      </c>
      <c r="C53" s="10">
        <v>11000</v>
      </c>
      <c r="D53" s="10">
        <v>0</v>
      </c>
      <c r="E53" s="10">
        <v>0</v>
      </c>
      <c r="F53" s="10">
        <v>33980</v>
      </c>
      <c r="G53" s="10">
        <v>37000</v>
      </c>
      <c r="H53" s="23">
        <v>20000</v>
      </c>
      <c r="I53" s="10">
        <v>71000</v>
      </c>
      <c r="J53" s="10">
        <v>0</v>
      </c>
      <c r="K53" s="10">
        <v>0</v>
      </c>
      <c r="L53" s="10">
        <v>0</v>
      </c>
      <c r="M53" s="10">
        <v>261000</v>
      </c>
      <c r="N53" s="10">
        <f>SUM(B53:M53)</f>
        <v>433980</v>
      </c>
      <c r="U53" s="40"/>
    </row>
    <row r="54" spans="1:21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</row>
    <row r="55" spans="1:21" s="6" customFormat="1">
      <c r="A55" s="6" t="s">
        <v>111</v>
      </c>
      <c r="B55" s="10">
        <v>400000</v>
      </c>
      <c r="C55" s="10"/>
      <c r="D55" s="10"/>
      <c r="E55" s="10"/>
      <c r="F55" s="10"/>
      <c r="G55" s="10"/>
      <c r="H55" s="10">
        <v>500000</v>
      </c>
      <c r="I55" s="10"/>
      <c r="J55" s="10"/>
      <c r="K55" s="10"/>
      <c r="L55" s="10"/>
      <c r="M55" s="10"/>
      <c r="N55" s="10">
        <f>SUM(B55:M55)</f>
        <v>900000</v>
      </c>
    </row>
    <row r="56" spans="1:21" s="6" customFormat="1">
      <c r="A56" s="37" t="s">
        <v>58</v>
      </c>
      <c r="B56" s="7">
        <v>-15000</v>
      </c>
      <c r="C56" s="7">
        <v>-15000</v>
      </c>
      <c r="D56" s="7">
        <v>-15000</v>
      </c>
      <c r="E56" s="7">
        <v>-15000</v>
      </c>
      <c r="F56" s="7">
        <v>-15000</v>
      </c>
      <c r="G56" s="7">
        <v>-15000</v>
      </c>
      <c r="H56" s="7">
        <v>-15000</v>
      </c>
      <c r="I56" s="7">
        <v>-15000</v>
      </c>
      <c r="J56" s="7">
        <v>-15000</v>
      </c>
      <c r="K56" s="7">
        <v>-15000</v>
      </c>
      <c r="L56" s="7">
        <v>-15000</v>
      </c>
      <c r="M56" s="7">
        <v>-15000</v>
      </c>
      <c r="N56" s="7">
        <f>SUM(B56:M56)</f>
        <v>-180000</v>
      </c>
    </row>
    <row r="57" spans="1:21" s="6" customFormat="1">
      <c r="A57" s="6" t="s">
        <v>134</v>
      </c>
      <c r="B57" s="7">
        <v>-15000</v>
      </c>
      <c r="C57" s="7">
        <v>-15000</v>
      </c>
      <c r="D57" s="7">
        <v>-15000</v>
      </c>
      <c r="E57" s="7">
        <v>-15000</v>
      </c>
      <c r="F57" s="7">
        <v>-15000</v>
      </c>
      <c r="G57" s="7">
        <v>-15000</v>
      </c>
      <c r="H57" s="7">
        <v>-15000</v>
      </c>
      <c r="I57" s="7">
        <v>-15000</v>
      </c>
      <c r="J57" s="7">
        <v>-15000</v>
      </c>
      <c r="K57" s="7">
        <v>-15000</v>
      </c>
      <c r="L57" s="7">
        <v>-15000</v>
      </c>
      <c r="M57" s="7">
        <v>-15000</v>
      </c>
      <c r="N57" s="22">
        <f>SUM(B57:M57)</f>
        <v>-180000</v>
      </c>
    </row>
    <row r="58" spans="1:21" s="6" customFormat="1">
      <c r="A58" s="13" t="s">
        <v>60</v>
      </c>
      <c r="B58" s="19">
        <f t="shared" ref="B58:N58" si="13">SUM(B53:B57)</f>
        <v>370000</v>
      </c>
      <c r="C58" s="19">
        <f t="shared" si="13"/>
        <v>-19000</v>
      </c>
      <c r="D58" s="19">
        <f t="shared" si="13"/>
        <v>-30000</v>
      </c>
      <c r="E58" s="19">
        <f t="shared" si="13"/>
        <v>-30000</v>
      </c>
      <c r="F58" s="19">
        <f t="shared" si="13"/>
        <v>98980</v>
      </c>
      <c r="G58" s="19">
        <f t="shared" si="13"/>
        <v>7000</v>
      </c>
      <c r="H58" s="19">
        <f>SUM(H53:H57)</f>
        <v>490000</v>
      </c>
      <c r="I58" s="19">
        <f t="shared" si="13"/>
        <v>41000</v>
      </c>
      <c r="J58" s="19">
        <f t="shared" si="13"/>
        <v>-30000</v>
      </c>
      <c r="K58" s="19">
        <f t="shared" si="13"/>
        <v>-30000</v>
      </c>
      <c r="L58" s="19">
        <f t="shared" si="13"/>
        <v>-30000</v>
      </c>
      <c r="M58" s="19">
        <f t="shared" si="13"/>
        <v>231000</v>
      </c>
      <c r="N58" s="19">
        <f t="shared" si="13"/>
        <v>1068980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15210291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4">+B58+B48</f>
        <v>1933617.54570327</v>
      </c>
      <c r="C61" s="19">
        <f t="shared" si="14"/>
        <v>2910119.0917993821</v>
      </c>
      <c r="D61" s="19">
        <f t="shared" si="14"/>
        <v>2305430.7218659827</v>
      </c>
      <c r="E61" s="19">
        <f t="shared" si="14"/>
        <v>1683649.9053557701</v>
      </c>
      <c r="F61" s="19">
        <f>+F58+F48</f>
        <v>1548635.1834767712</v>
      </c>
      <c r="G61" s="19">
        <f t="shared" si="14"/>
        <v>1388734.6088683559</v>
      </c>
      <c r="H61" s="19">
        <f t="shared" si="14"/>
        <v>3277095.6919519212</v>
      </c>
      <c r="I61" s="19">
        <f t="shared" si="14"/>
        <v>1851029.941153246</v>
      </c>
      <c r="J61" s="19">
        <f t="shared" si="14"/>
        <v>1526724.2644202458</v>
      </c>
      <c r="K61" s="19">
        <f t="shared" si="14"/>
        <v>1901989.6201280989</v>
      </c>
      <c r="L61" s="19">
        <f t="shared" si="14"/>
        <v>1503581.4659358459</v>
      </c>
      <c r="M61" s="19">
        <f t="shared" si="14"/>
        <v>1186056.9311749809</v>
      </c>
      <c r="N61" s="19">
        <f t="shared" si="14"/>
        <v>23016664.97183387</v>
      </c>
    </row>
    <row r="62" spans="1:21" ht="13.5" thickBot="1">
      <c r="A62" s="13" t="s">
        <v>63</v>
      </c>
      <c r="B62" s="14">
        <f t="shared" ref="B62:N62" si="15">+B13-B61</f>
        <v>-1206184.54570327</v>
      </c>
      <c r="C62" s="14">
        <f t="shared" si="15"/>
        <v>-91236.09179938212</v>
      </c>
      <c r="D62" s="14">
        <f t="shared" si="15"/>
        <v>-21884.721865982749</v>
      </c>
      <c r="E62" s="14">
        <f t="shared" si="15"/>
        <v>-419084.90535577014</v>
      </c>
      <c r="F62" s="14">
        <f>+F13-F61</f>
        <v>-533603.18347677123</v>
      </c>
      <c r="G62" s="14">
        <f t="shared" si="15"/>
        <v>-353332.60886835586</v>
      </c>
      <c r="H62" s="14">
        <f t="shared" si="15"/>
        <v>-728137.69195192121</v>
      </c>
      <c r="I62" s="14">
        <f t="shared" si="15"/>
        <v>-189749.94115324598</v>
      </c>
      <c r="J62" s="14">
        <f t="shared" si="15"/>
        <v>-116329.26442024577</v>
      </c>
      <c r="K62" s="14">
        <f t="shared" si="15"/>
        <v>-454940.62012809888</v>
      </c>
      <c r="L62" s="14">
        <f t="shared" si="15"/>
        <v>-374500.46593584586</v>
      </c>
      <c r="M62" s="14">
        <f t="shared" si="15"/>
        <v>-162560.93117498094</v>
      </c>
      <c r="N62" s="14">
        <f t="shared" si="15"/>
        <v>-4651544.9718338698</v>
      </c>
    </row>
    <row r="63" spans="1:21" s="6" customFormat="1" ht="13.5" thickTop="1">
      <c r="A63" s="13" t="s">
        <v>64</v>
      </c>
      <c r="B63" s="12">
        <f>+B62</f>
        <v>-1206184.54570327</v>
      </c>
      <c r="C63" s="12">
        <f t="shared" ref="C63:M63" si="16">B63+C62</f>
        <v>-1297420.6375026521</v>
      </c>
      <c r="D63" s="12">
        <f t="shared" si="16"/>
        <v>-1319305.3593686349</v>
      </c>
      <c r="E63" s="12">
        <f t="shared" si="16"/>
        <v>-1738390.264724405</v>
      </c>
      <c r="F63" s="12">
        <f t="shared" si="16"/>
        <v>-2271993.4482011762</v>
      </c>
      <c r="G63" s="12">
        <f t="shared" si="16"/>
        <v>-2625326.0570695321</v>
      </c>
      <c r="H63" s="12">
        <f t="shared" si="16"/>
        <v>-3353463.7490214533</v>
      </c>
      <c r="I63" s="12">
        <f>H63+I62</f>
        <v>-3543213.6901746993</v>
      </c>
      <c r="J63" s="12">
        <f t="shared" si="16"/>
        <v>-3659542.9545949451</v>
      </c>
      <c r="K63" s="12">
        <f t="shared" si="16"/>
        <v>-4114483.5747230439</v>
      </c>
      <c r="L63" s="12">
        <f t="shared" si="16"/>
        <v>-4488984.0406588893</v>
      </c>
      <c r="M63" s="12">
        <f t="shared" si="16"/>
        <v>-4651544.9718338698</v>
      </c>
      <c r="N63" s="12"/>
    </row>
    <row r="64" spans="1:21">
      <c r="A64" s="13" t="s">
        <v>65</v>
      </c>
      <c r="B64" s="12">
        <f t="shared" ref="B64:M64" si="17">+$B$60+B63</f>
        <v>14004106.45429673</v>
      </c>
      <c r="C64" s="12">
        <f t="shared" si="17"/>
        <v>13912870.362497348</v>
      </c>
      <c r="D64" s="12">
        <f t="shared" si="17"/>
        <v>13890985.640631365</v>
      </c>
      <c r="E64" s="12">
        <f t="shared" si="17"/>
        <v>13471900.735275595</v>
      </c>
      <c r="F64" s="12">
        <f>+$B$60+F63</f>
        <v>12938297.551798824</v>
      </c>
      <c r="G64" s="12">
        <f t="shared" si="17"/>
        <v>12584964.942930467</v>
      </c>
      <c r="H64" s="12">
        <f t="shared" si="17"/>
        <v>11856827.250978546</v>
      </c>
      <c r="I64" s="12">
        <f t="shared" si="17"/>
        <v>11667077.309825301</v>
      </c>
      <c r="J64" s="12">
        <f t="shared" si="17"/>
        <v>11550748.045405054</v>
      </c>
      <c r="K64" s="12">
        <f t="shared" si="17"/>
        <v>11095807.425276956</v>
      </c>
      <c r="L64" s="12">
        <f t="shared" si="17"/>
        <v>10721306.959341111</v>
      </c>
      <c r="M64" s="12">
        <f t="shared" si="17"/>
        <v>10558746.02816613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141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f>B62</f>
        <v>-1206184.54570327</v>
      </c>
      <c r="C67" s="30">
        <f t="shared" ref="C67:M67" si="18">C62</f>
        <v>-91236.09179938212</v>
      </c>
      <c r="D67" s="30">
        <f t="shared" si="18"/>
        <v>-21884.721865982749</v>
      </c>
      <c r="E67" s="30">
        <f t="shared" si="18"/>
        <v>-419084.90535577014</v>
      </c>
      <c r="F67" s="30">
        <f t="shared" si="18"/>
        <v>-533603.18347677123</v>
      </c>
      <c r="G67" s="30">
        <f t="shared" si="18"/>
        <v>-353332.60886835586</v>
      </c>
      <c r="H67" s="30">
        <f t="shared" si="18"/>
        <v>-728137.69195192121</v>
      </c>
      <c r="I67" s="30">
        <f t="shared" si="18"/>
        <v>-189749.94115324598</v>
      </c>
      <c r="J67" s="30">
        <f t="shared" si="18"/>
        <v>-116329.26442024577</v>
      </c>
      <c r="K67" s="30">
        <f t="shared" si="18"/>
        <v>-454940.62012809888</v>
      </c>
      <c r="L67" s="30">
        <f t="shared" si="18"/>
        <v>-374500.46593584586</v>
      </c>
      <c r="M67" s="30">
        <f t="shared" si="18"/>
        <v>-162560.93117498094</v>
      </c>
      <c r="N67" s="124"/>
    </row>
    <row r="68" spans="1:14" ht="13.5" thickTop="1">
      <c r="A68" s="115" t="s">
        <v>64</v>
      </c>
      <c r="B68" s="31">
        <f>+B67</f>
        <v>-1206184.54570327</v>
      </c>
      <c r="C68" s="31">
        <f t="shared" ref="C68:M68" si="19">+B68+C67</f>
        <v>-1297420.6375026521</v>
      </c>
      <c r="D68" s="31">
        <f t="shared" si="19"/>
        <v>-1319305.3593686349</v>
      </c>
      <c r="E68" s="31">
        <f t="shared" si="19"/>
        <v>-1738390.264724405</v>
      </c>
      <c r="F68" s="31">
        <f t="shared" si="19"/>
        <v>-2271993.4482011762</v>
      </c>
      <c r="G68" s="31">
        <f t="shared" si="19"/>
        <v>-2625326.0570695321</v>
      </c>
      <c r="H68" s="31">
        <f t="shared" si="19"/>
        <v>-3353463.7490214533</v>
      </c>
      <c r="I68" s="31">
        <f t="shared" si="19"/>
        <v>-3543213.6901746993</v>
      </c>
      <c r="J68" s="31">
        <f t="shared" si="19"/>
        <v>-3659542.9545949451</v>
      </c>
      <c r="K68" s="31">
        <f t="shared" si="19"/>
        <v>-4114483.5747230439</v>
      </c>
      <c r="L68" s="31">
        <f t="shared" si="19"/>
        <v>-4488984.0406588893</v>
      </c>
      <c r="M68" s="31">
        <f t="shared" si="19"/>
        <v>-4651544.9718338698</v>
      </c>
      <c r="N68" s="125"/>
    </row>
    <row r="69" spans="1:14">
      <c r="A69" s="115" t="s">
        <v>65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M74" si="20">+B62-B67</f>
        <v>0</v>
      </c>
      <c r="C72" s="31">
        <f t="shared" si="20"/>
        <v>0</v>
      </c>
      <c r="D72" s="31">
        <f t="shared" si="20"/>
        <v>0</v>
      </c>
      <c r="E72" s="31">
        <f t="shared" si="20"/>
        <v>0</v>
      </c>
      <c r="F72" s="31">
        <f t="shared" si="20"/>
        <v>0</v>
      </c>
      <c r="G72" s="31">
        <f t="shared" si="20"/>
        <v>0</v>
      </c>
      <c r="H72" s="31">
        <f t="shared" si="20"/>
        <v>0</v>
      </c>
      <c r="I72" s="31">
        <f t="shared" si="20"/>
        <v>0</v>
      </c>
      <c r="J72" s="31">
        <f t="shared" si="20"/>
        <v>0</v>
      </c>
      <c r="K72" s="31">
        <f t="shared" si="20"/>
        <v>0</v>
      </c>
      <c r="L72" s="31">
        <f t="shared" si="20"/>
        <v>0</v>
      </c>
      <c r="M72" s="31">
        <f t="shared" si="20"/>
        <v>0</v>
      </c>
      <c r="N72" s="125"/>
    </row>
    <row r="73" spans="1:14" s="6" customFormat="1">
      <c r="A73" s="115" t="s">
        <v>64</v>
      </c>
      <c r="B73" s="31">
        <f t="shared" si="20"/>
        <v>0</v>
      </c>
      <c r="C73" s="31">
        <f t="shared" si="20"/>
        <v>0</v>
      </c>
      <c r="D73" s="31">
        <f t="shared" si="20"/>
        <v>0</v>
      </c>
      <c r="E73" s="31">
        <f t="shared" si="20"/>
        <v>0</v>
      </c>
      <c r="F73" s="31">
        <f t="shared" si="20"/>
        <v>0</v>
      </c>
      <c r="G73" s="31">
        <f t="shared" si="20"/>
        <v>0</v>
      </c>
      <c r="H73" s="31">
        <f t="shared" si="20"/>
        <v>0</v>
      </c>
      <c r="I73" s="31">
        <f t="shared" si="20"/>
        <v>0</v>
      </c>
      <c r="J73" s="31">
        <f t="shared" si="20"/>
        <v>0</v>
      </c>
      <c r="K73" s="31">
        <f t="shared" si="20"/>
        <v>0</v>
      </c>
      <c r="L73" s="31">
        <f t="shared" si="20"/>
        <v>0</v>
      </c>
      <c r="M73" s="31">
        <f t="shared" si="20"/>
        <v>0</v>
      </c>
      <c r="N73" s="125">
        <f>+N63-N68</f>
        <v>0</v>
      </c>
    </row>
    <row r="74" spans="1:14">
      <c r="A74" s="121" t="s">
        <v>65</v>
      </c>
      <c r="B74" s="122">
        <f t="shared" si="20"/>
        <v>14004106.45429673</v>
      </c>
      <c r="C74" s="122">
        <f t="shared" si="20"/>
        <v>13912870.362497348</v>
      </c>
      <c r="D74" s="122">
        <f t="shared" si="20"/>
        <v>13890985.640631365</v>
      </c>
      <c r="E74" s="122">
        <f t="shared" si="20"/>
        <v>13471900.735275595</v>
      </c>
      <c r="F74" s="122">
        <f t="shared" si="20"/>
        <v>12938297.551798824</v>
      </c>
      <c r="G74" s="122">
        <f t="shared" si="20"/>
        <v>12584964.942930467</v>
      </c>
      <c r="H74" s="122">
        <f t="shared" si="20"/>
        <v>11856827.250978546</v>
      </c>
      <c r="I74" s="122">
        <f t="shared" si="20"/>
        <v>11667077.309825301</v>
      </c>
      <c r="J74" s="122">
        <f t="shared" si="20"/>
        <v>11550748.045405054</v>
      </c>
      <c r="K74" s="122">
        <f t="shared" si="20"/>
        <v>11095807.425276956</v>
      </c>
      <c r="L74" s="122">
        <f t="shared" si="20"/>
        <v>10721306.959341111</v>
      </c>
      <c r="M74" s="122">
        <f t="shared" si="20"/>
        <v>10558746.02816613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92D050"/>
    <pageSetUpPr fitToPage="1"/>
  </sheetPr>
  <dimension ref="A1:U85"/>
  <sheetViews>
    <sheetView showGridLines="0" topLeftCell="A28" zoomScaleNormal="100" workbookViewId="0">
      <selection activeCell="B37" sqref="B37:B41"/>
    </sheetView>
  </sheetViews>
  <sheetFormatPr defaultRowHeight="12.75" outlineLevelRow="1"/>
  <cols>
    <col min="1" max="1" width="34.7109375" bestFit="1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138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24</v>
      </c>
      <c r="K2" s="92" t="s">
        <v>24</v>
      </c>
      <c r="L2" s="92" t="s">
        <v>24</v>
      </c>
      <c r="M2" s="92" t="s">
        <v>24</v>
      </c>
      <c r="N2" s="93" t="s">
        <v>25</v>
      </c>
    </row>
    <row r="3" spans="1:14" s="5" customFormat="1">
      <c r="B3" s="94">
        <v>43648</v>
      </c>
      <c r="C3" s="95">
        <v>43679</v>
      </c>
      <c r="D3" s="95">
        <v>43710</v>
      </c>
      <c r="E3" s="94">
        <v>43740</v>
      </c>
      <c r="F3" s="94">
        <v>43771</v>
      </c>
      <c r="G3" s="95">
        <v>43801</v>
      </c>
      <c r="H3" s="94">
        <v>43832</v>
      </c>
      <c r="I3" s="94">
        <v>43863</v>
      </c>
      <c r="J3" s="94">
        <v>43892</v>
      </c>
      <c r="K3" s="94">
        <v>43923</v>
      </c>
      <c r="L3" s="94">
        <v>43953</v>
      </c>
      <c r="M3" s="94">
        <v>43984</v>
      </c>
      <c r="N3" s="94" t="s">
        <v>133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customHeight="1" outlineLevel="1">
      <c r="A5" s="100" t="s">
        <v>28</v>
      </c>
      <c r="B5" s="101">
        <v>1506911</v>
      </c>
      <c r="C5" s="101">
        <v>4218296</v>
      </c>
      <c r="D5" s="101">
        <v>4008767</v>
      </c>
      <c r="E5" s="101">
        <v>3723428</v>
      </c>
      <c r="F5" s="101">
        <v>2637007</v>
      </c>
      <c r="G5" s="101">
        <v>1983421</v>
      </c>
      <c r="H5" s="101">
        <v>3653867</v>
      </c>
      <c r="I5" s="101">
        <v>3466709</v>
      </c>
      <c r="J5" s="101">
        <v>1847037</v>
      </c>
      <c r="K5" s="101">
        <v>498208</v>
      </c>
      <c r="L5" s="101">
        <v>505018</v>
      </c>
      <c r="M5" s="101">
        <v>587574</v>
      </c>
      <c r="N5" s="102">
        <f>SUM(B5:M5)</f>
        <v>28636243</v>
      </c>
    </row>
    <row r="6" spans="1:14" s="6" customFormat="1" ht="12.75" customHeight="1" outlineLevel="1">
      <c r="A6" s="100" t="s">
        <v>29</v>
      </c>
      <c r="B6" s="101">
        <v>122669</v>
      </c>
      <c r="C6" s="101">
        <v>65308</v>
      </c>
      <c r="D6" s="101">
        <v>368424</v>
      </c>
      <c r="E6" s="101">
        <v>265657</v>
      </c>
      <c r="F6" s="101">
        <v>90828</v>
      </c>
      <c r="G6" s="101">
        <v>46005</v>
      </c>
      <c r="H6" s="101">
        <v>118231</v>
      </c>
      <c r="I6" s="101">
        <v>200445</v>
      </c>
      <c r="J6" s="101">
        <v>82594</v>
      </c>
      <c r="K6" s="101">
        <v>415615</v>
      </c>
      <c r="L6" s="101">
        <v>114560</v>
      </c>
      <c r="M6" s="101">
        <v>82051</v>
      </c>
      <c r="N6" s="103">
        <f>SUM(B6:M6)</f>
        <v>1972387</v>
      </c>
    </row>
    <row r="7" spans="1:14" s="6" customFormat="1" ht="12.75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2029426</v>
      </c>
      <c r="H9" s="12">
        <f t="shared" si="0"/>
        <v>3772098</v>
      </c>
      <c r="I9" s="12">
        <f t="shared" si="0"/>
        <v>3667154</v>
      </c>
      <c r="J9" s="12">
        <f t="shared" si="0"/>
        <v>1929631</v>
      </c>
      <c r="K9" s="12">
        <f t="shared" si="0"/>
        <v>913823</v>
      </c>
      <c r="L9" s="12">
        <f t="shared" si="0"/>
        <v>619578</v>
      </c>
      <c r="M9" s="12">
        <f t="shared" si="0"/>
        <v>669625</v>
      </c>
      <c r="N9" s="12">
        <f t="shared" si="0"/>
        <v>30608630</v>
      </c>
    </row>
    <row r="10" spans="1:14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>
        <v>3197</v>
      </c>
      <c r="H11" s="7">
        <v>282</v>
      </c>
      <c r="I11" s="7">
        <v>24231</v>
      </c>
      <c r="J11" s="7">
        <v>1009</v>
      </c>
      <c r="K11" s="7">
        <v>1394</v>
      </c>
      <c r="L11" s="7">
        <v>0</v>
      </c>
      <c r="M11" s="7">
        <v>21774</v>
      </c>
      <c r="N11" s="7">
        <f>SUM(B11:M11)</f>
        <v>54714.400000000001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2032623</v>
      </c>
      <c r="H13" s="14">
        <f t="shared" si="1"/>
        <v>3772380</v>
      </c>
      <c r="I13" s="14">
        <f t="shared" si="1"/>
        <v>3691385</v>
      </c>
      <c r="J13" s="14">
        <f t="shared" si="1"/>
        <v>1930640</v>
      </c>
      <c r="K13" s="14">
        <f t="shared" si="1"/>
        <v>915217</v>
      </c>
      <c r="L13" s="14">
        <f t="shared" si="1"/>
        <v>619578</v>
      </c>
      <c r="M13" s="14">
        <f t="shared" si="1"/>
        <v>691399</v>
      </c>
      <c r="N13" s="14">
        <f t="shared" si="1"/>
        <v>30663344.399999999</v>
      </c>
    </row>
    <row r="14" spans="1:14" s="6" customFormat="1" ht="2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customHeight="1" outlineLevel="1">
      <c r="A16" s="100" t="s">
        <v>34</v>
      </c>
      <c r="B16" s="101">
        <v>789538</v>
      </c>
      <c r="C16" s="101">
        <v>2542832</v>
      </c>
      <c r="D16" s="101">
        <v>1670912</v>
      </c>
      <c r="E16" s="101">
        <v>1241006</v>
      </c>
      <c r="F16" s="101">
        <v>943426</v>
      </c>
      <c r="G16" s="101">
        <v>694088</v>
      </c>
      <c r="H16" s="101">
        <v>1773539</v>
      </c>
      <c r="I16" s="101">
        <v>1361474</v>
      </c>
      <c r="J16" s="101">
        <v>608125</v>
      </c>
      <c r="K16" s="101">
        <v>529974</v>
      </c>
      <c r="L16" s="101">
        <v>287856</v>
      </c>
      <c r="M16" s="101">
        <v>645725</v>
      </c>
      <c r="N16" s="103">
        <f>SUM(B16:M16)</f>
        <v>13088495</v>
      </c>
    </row>
    <row r="17" spans="1:14" s="6" customFormat="1" ht="20.25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694088</v>
      </c>
      <c r="H20" s="12">
        <f t="shared" si="2"/>
        <v>1773539</v>
      </c>
      <c r="I20" s="12">
        <f t="shared" si="2"/>
        <v>1361474</v>
      </c>
      <c r="J20" s="12">
        <f t="shared" si="2"/>
        <v>608125</v>
      </c>
      <c r="K20" s="12">
        <f t="shared" si="2"/>
        <v>529974</v>
      </c>
      <c r="L20" s="12">
        <f t="shared" si="2"/>
        <v>287856</v>
      </c>
      <c r="M20" s="12">
        <f t="shared" si="2"/>
        <v>645725</v>
      </c>
      <c r="N20" s="12">
        <f t="shared" si="2"/>
        <v>13088495</v>
      </c>
    </row>
    <row r="21" spans="1:14" s="6" customFormat="1" ht="13.5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outlineLevel="1">
      <c r="A23" s="100" t="s">
        <v>37</v>
      </c>
      <c r="B23" s="103">
        <f t="shared" ref="B23:M26" si="3">+B5-B16</f>
        <v>717373</v>
      </c>
      <c r="C23" s="103">
        <f t="shared" si="3"/>
        <v>1675464</v>
      </c>
      <c r="D23" s="103">
        <f t="shared" si="3"/>
        <v>2337855</v>
      </c>
      <c r="E23" s="103">
        <f t="shared" si="3"/>
        <v>2482422</v>
      </c>
      <c r="F23" s="103">
        <f t="shared" si="3"/>
        <v>1693581</v>
      </c>
      <c r="G23" s="103">
        <f t="shared" si="3"/>
        <v>1289333</v>
      </c>
      <c r="H23" s="103">
        <f t="shared" si="3"/>
        <v>1880328</v>
      </c>
      <c r="I23" s="103">
        <f t="shared" si="3"/>
        <v>2105235</v>
      </c>
      <c r="J23" s="103">
        <f t="shared" si="3"/>
        <v>1238912</v>
      </c>
      <c r="K23" s="103">
        <f t="shared" si="3"/>
        <v>-31766</v>
      </c>
      <c r="L23" s="103">
        <f t="shared" si="3"/>
        <v>217162</v>
      </c>
      <c r="M23" s="103">
        <f t="shared" si="3"/>
        <v>-58151</v>
      </c>
      <c r="N23" s="103">
        <f>SUM(B23:M23)</f>
        <v>15547748</v>
      </c>
    </row>
    <row r="24" spans="1:14" s="6" customFormat="1" outlineLevel="1">
      <c r="A24" s="100" t="s">
        <v>37</v>
      </c>
      <c r="B24" s="103">
        <f t="shared" si="3"/>
        <v>122669</v>
      </c>
      <c r="C24" s="103">
        <f t="shared" si="3"/>
        <v>65308</v>
      </c>
      <c r="D24" s="103">
        <f t="shared" si="3"/>
        <v>368424</v>
      </c>
      <c r="E24" s="103">
        <f t="shared" si="3"/>
        <v>265657</v>
      </c>
      <c r="F24" s="103">
        <f t="shared" si="3"/>
        <v>90828</v>
      </c>
      <c r="G24" s="103">
        <f t="shared" si="3"/>
        <v>46005</v>
      </c>
      <c r="H24" s="103">
        <f t="shared" si="3"/>
        <v>118231</v>
      </c>
      <c r="I24" s="103">
        <f t="shared" si="3"/>
        <v>200445</v>
      </c>
      <c r="J24" s="103">
        <f t="shared" si="3"/>
        <v>82594</v>
      </c>
      <c r="K24" s="103">
        <f t="shared" si="3"/>
        <v>415615</v>
      </c>
      <c r="L24" s="103">
        <f t="shared" si="3"/>
        <v>114560</v>
      </c>
      <c r="M24" s="103">
        <f t="shared" si="3"/>
        <v>82051</v>
      </c>
      <c r="N24" s="103">
        <f>SUM(B24:M24)</f>
        <v>1972387</v>
      </c>
    </row>
    <row r="25" spans="1:14" s="6" customFormat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1335338</v>
      </c>
      <c r="H27" s="12">
        <f>SUM(H23:H26)</f>
        <v>1998559</v>
      </c>
      <c r="I27" s="12">
        <f t="shared" si="4"/>
        <v>2305680</v>
      </c>
      <c r="J27" s="12">
        <f t="shared" si="4"/>
        <v>1321506</v>
      </c>
      <c r="K27" s="12">
        <f t="shared" si="4"/>
        <v>383849</v>
      </c>
      <c r="L27" s="12">
        <f t="shared" si="4"/>
        <v>331722</v>
      </c>
      <c r="M27" s="12">
        <f>SUM(M23:M26)</f>
        <v>23900</v>
      </c>
      <c r="N27" s="12">
        <f t="shared" si="4"/>
        <v>17520135</v>
      </c>
    </row>
    <row r="28" spans="1:14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0.65798802222894548</v>
      </c>
      <c r="H28" s="73">
        <f t="shared" si="5"/>
        <v>0.52982690269446875</v>
      </c>
      <c r="I28" s="73">
        <f t="shared" si="5"/>
        <v>0.62873825315217191</v>
      </c>
      <c r="J28" s="73">
        <f t="shared" si="5"/>
        <v>0.68484907218012148</v>
      </c>
      <c r="K28" s="73">
        <f t="shared" si="5"/>
        <v>0.42004742712757287</v>
      </c>
      <c r="L28" s="73">
        <f t="shared" si="5"/>
        <v>0.53539990122309056</v>
      </c>
      <c r="M28" s="73">
        <f t="shared" si="5"/>
        <v>3.5691618443158483E-2</v>
      </c>
      <c r="N28" s="73">
        <f t="shared" si="5"/>
        <v>0.57239200186352668</v>
      </c>
    </row>
    <row r="29" spans="1:14" s="6" customFormat="1" ht="27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outlineLevel="1">
      <c r="A30" s="100" t="s">
        <v>93</v>
      </c>
      <c r="B30" s="101">
        <v>599577</v>
      </c>
      <c r="C30" s="101">
        <v>671079</v>
      </c>
      <c r="D30" s="101">
        <v>793811</v>
      </c>
      <c r="E30" s="101">
        <v>957117</v>
      </c>
      <c r="F30" s="101">
        <v>689782</v>
      </c>
      <c r="G30" s="101">
        <v>611497</v>
      </c>
      <c r="H30" s="101">
        <v>797690</v>
      </c>
      <c r="I30" s="101">
        <v>796901</v>
      </c>
      <c r="J30" s="101">
        <v>903621</v>
      </c>
      <c r="K30" s="101">
        <v>223320</v>
      </c>
      <c r="L30" s="101">
        <v>204094</v>
      </c>
      <c r="M30" s="101">
        <v>218575</v>
      </c>
      <c r="N30" s="103">
        <f>SUM(B30:M30)</f>
        <v>7467064</v>
      </c>
    </row>
    <row r="31" spans="1:14" s="6" customFormat="1" outlineLevel="1">
      <c r="A31" s="100" t="s">
        <v>42</v>
      </c>
      <c r="B31" s="101">
        <v>243836</v>
      </c>
      <c r="C31" s="101">
        <v>217946</v>
      </c>
      <c r="D31" s="101">
        <v>239113</v>
      </c>
      <c r="E31" s="101">
        <v>257850</v>
      </c>
      <c r="F31" s="101">
        <v>223271</v>
      </c>
      <c r="G31" s="101">
        <v>225464</v>
      </c>
      <c r="H31" s="101">
        <v>230373</v>
      </c>
      <c r="I31" s="101">
        <v>232734</v>
      </c>
      <c r="J31" s="101">
        <v>229623</v>
      </c>
      <c r="K31" s="101">
        <v>12683</v>
      </c>
      <c r="L31" s="101">
        <v>146856</v>
      </c>
      <c r="M31" s="101">
        <v>124946</v>
      </c>
      <c r="N31" s="103">
        <f>SUM(B31:M31)</f>
        <v>2384695</v>
      </c>
    </row>
    <row r="32" spans="1:14" s="6" customFormat="1" ht="15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836961</v>
      </c>
      <c r="H34" s="12">
        <f t="shared" si="6"/>
        <v>1028063</v>
      </c>
      <c r="I34" s="12">
        <f t="shared" si="6"/>
        <v>1029635</v>
      </c>
      <c r="J34" s="12">
        <f t="shared" si="6"/>
        <v>1133244</v>
      </c>
      <c r="K34" s="12">
        <f t="shared" si="6"/>
        <v>236003</v>
      </c>
      <c r="L34" s="12">
        <f t="shared" si="6"/>
        <v>350950</v>
      </c>
      <c r="M34" s="12">
        <f t="shared" si="6"/>
        <v>343521</v>
      </c>
      <c r="N34" s="12">
        <f t="shared" si="6"/>
        <v>9851759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customHeight="1" outlineLevel="1">
      <c r="A37" s="100" t="s">
        <v>45</v>
      </c>
      <c r="B37" s="101">
        <v>1312659</v>
      </c>
      <c r="C37" s="101">
        <v>1350844</v>
      </c>
      <c r="D37" s="101">
        <v>1621977</v>
      </c>
      <c r="E37" s="101">
        <v>1862721</v>
      </c>
      <c r="F37" s="101">
        <v>1464546</v>
      </c>
      <c r="G37" s="108">
        <v>1373998</v>
      </c>
      <c r="H37" s="108">
        <v>1519146</v>
      </c>
      <c r="I37" s="108">
        <v>1796509</v>
      </c>
      <c r="J37" s="108">
        <v>1596741</v>
      </c>
      <c r="K37" s="108">
        <v>523929</v>
      </c>
      <c r="L37" s="101">
        <v>628089</v>
      </c>
      <c r="M37" s="101">
        <v>660481</v>
      </c>
      <c r="N37" s="103">
        <f>SUM(B37:M37)</f>
        <v>15711640</v>
      </c>
    </row>
    <row r="38" spans="1:14" s="6" customFormat="1" ht="12.75" customHeight="1" outlineLevel="1">
      <c r="A38" s="100" t="s">
        <v>46</v>
      </c>
      <c r="B38" s="103">
        <f>-B34</f>
        <v>-843413</v>
      </c>
      <c r="C38" s="103">
        <f t="shared" ref="C38:M38" si="7">-C34</f>
        <v>-889025</v>
      </c>
      <c r="D38" s="103">
        <f t="shared" si="7"/>
        <v>-1032924</v>
      </c>
      <c r="E38" s="103">
        <f t="shared" si="7"/>
        <v>-1214967</v>
      </c>
      <c r="F38" s="103">
        <f t="shared" si="7"/>
        <v>-913053</v>
      </c>
      <c r="G38" s="103">
        <f t="shared" si="7"/>
        <v>-836961</v>
      </c>
      <c r="H38" s="103">
        <f>-H34</f>
        <v>-1028063</v>
      </c>
      <c r="I38" s="103">
        <f t="shared" si="7"/>
        <v>-1029635</v>
      </c>
      <c r="J38" s="103">
        <f t="shared" si="7"/>
        <v>-1133244</v>
      </c>
      <c r="K38" s="103">
        <f t="shared" si="7"/>
        <v>-236003</v>
      </c>
      <c r="L38" s="103">
        <f t="shared" si="7"/>
        <v>-350950</v>
      </c>
      <c r="M38" s="103">
        <f t="shared" si="7"/>
        <v>-343521</v>
      </c>
      <c r="N38" s="103">
        <f>SUM(B38:M38)</f>
        <v>-9851759</v>
      </c>
    </row>
    <row r="39" spans="1:14" s="6" customFormat="1" ht="12.75" customHeight="1" outlineLevel="1">
      <c r="A39" s="100" t="s">
        <v>47</v>
      </c>
      <c r="B39" s="109">
        <v>-77862</v>
      </c>
      <c r="C39" s="109">
        <v>-77862</v>
      </c>
      <c r="D39" s="109">
        <v>-77862</v>
      </c>
      <c r="E39" s="109">
        <v>-77862</v>
      </c>
      <c r="F39" s="109">
        <v>-77862</v>
      </c>
      <c r="G39" s="109">
        <v>-79350</v>
      </c>
      <c r="H39" s="109">
        <v>-79350</v>
      </c>
      <c r="I39" s="109">
        <v>-80109</v>
      </c>
      <c r="J39" s="109">
        <v>-83438</v>
      </c>
      <c r="K39" s="109">
        <v>-77975</v>
      </c>
      <c r="L39" s="109">
        <v>-77551</v>
      </c>
      <c r="M39" s="109">
        <v>-77571</v>
      </c>
      <c r="N39" s="103">
        <f>SUM(B39:M39)</f>
        <v>-944654</v>
      </c>
    </row>
    <row r="40" spans="1:14" s="6" customFormat="1" ht="12.75" customHeight="1" outlineLevel="1">
      <c r="A40" s="100" t="s">
        <v>124</v>
      </c>
      <c r="B40" s="101">
        <v>-8600</v>
      </c>
      <c r="C40" s="101">
        <v>-8600</v>
      </c>
      <c r="D40" s="101">
        <v>-8600</v>
      </c>
      <c r="E40" s="101">
        <v>-8600</v>
      </c>
      <c r="F40" s="101">
        <v>-8600</v>
      </c>
      <c r="G40" s="101">
        <v>-8600</v>
      </c>
      <c r="H40" s="101">
        <v>-8600</v>
      </c>
      <c r="I40" s="101">
        <v>-8600</v>
      </c>
      <c r="J40" s="101">
        <v>-8600</v>
      </c>
      <c r="K40" s="101">
        <v>-7963</v>
      </c>
      <c r="L40" s="101">
        <v>-7607</v>
      </c>
      <c r="M40" s="101">
        <v>-7607</v>
      </c>
      <c r="N40" s="103">
        <f>SUM(B40:M40)</f>
        <v>-100577</v>
      </c>
    </row>
    <row r="41" spans="1:14" s="6" customFormat="1" ht="12.75" customHeight="1" outlineLevel="1">
      <c r="A41" s="100" t="s">
        <v>48</v>
      </c>
      <c r="B41" s="110">
        <v>-4150</v>
      </c>
      <c r="C41" s="110">
        <v>-4250</v>
      </c>
      <c r="D41" s="110">
        <v>-4250</v>
      </c>
      <c r="E41" s="110">
        <v>-4250</v>
      </c>
      <c r="F41" s="110">
        <v>-4250</v>
      </c>
      <c r="G41" s="110">
        <v>-10050</v>
      </c>
      <c r="H41" s="110">
        <v>-4250</v>
      </c>
      <c r="I41" s="110">
        <v>-4250</v>
      </c>
      <c r="J41" s="110">
        <v>-4550</v>
      </c>
      <c r="K41" s="110">
        <v>-4550</v>
      </c>
      <c r="L41" s="110">
        <v>-4550</v>
      </c>
      <c r="M41" s="110">
        <v>53350</v>
      </c>
      <c r="N41" s="104">
        <f>SUM(B41:M41)</f>
        <v>0</v>
      </c>
    </row>
    <row r="42" spans="1:14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439037</v>
      </c>
      <c r="H42" s="12">
        <f t="shared" si="8"/>
        <v>398883</v>
      </c>
      <c r="I42" s="12">
        <f t="shared" si="8"/>
        <v>673915</v>
      </c>
      <c r="J42" s="12">
        <f t="shared" si="8"/>
        <v>366909</v>
      </c>
      <c r="K42" s="12">
        <f t="shared" si="8"/>
        <v>197438</v>
      </c>
      <c r="L42" s="12">
        <f t="shared" si="8"/>
        <v>187431</v>
      </c>
      <c r="M42" s="12">
        <f t="shared" si="8"/>
        <v>285132</v>
      </c>
      <c r="N42" s="12">
        <f t="shared" si="8"/>
        <v>4814650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customHeight="1" outlineLevel="1">
      <c r="A44" s="105" t="s">
        <v>50</v>
      </c>
      <c r="B44" s="101">
        <v>313331</v>
      </c>
      <c r="C44" s="101">
        <v>400498</v>
      </c>
      <c r="D44" s="101">
        <v>331729</v>
      </c>
      <c r="E44" s="101">
        <v>309099</v>
      </c>
      <c r="F44" s="101">
        <v>349633</v>
      </c>
      <c r="G44" s="101">
        <v>248256</v>
      </c>
      <c r="H44" s="101">
        <v>313763</v>
      </c>
      <c r="I44" s="101">
        <v>301908</v>
      </c>
      <c r="J44" s="101">
        <v>329769</v>
      </c>
      <c r="K44" s="101">
        <v>229400</v>
      </c>
      <c r="L44" s="101">
        <v>194155</v>
      </c>
      <c r="M44" s="101">
        <v>1014634</v>
      </c>
      <c r="N44" s="102">
        <f>SUM(B44:M44)</f>
        <v>4336175</v>
      </c>
    </row>
    <row r="45" spans="1:14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248256</v>
      </c>
      <c r="H46" s="12">
        <f t="shared" si="9"/>
        <v>313763</v>
      </c>
      <c r="I46" s="12">
        <f t="shared" si="9"/>
        <v>301908</v>
      </c>
      <c r="J46" s="12">
        <f t="shared" si="9"/>
        <v>329769</v>
      </c>
      <c r="K46" s="12">
        <f t="shared" si="9"/>
        <v>229400</v>
      </c>
      <c r="L46" s="12">
        <f t="shared" si="9"/>
        <v>194155</v>
      </c>
      <c r="M46" s="12">
        <f t="shared" si="9"/>
        <v>1014634</v>
      </c>
      <c r="N46" s="12">
        <f t="shared" si="9"/>
        <v>4336175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2218342</v>
      </c>
      <c r="H48" s="19">
        <f t="shared" si="10"/>
        <v>3514248</v>
      </c>
      <c r="I48" s="19">
        <f t="shared" si="10"/>
        <v>3366932</v>
      </c>
      <c r="J48" s="19">
        <f t="shared" si="10"/>
        <v>2438047</v>
      </c>
      <c r="K48" s="19">
        <f t="shared" si="10"/>
        <v>1192815</v>
      </c>
      <c r="L48" s="19">
        <f t="shared" si="10"/>
        <v>1020392</v>
      </c>
      <c r="M48" s="19">
        <f t="shared" si="10"/>
        <v>2289012</v>
      </c>
      <c r="N48" s="19">
        <f t="shared" si="10"/>
        <v>32091079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-185719</v>
      </c>
      <c r="H50" s="12">
        <f>+H13-H48</f>
        <v>258132</v>
      </c>
      <c r="I50" s="12">
        <f t="shared" si="11"/>
        <v>324453</v>
      </c>
      <c r="J50" s="12">
        <f t="shared" si="11"/>
        <v>-507407</v>
      </c>
      <c r="K50" s="12">
        <f t="shared" si="11"/>
        <v>-277598</v>
      </c>
      <c r="L50" s="12">
        <f t="shared" si="11"/>
        <v>-400814</v>
      </c>
      <c r="M50" s="12">
        <f t="shared" si="11"/>
        <v>-1597613</v>
      </c>
      <c r="N50" s="12">
        <f>SUM(B50:M50)</f>
        <v>-1427734.5999999996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29828</v>
      </c>
      <c r="H53" s="23">
        <v>16962</v>
      </c>
      <c r="I53" s="10">
        <v>-133</v>
      </c>
      <c r="J53" s="10">
        <v>1220</v>
      </c>
      <c r="K53" s="10">
        <v>-5939</v>
      </c>
      <c r="L53" s="10">
        <v>0</v>
      </c>
      <c r="M53" s="10">
        <v>40215</v>
      </c>
      <c r="N53" s="10">
        <f>SUM(B53:M53)</f>
        <v>247420.48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90000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>SUM(B54:M54)</f>
        <v>90000</v>
      </c>
    </row>
    <row r="55" spans="1:21" s="6" customFormat="1">
      <c r="A55" s="6" t="s">
        <v>111</v>
      </c>
      <c r="B55" s="10">
        <v>425857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500000</v>
      </c>
      <c r="K55" s="10">
        <v>0</v>
      </c>
      <c r="L55" s="10">
        <v>0</v>
      </c>
      <c r="M55" s="56">
        <v>-823761</v>
      </c>
      <c r="N55" s="10">
        <f>SUM(B55:M55)</f>
        <v>102096</v>
      </c>
    </row>
    <row r="56" spans="1:21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-13668</v>
      </c>
      <c r="F56" s="7">
        <v>-12737</v>
      </c>
      <c r="G56" s="7">
        <v>-77693</v>
      </c>
      <c r="H56" s="7">
        <f>-12580-367</f>
        <v>-12947</v>
      </c>
      <c r="I56" s="7">
        <v>-11113</v>
      </c>
      <c r="J56" s="7">
        <v>-21563</v>
      </c>
      <c r="K56" s="7">
        <v>-12716</v>
      </c>
      <c r="L56" s="7">
        <v>-23915</v>
      </c>
      <c r="M56" s="7">
        <v>-35106</v>
      </c>
      <c r="N56" s="7">
        <f>SUM(B56:M56)</f>
        <v>-270403</v>
      </c>
    </row>
    <row r="57" spans="1:21" s="6" customFormat="1">
      <c r="A57" s="6" t="s">
        <v>134</v>
      </c>
      <c r="B57" s="22">
        <v>-29008</v>
      </c>
      <c r="C57" s="22">
        <v>209614</v>
      </c>
      <c r="D57" s="22">
        <v>-83076</v>
      </c>
      <c r="E57" s="22">
        <v>-215833</v>
      </c>
      <c r="F57" s="22">
        <v>-198902</v>
      </c>
      <c r="G57" s="22">
        <v>-207006</v>
      </c>
      <c r="H57" s="22">
        <v>115087</v>
      </c>
      <c r="I57" s="22">
        <v>543958</v>
      </c>
      <c r="J57" s="22">
        <v>1331707</v>
      </c>
      <c r="K57" s="22">
        <v>-605154</v>
      </c>
      <c r="L57" s="22">
        <v>-501907</v>
      </c>
      <c r="M57" s="22">
        <v>-322360</v>
      </c>
      <c r="N57" s="22">
        <f>SUM(B57:M57)</f>
        <v>37120</v>
      </c>
    </row>
    <row r="58" spans="1:21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-121639</v>
      </c>
      <c r="G58" s="19">
        <f t="shared" si="12"/>
        <v>-254871</v>
      </c>
      <c r="H58" s="19">
        <f>SUM(H53:H57)</f>
        <v>119102</v>
      </c>
      <c r="I58" s="19">
        <f t="shared" si="12"/>
        <v>532712</v>
      </c>
      <c r="J58" s="19">
        <f t="shared" si="12"/>
        <v>1811364</v>
      </c>
      <c r="K58" s="19">
        <f t="shared" si="12"/>
        <v>-623809</v>
      </c>
      <c r="L58" s="19">
        <f t="shared" si="12"/>
        <v>-525822</v>
      </c>
      <c r="M58" s="19">
        <f t="shared" si="12"/>
        <v>-1141012</v>
      </c>
      <c r="N58" s="19">
        <f t="shared" si="12"/>
        <v>206233.47999999998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3113506.52</v>
      </c>
      <c r="F61" s="19">
        <f>+F58+F48</f>
        <v>2545254</v>
      </c>
      <c r="G61" s="19">
        <f t="shared" si="13"/>
        <v>1963471</v>
      </c>
      <c r="H61" s="19">
        <f t="shared" si="13"/>
        <v>3633350</v>
      </c>
      <c r="I61" s="19">
        <f t="shared" si="13"/>
        <v>3899644</v>
      </c>
      <c r="J61" s="19">
        <f t="shared" si="13"/>
        <v>4249411</v>
      </c>
      <c r="K61" s="19">
        <f t="shared" si="13"/>
        <v>569006</v>
      </c>
      <c r="L61" s="19">
        <f t="shared" si="13"/>
        <v>494570</v>
      </c>
      <c r="M61" s="19">
        <f t="shared" si="13"/>
        <v>1148000</v>
      </c>
      <c r="N61" s="19">
        <f t="shared" si="13"/>
        <v>32297312.48</v>
      </c>
    </row>
    <row r="62" spans="1:21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875351.48</v>
      </c>
      <c r="F62" s="14">
        <f>+F13-F61</f>
        <v>182806</v>
      </c>
      <c r="G62" s="14">
        <f t="shared" si="14"/>
        <v>69152</v>
      </c>
      <c r="H62" s="14">
        <f t="shared" si="14"/>
        <v>139030</v>
      </c>
      <c r="I62" s="14">
        <f t="shared" si="14"/>
        <v>-208259</v>
      </c>
      <c r="J62" s="14">
        <f t="shared" si="14"/>
        <v>-2318771</v>
      </c>
      <c r="K62" s="14">
        <f t="shared" si="14"/>
        <v>346211</v>
      </c>
      <c r="L62" s="14">
        <f t="shared" si="14"/>
        <v>125008</v>
      </c>
      <c r="M62" s="14">
        <f t="shared" si="14"/>
        <v>-456601</v>
      </c>
      <c r="N62" s="14">
        <f t="shared" si="14"/>
        <v>-1633968.0800000019</v>
      </c>
    </row>
    <row r="63" spans="1:21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487455.92000000039</v>
      </c>
      <c r="F63" s="12">
        <f t="shared" si="15"/>
        <v>670261.92000000039</v>
      </c>
      <c r="G63" s="12">
        <f t="shared" si="15"/>
        <v>739413.92000000039</v>
      </c>
      <c r="H63" s="12">
        <f t="shared" si="15"/>
        <v>878443.92000000039</v>
      </c>
      <c r="I63" s="12">
        <f>H63+I62</f>
        <v>670184.92000000039</v>
      </c>
      <c r="J63" s="12">
        <f t="shared" si="15"/>
        <v>-1648586.0799999996</v>
      </c>
      <c r="K63" s="12">
        <f t="shared" si="15"/>
        <v>-1302375.0799999996</v>
      </c>
      <c r="L63" s="12">
        <f t="shared" si="15"/>
        <v>-1177367.0799999996</v>
      </c>
      <c r="M63" s="12">
        <f t="shared" si="15"/>
        <v>-1633968.0799999996</v>
      </c>
      <c r="N63" s="12"/>
    </row>
    <row r="64" spans="1:21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14086402.92</v>
      </c>
      <c r="F64" s="12">
        <f>+$B$60+F63</f>
        <v>14269208.92</v>
      </c>
      <c r="G64" s="12">
        <f t="shared" si="16"/>
        <v>14338360.92</v>
      </c>
      <c r="H64" s="12">
        <f t="shared" si="16"/>
        <v>14477390.92</v>
      </c>
      <c r="I64" s="12">
        <f t="shared" si="16"/>
        <v>14269131.92</v>
      </c>
      <c r="J64" s="12">
        <f t="shared" si="16"/>
        <v>11950360.92</v>
      </c>
      <c r="K64" s="12">
        <f t="shared" si="16"/>
        <v>12296571.92</v>
      </c>
      <c r="L64" s="12">
        <f t="shared" si="16"/>
        <v>12421579.92</v>
      </c>
      <c r="M64" s="12">
        <f t="shared" si="16"/>
        <v>11964978.92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126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-1263474.9897115808</v>
      </c>
      <c r="C67" s="30">
        <v>-102010.94887173455</v>
      </c>
      <c r="D67" s="30">
        <v>854641.48144806735</v>
      </c>
      <c r="E67" s="30">
        <v>550109.68371886434</v>
      </c>
      <c r="F67" s="30">
        <v>-58453.035503471736</v>
      </c>
      <c r="G67" s="30">
        <v>-6981.7485968954861</v>
      </c>
      <c r="H67" s="30">
        <v>168524.42741065565</v>
      </c>
      <c r="I67" s="30">
        <v>499407.90022242721</v>
      </c>
      <c r="J67" s="30">
        <v>656111.75009930646</v>
      </c>
      <c r="K67" s="30">
        <v>131126.32640295662</v>
      </c>
      <c r="L67" s="30">
        <v>239362.9783349093</v>
      </c>
      <c r="M67" s="30">
        <v>-881951.63903615391</v>
      </c>
      <c r="N67" s="124"/>
    </row>
    <row r="68" spans="1:14" ht="13.5" thickTop="1">
      <c r="A68" s="115" t="s">
        <v>64</v>
      </c>
      <c r="B68" s="31">
        <f>+B67</f>
        <v>-1263474.9897115808</v>
      </c>
      <c r="C68" s="31">
        <f>+B68+C67</f>
        <v>-1365485.9385833154</v>
      </c>
      <c r="D68" s="31">
        <f t="shared" ref="D68:M68" si="17">+C68+D67</f>
        <v>-510844.457135248</v>
      </c>
      <c r="E68" s="31">
        <f t="shared" si="17"/>
        <v>39265.226583616342</v>
      </c>
      <c r="F68" s="31">
        <f t="shared" si="17"/>
        <v>-19187.808919855393</v>
      </c>
      <c r="G68" s="31">
        <f t="shared" si="17"/>
        <v>-26169.55751675088</v>
      </c>
      <c r="H68" s="31">
        <f t="shared" si="17"/>
        <v>142354.86989390478</v>
      </c>
      <c r="I68" s="31">
        <f t="shared" si="17"/>
        <v>641762.77011633199</v>
      </c>
      <c r="J68" s="31">
        <f t="shared" si="17"/>
        <v>1297874.5202156384</v>
      </c>
      <c r="K68" s="31">
        <f t="shared" si="17"/>
        <v>1429000.8466185951</v>
      </c>
      <c r="L68" s="31">
        <f t="shared" si="17"/>
        <v>1668363.8249535044</v>
      </c>
      <c r="M68" s="31">
        <f t="shared" si="17"/>
        <v>786412.18591735046</v>
      </c>
      <c r="N68" s="125"/>
    </row>
    <row r="69" spans="1:14">
      <c r="A69" s="115" t="s">
        <v>65</v>
      </c>
      <c r="B69" s="16">
        <v>12917512</v>
      </c>
      <c r="C69" s="16">
        <v>12793700</v>
      </c>
      <c r="D69" s="16">
        <v>13941855</v>
      </c>
      <c r="E69" s="16">
        <v>14525011</v>
      </c>
      <c r="F69" s="16">
        <v>14399159</v>
      </c>
      <c r="G69" s="16">
        <v>14361469</v>
      </c>
      <c r="H69" s="16">
        <v>14462138</v>
      </c>
      <c r="I69" s="16">
        <v>15244556</v>
      </c>
      <c r="J69" s="16">
        <v>15579898</v>
      </c>
      <c r="K69" s="16">
        <v>15948341</v>
      </c>
      <c r="L69" s="16">
        <v>16058562</v>
      </c>
      <c r="M69" s="16">
        <v>14998982</v>
      </c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12398.508551932871</v>
      </c>
      <c r="E72" s="31">
        <f t="shared" si="18"/>
        <v>325241.79628113564</v>
      </c>
      <c r="F72" s="31">
        <f t="shared" si="18"/>
        <v>241259.03550347174</v>
      </c>
      <c r="G72" s="31">
        <f t="shared" si="18"/>
        <v>76133.748596895486</v>
      </c>
      <c r="H72" s="31">
        <f t="shared" si="18"/>
        <v>-29494.427410655655</v>
      </c>
      <c r="I72" s="31">
        <f t="shared" si="18"/>
        <v>-707666.90022242721</v>
      </c>
      <c r="J72" s="31">
        <f t="shared" si="18"/>
        <v>-2974882.7500993065</v>
      </c>
      <c r="K72" s="31">
        <f t="shared" si="18"/>
        <v>215084.67359704338</v>
      </c>
      <c r="L72" s="31">
        <f t="shared" si="18"/>
        <v>-114354.9783349093</v>
      </c>
      <c r="M72" s="31">
        <f t="shared" si="18"/>
        <v>425350.63903615391</v>
      </c>
      <c r="N72" s="125"/>
    </row>
    <row r="73" spans="1:14" s="6" customFormat="1">
      <c r="A73" s="115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122948.89713524841</v>
      </c>
      <c r="E73" s="31">
        <f t="shared" si="18"/>
        <v>448190.69341638405</v>
      </c>
      <c r="F73" s="31">
        <f t="shared" si="18"/>
        <v>689449.72891985578</v>
      </c>
      <c r="G73" s="31">
        <f t="shared" si="18"/>
        <v>765583.47751675127</v>
      </c>
      <c r="H73" s="31">
        <f t="shared" si="18"/>
        <v>736089.05010609562</v>
      </c>
      <c r="I73" s="31">
        <f t="shared" si="18"/>
        <v>28422.149883668404</v>
      </c>
      <c r="J73" s="31">
        <f t="shared" si="18"/>
        <v>-2946460.6002156381</v>
      </c>
      <c r="K73" s="31">
        <f t="shared" si="18"/>
        <v>-2731375.9266185947</v>
      </c>
      <c r="L73" s="31">
        <f t="shared" si="18"/>
        <v>-2845730.904953504</v>
      </c>
      <c r="M73" s="31">
        <f t="shared" si="18"/>
        <v>-2420380.2659173501</v>
      </c>
      <c r="N73" s="125">
        <f t="shared" si="18"/>
        <v>0</v>
      </c>
    </row>
    <row r="74" spans="1:14">
      <c r="A74" s="121" t="s">
        <v>65</v>
      </c>
      <c r="B74" s="122">
        <f t="shared" si="18"/>
        <v>-412182</v>
      </c>
      <c r="C74" s="122">
        <f t="shared" si="18"/>
        <v>-449688.55000000075</v>
      </c>
      <c r="D74" s="122">
        <f t="shared" si="18"/>
        <v>-730803.55999999866</v>
      </c>
      <c r="E74" s="122">
        <f t="shared" si="18"/>
        <v>-438608.08000000007</v>
      </c>
      <c r="F74" s="122">
        <f t="shared" si="18"/>
        <v>-129950.08000000007</v>
      </c>
      <c r="G74" s="122">
        <f t="shared" si="18"/>
        <v>-23108.080000000075</v>
      </c>
      <c r="H74" s="122">
        <f t="shared" si="18"/>
        <v>15252.919999999925</v>
      </c>
      <c r="I74" s="122">
        <f t="shared" si="18"/>
        <v>-975424.08000000007</v>
      </c>
      <c r="J74" s="122">
        <f t="shared" si="18"/>
        <v>-3629537.08</v>
      </c>
      <c r="K74" s="122">
        <f t="shared" si="18"/>
        <v>-3651769.08</v>
      </c>
      <c r="L74" s="122">
        <f t="shared" si="18"/>
        <v>-3636982.08</v>
      </c>
      <c r="M74" s="122">
        <f t="shared" si="18"/>
        <v>-3034003.08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92D050"/>
    <pageSetUpPr fitToPage="1"/>
  </sheetPr>
  <dimension ref="A1:U85"/>
  <sheetViews>
    <sheetView showGridLines="0" zoomScaleNormal="100" workbookViewId="0"/>
  </sheetViews>
  <sheetFormatPr defaultRowHeight="12.75" outlineLevelRow="1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137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24</v>
      </c>
      <c r="K2" s="92" t="s">
        <v>24</v>
      </c>
      <c r="L2" s="92" t="s">
        <v>24</v>
      </c>
      <c r="M2" s="92" t="s">
        <v>76</v>
      </c>
      <c r="N2" s="93" t="s">
        <v>25</v>
      </c>
    </row>
    <row r="3" spans="1:14" s="5" customFormat="1">
      <c r="B3" s="94">
        <v>43648</v>
      </c>
      <c r="C3" s="95">
        <v>43679</v>
      </c>
      <c r="D3" s="95">
        <v>43710</v>
      </c>
      <c r="E3" s="94">
        <v>43740</v>
      </c>
      <c r="F3" s="94">
        <v>43771</v>
      </c>
      <c r="G3" s="95">
        <v>43801</v>
      </c>
      <c r="H3" s="94">
        <v>43832</v>
      </c>
      <c r="I3" s="94">
        <v>43863</v>
      </c>
      <c r="J3" s="94">
        <v>43892</v>
      </c>
      <c r="K3" s="94">
        <v>43923</v>
      </c>
      <c r="L3" s="94">
        <v>43953</v>
      </c>
      <c r="M3" s="94">
        <v>43984</v>
      </c>
      <c r="N3" s="94" t="s">
        <v>133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1506911</v>
      </c>
      <c r="C5" s="101">
        <v>4218296</v>
      </c>
      <c r="D5" s="101">
        <v>4008767</v>
      </c>
      <c r="E5" s="101">
        <v>3723428</v>
      </c>
      <c r="F5" s="101">
        <v>2637007</v>
      </c>
      <c r="G5" s="101">
        <v>1983421</v>
      </c>
      <c r="H5" s="101">
        <v>3653867</v>
      </c>
      <c r="I5" s="101">
        <v>3466709</v>
      </c>
      <c r="J5" s="101">
        <v>1847037</v>
      </c>
      <c r="K5" s="101">
        <v>498208</v>
      </c>
      <c r="L5" s="101">
        <v>505018</v>
      </c>
      <c r="M5" s="101">
        <v>1394806.15129</v>
      </c>
      <c r="N5" s="102">
        <f>SUM(B5:M5)</f>
        <v>29443475.151289999</v>
      </c>
    </row>
    <row r="6" spans="1:14" s="6" customFormat="1" ht="12.75" hidden="1" customHeight="1" outlineLevel="1">
      <c r="A6" s="100" t="s">
        <v>29</v>
      </c>
      <c r="B6" s="101">
        <v>122669</v>
      </c>
      <c r="C6" s="101">
        <v>65308</v>
      </c>
      <c r="D6" s="101">
        <v>368424</v>
      </c>
      <c r="E6" s="101">
        <v>265657</v>
      </c>
      <c r="F6" s="101">
        <v>90828</v>
      </c>
      <c r="G6" s="101">
        <v>46005</v>
      </c>
      <c r="H6" s="101">
        <v>118231</v>
      </c>
      <c r="I6" s="101">
        <v>200445</v>
      </c>
      <c r="J6" s="101">
        <v>82594</v>
      </c>
      <c r="K6" s="101">
        <v>415615</v>
      </c>
      <c r="L6" s="101">
        <v>114560</v>
      </c>
      <c r="M6" s="101">
        <v>105525</v>
      </c>
      <c r="N6" s="103">
        <f>SUM(B6:M6)</f>
        <v>1995861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2029426</v>
      </c>
      <c r="H9" s="12">
        <f t="shared" si="0"/>
        <v>3772098</v>
      </c>
      <c r="I9" s="12">
        <f t="shared" si="0"/>
        <v>3667154</v>
      </c>
      <c r="J9" s="12">
        <f t="shared" si="0"/>
        <v>1929631</v>
      </c>
      <c r="K9" s="12">
        <f t="shared" si="0"/>
        <v>913823</v>
      </c>
      <c r="L9" s="12">
        <f t="shared" si="0"/>
        <v>619578</v>
      </c>
      <c r="M9" s="12">
        <f t="shared" si="0"/>
        <v>1500331.15129</v>
      </c>
      <c r="N9" s="12">
        <f t="shared" si="0"/>
        <v>31439336.151289999</v>
      </c>
    </row>
    <row r="10" spans="1:14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>
        <v>3197</v>
      </c>
      <c r="H11" s="7">
        <v>282</v>
      </c>
      <c r="I11" s="7">
        <v>24231</v>
      </c>
      <c r="J11" s="7">
        <v>1009</v>
      </c>
      <c r="K11" s="7">
        <v>1394</v>
      </c>
      <c r="L11" s="7">
        <v>0</v>
      </c>
      <c r="M11" s="7"/>
      <c r="N11" s="7">
        <f>SUM(B11:M11)</f>
        <v>32940.400000000001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2032623</v>
      </c>
      <c r="H13" s="14">
        <f t="shared" si="1"/>
        <v>3772380</v>
      </c>
      <c r="I13" s="14">
        <f t="shared" si="1"/>
        <v>3691385</v>
      </c>
      <c r="J13" s="14">
        <f t="shared" si="1"/>
        <v>1930640</v>
      </c>
      <c r="K13" s="14">
        <f t="shared" si="1"/>
        <v>915217</v>
      </c>
      <c r="L13" s="14">
        <f t="shared" si="1"/>
        <v>619578</v>
      </c>
      <c r="M13" s="14">
        <f t="shared" si="1"/>
        <v>1500331.15129</v>
      </c>
      <c r="N13" s="14">
        <f t="shared" si="1"/>
        <v>31472276.551289998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789538</v>
      </c>
      <c r="C16" s="101">
        <v>2542832</v>
      </c>
      <c r="D16" s="101">
        <v>1670912</v>
      </c>
      <c r="E16" s="101">
        <v>1241006</v>
      </c>
      <c r="F16" s="101">
        <v>943426</v>
      </c>
      <c r="G16" s="101">
        <v>694088</v>
      </c>
      <c r="H16" s="101">
        <v>1773539</v>
      </c>
      <c r="I16" s="101">
        <v>1361474</v>
      </c>
      <c r="J16" s="101">
        <v>608125</v>
      </c>
      <c r="K16" s="101">
        <v>529974</v>
      </c>
      <c r="L16" s="101">
        <v>287856</v>
      </c>
      <c r="M16" s="101">
        <v>726619.06070999999</v>
      </c>
      <c r="N16" s="103">
        <f>SUM(B16:M16)</f>
        <v>13169389.06071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694088</v>
      </c>
      <c r="H20" s="12">
        <f t="shared" si="2"/>
        <v>1773539</v>
      </c>
      <c r="I20" s="12">
        <f t="shared" si="2"/>
        <v>1361474</v>
      </c>
      <c r="J20" s="12">
        <f t="shared" si="2"/>
        <v>608125</v>
      </c>
      <c r="K20" s="12">
        <f t="shared" si="2"/>
        <v>529974</v>
      </c>
      <c r="L20" s="12">
        <f t="shared" si="2"/>
        <v>287856</v>
      </c>
      <c r="M20" s="12">
        <f t="shared" si="2"/>
        <v>726619.06070999999</v>
      </c>
      <c r="N20" s="12">
        <f t="shared" si="2"/>
        <v>13169389.06071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717373</v>
      </c>
      <c r="C23" s="103">
        <f t="shared" si="3"/>
        <v>1675464</v>
      </c>
      <c r="D23" s="103">
        <f t="shared" si="3"/>
        <v>2337855</v>
      </c>
      <c r="E23" s="103">
        <f t="shared" si="3"/>
        <v>2482422</v>
      </c>
      <c r="F23" s="103">
        <f t="shared" si="3"/>
        <v>1693581</v>
      </c>
      <c r="G23" s="103">
        <f t="shared" si="3"/>
        <v>1289333</v>
      </c>
      <c r="H23" s="103">
        <f t="shared" si="3"/>
        <v>1880328</v>
      </c>
      <c r="I23" s="103">
        <f t="shared" si="3"/>
        <v>2105235</v>
      </c>
      <c r="J23" s="103">
        <f t="shared" si="3"/>
        <v>1238912</v>
      </c>
      <c r="K23" s="103">
        <f t="shared" si="3"/>
        <v>-31766</v>
      </c>
      <c r="L23" s="103">
        <f t="shared" si="3"/>
        <v>217162</v>
      </c>
      <c r="M23" s="103">
        <f t="shared" si="3"/>
        <v>668187.09057999996</v>
      </c>
      <c r="N23" s="103">
        <f>SUM(B23:M23)</f>
        <v>16274086.09058</v>
      </c>
    </row>
    <row r="24" spans="1:14" s="6" customFormat="1" hidden="1" outlineLevel="1">
      <c r="A24" s="100" t="s">
        <v>37</v>
      </c>
      <c r="B24" s="103">
        <f t="shared" si="3"/>
        <v>122669</v>
      </c>
      <c r="C24" s="103">
        <f t="shared" si="3"/>
        <v>65308</v>
      </c>
      <c r="D24" s="103">
        <f t="shared" si="3"/>
        <v>368424</v>
      </c>
      <c r="E24" s="103">
        <f t="shared" si="3"/>
        <v>265657</v>
      </c>
      <c r="F24" s="103">
        <f t="shared" si="3"/>
        <v>90828</v>
      </c>
      <c r="G24" s="103">
        <f t="shared" si="3"/>
        <v>46005</v>
      </c>
      <c r="H24" s="103">
        <f t="shared" si="3"/>
        <v>118231</v>
      </c>
      <c r="I24" s="103">
        <f t="shared" si="3"/>
        <v>200445</v>
      </c>
      <c r="J24" s="103">
        <f t="shared" si="3"/>
        <v>82594</v>
      </c>
      <c r="K24" s="103">
        <f t="shared" si="3"/>
        <v>415615</v>
      </c>
      <c r="L24" s="103">
        <f t="shared" si="3"/>
        <v>114560</v>
      </c>
      <c r="M24" s="103">
        <f t="shared" si="3"/>
        <v>105525</v>
      </c>
      <c r="N24" s="103">
        <f>SUM(B24:M24)</f>
        <v>1995861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1335338</v>
      </c>
      <c r="H27" s="12">
        <f>SUM(H23:H26)</f>
        <v>1998559</v>
      </c>
      <c r="I27" s="12">
        <f t="shared" si="4"/>
        <v>2305680</v>
      </c>
      <c r="J27" s="12">
        <f t="shared" si="4"/>
        <v>1321506</v>
      </c>
      <c r="K27" s="12">
        <f t="shared" si="4"/>
        <v>383849</v>
      </c>
      <c r="L27" s="12">
        <f t="shared" si="4"/>
        <v>331722</v>
      </c>
      <c r="M27" s="12">
        <f>SUM(M23:M26)</f>
        <v>773712.09057999996</v>
      </c>
      <c r="N27" s="12">
        <f t="shared" si="4"/>
        <v>18269947.090580001</v>
      </c>
    </row>
    <row r="28" spans="1:14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0.65798802222894548</v>
      </c>
      <c r="H28" s="73">
        <f t="shared" si="5"/>
        <v>0.52982690269446875</v>
      </c>
      <c r="I28" s="73">
        <f t="shared" si="5"/>
        <v>0.62873825315217191</v>
      </c>
      <c r="J28" s="73">
        <f t="shared" si="5"/>
        <v>0.68484907218012148</v>
      </c>
      <c r="K28" s="73">
        <f t="shared" si="5"/>
        <v>0.42004742712757287</v>
      </c>
      <c r="L28" s="73">
        <f t="shared" si="5"/>
        <v>0.53539990122309056</v>
      </c>
      <c r="M28" s="73">
        <f t="shared" si="5"/>
        <v>0.51569421185099995</v>
      </c>
      <c r="N28" s="73">
        <f t="shared" si="5"/>
        <v>0.58111745752718003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599577</v>
      </c>
      <c r="C30" s="101">
        <v>671079</v>
      </c>
      <c r="D30" s="101">
        <v>793811</v>
      </c>
      <c r="E30" s="101">
        <v>957117</v>
      </c>
      <c r="F30" s="101">
        <v>689782</v>
      </c>
      <c r="G30" s="101">
        <v>611497</v>
      </c>
      <c r="H30" s="101">
        <v>797690</v>
      </c>
      <c r="I30" s="101">
        <v>796901</v>
      </c>
      <c r="J30" s="101">
        <v>903621</v>
      </c>
      <c r="K30" s="101">
        <v>223320</v>
      </c>
      <c r="L30" s="101">
        <v>204094</v>
      </c>
      <c r="M30" s="101">
        <v>505922.77644506848</v>
      </c>
      <c r="N30" s="103">
        <f>SUM(B30:M30)</f>
        <v>7754411.7764450684</v>
      </c>
    </row>
    <row r="31" spans="1:14" s="6" customFormat="1" hidden="1" outlineLevel="1">
      <c r="A31" s="100" t="s">
        <v>42</v>
      </c>
      <c r="B31" s="101">
        <v>243836</v>
      </c>
      <c r="C31" s="101">
        <v>217946</v>
      </c>
      <c r="D31" s="101">
        <v>239113</v>
      </c>
      <c r="E31" s="101">
        <v>257850</v>
      </c>
      <c r="F31" s="101">
        <v>223271</v>
      </c>
      <c r="G31" s="101">
        <v>225464</v>
      </c>
      <c r="H31" s="101">
        <v>230373</v>
      </c>
      <c r="I31" s="101">
        <v>232734</v>
      </c>
      <c r="J31" s="101">
        <v>229623</v>
      </c>
      <c r="K31" s="101">
        <v>12683</v>
      </c>
      <c r="L31" s="101">
        <v>146856</v>
      </c>
      <c r="M31" s="101">
        <v>196662.95050247436</v>
      </c>
      <c r="N31" s="103">
        <f>SUM(B31:M31)</f>
        <v>2456411.9505024743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836961</v>
      </c>
      <c r="H34" s="12">
        <f t="shared" si="6"/>
        <v>1028063</v>
      </c>
      <c r="I34" s="12">
        <f t="shared" si="6"/>
        <v>1029635</v>
      </c>
      <c r="J34" s="12">
        <f t="shared" si="6"/>
        <v>1133244</v>
      </c>
      <c r="K34" s="12">
        <f t="shared" si="6"/>
        <v>236003</v>
      </c>
      <c r="L34" s="12">
        <f t="shared" si="6"/>
        <v>350950</v>
      </c>
      <c r="M34" s="12">
        <f t="shared" si="6"/>
        <v>702585.72694754286</v>
      </c>
      <c r="N34" s="12">
        <f t="shared" si="6"/>
        <v>10210823.726947542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1312659</v>
      </c>
      <c r="C37" s="101">
        <v>1350844</v>
      </c>
      <c r="D37" s="101">
        <v>1621977</v>
      </c>
      <c r="E37" s="101">
        <v>1862721</v>
      </c>
      <c r="F37" s="101">
        <v>1464546</v>
      </c>
      <c r="G37" s="108">
        <v>1373998</v>
      </c>
      <c r="H37" s="108">
        <v>1519146</v>
      </c>
      <c r="I37" s="108">
        <v>1796509</v>
      </c>
      <c r="J37" s="108">
        <v>1596741</v>
      </c>
      <c r="K37" s="108">
        <v>523929</v>
      </c>
      <c r="L37" s="101">
        <v>628089</v>
      </c>
      <c r="M37" s="101">
        <v>1205462.7296161538</v>
      </c>
      <c r="N37" s="103">
        <f>SUM(B37:M37)</f>
        <v>16256621.729616154</v>
      </c>
    </row>
    <row r="38" spans="1:14" s="6" customFormat="1" ht="12.75" hidden="1" customHeight="1" outlineLevel="1">
      <c r="A38" s="100" t="s">
        <v>46</v>
      </c>
      <c r="B38" s="103">
        <f>-B34</f>
        <v>-843413</v>
      </c>
      <c r="C38" s="103">
        <f t="shared" ref="C38:M38" si="7">-C34</f>
        <v>-889025</v>
      </c>
      <c r="D38" s="103">
        <f t="shared" si="7"/>
        <v>-1032924</v>
      </c>
      <c r="E38" s="103">
        <f t="shared" si="7"/>
        <v>-1214967</v>
      </c>
      <c r="F38" s="103">
        <f t="shared" si="7"/>
        <v>-913053</v>
      </c>
      <c r="G38" s="103">
        <f t="shared" si="7"/>
        <v>-836961</v>
      </c>
      <c r="H38" s="103">
        <f>-H34</f>
        <v>-1028063</v>
      </c>
      <c r="I38" s="103">
        <f t="shared" si="7"/>
        <v>-1029635</v>
      </c>
      <c r="J38" s="103">
        <f t="shared" si="7"/>
        <v>-1133244</v>
      </c>
      <c r="K38" s="103">
        <f t="shared" si="7"/>
        <v>-236003</v>
      </c>
      <c r="L38" s="103">
        <f t="shared" si="7"/>
        <v>-350950</v>
      </c>
      <c r="M38" s="103">
        <f t="shared" si="7"/>
        <v>-702585.72694754286</v>
      </c>
      <c r="N38" s="103">
        <f>SUM(B38:M38)</f>
        <v>-10210823.726947542</v>
      </c>
    </row>
    <row r="39" spans="1:14" s="6" customFormat="1" ht="12.75" hidden="1" customHeight="1" outlineLevel="1">
      <c r="A39" s="100" t="s">
        <v>47</v>
      </c>
      <c r="B39" s="109">
        <v>-77862</v>
      </c>
      <c r="C39" s="109">
        <v>-77862</v>
      </c>
      <c r="D39" s="109">
        <v>-77862</v>
      </c>
      <c r="E39" s="109">
        <v>-77862</v>
      </c>
      <c r="F39" s="109">
        <v>-77862</v>
      </c>
      <c r="G39" s="109">
        <v>-79350</v>
      </c>
      <c r="H39" s="109">
        <v>-79350</v>
      </c>
      <c r="I39" s="109">
        <v>-80109</v>
      </c>
      <c r="J39" s="109">
        <v>-83438</v>
      </c>
      <c r="K39" s="109">
        <v>-77975</v>
      </c>
      <c r="L39" s="109">
        <v>-77551</v>
      </c>
      <c r="M39" s="109">
        <v>-85493</v>
      </c>
      <c r="N39" s="103">
        <f>SUM(B39:M39)</f>
        <v>-952576</v>
      </c>
    </row>
    <row r="40" spans="1:14" s="6" customFormat="1" ht="12.75" hidden="1" customHeight="1" outlineLevel="1">
      <c r="A40" s="100" t="s">
        <v>124</v>
      </c>
      <c r="B40" s="101">
        <v>-8600</v>
      </c>
      <c r="C40" s="101">
        <v>-8600</v>
      </c>
      <c r="D40" s="101">
        <v>-8600</v>
      </c>
      <c r="E40" s="101">
        <v>-8600</v>
      </c>
      <c r="F40" s="101">
        <v>-8600</v>
      </c>
      <c r="G40" s="101">
        <v>-8600</v>
      </c>
      <c r="H40" s="101">
        <v>-8600</v>
      </c>
      <c r="I40" s="101">
        <v>-8600</v>
      </c>
      <c r="J40" s="101">
        <v>-8600</v>
      </c>
      <c r="K40" s="101">
        <v>-7963</v>
      </c>
      <c r="L40" s="101">
        <v>-7607</v>
      </c>
      <c r="M40" s="101">
        <v>-8893</v>
      </c>
      <c r="N40" s="103">
        <f>SUM(B40:M40)</f>
        <v>-101863</v>
      </c>
    </row>
    <row r="41" spans="1:14" s="6" customFormat="1" ht="12.75" hidden="1" customHeight="1" outlineLevel="1">
      <c r="A41" s="100" t="s">
        <v>48</v>
      </c>
      <c r="B41" s="110">
        <v>-4150</v>
      </c>
      <c r="C41" s="110">
        <v>-4250</v>
      </c>
      <c r="D41" s="110">
        <v>-4250</v>
      </c>
      <c r="E41" s="110">
        <v>-4250</v>
      </c>
      <c r="F41" s="110">
        <v>-4250</v>
      </c>
      <c r="G41" s="110">
        <v>-10050</v>
      </c>
      <c r="H41" s="110">
        <v>-4250</v>
      </c>
      <c r="I41" s="110">
        <v>-4250</v>
      </c>
      <c r="J41" s="110">
        <v>-4550</v>
      </c>
      <c r="K41" s="110">
        <v>-4550</v>
      </c>
      <c r="L41" s="110">
        <v>-4550</v>
      </c>
      <c r="M41" s="110">
        <v>-90050</v>
      </c>
      <c r="N41" s="104">
        <f>SUM(B41:M41)</f>
        <v>-143400</v>
      </c>
    </row>
    <row r="42" spans="1:14" s="6" customFormat="1" collapsed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439037</v>
      </c>
      <c r="H42" s="12">
        <f t="shared" si="8"/>
        <v>398883</v>
      </c>
      <c r="I42" s="12">
        <f t="shared" si="8"/>
        <v>673915</v>
      </c>
      <c r="J42" s="12">
        <f t="shared" si="8"/>
        <v>366909</v>
      </c>
      <c r="K42" s="12">
        <f t="shared" si="8"/>
        <v>197438</v>
      </c>
      <c r="L42" s="12">
        <f t="shared" si="8"/>
        <v>187431</v>
      </c>
      <c r="M42" s="12">
        <f t="shared" si="8"/>
        <v>318441.00266861089</v>
      </c>
      <c r="N42" s="12">
        <f t="shared" si="8"/>
        <v>4847959.0026686117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01">
        <v>313331</v>
      </c>
      <c r="C44" s="101">
        <v>400498</v>
      </c>
      <c r="D44" s="101">
        <v>331729</v>
      </c>
      <c r="E44" s="101">
        <v>309099</v>
      </c>
      <c r="F44" s="101">
        <v>349633</v>
      </c>
      <c r="G44" s="101">
        <v>248256</v>
      </c>
      <c r="H44" s="101">
        <v>313763</v>
      </c>
      <c r="I44" s="101">
        <v>301908</v>
      </c>
      <c r="J44" s="101">
        <v>329769</v>
      </c>
      <c r="K44" s="101">
        <v>229400</v>
      </c>
      <c r="L44" s="101">
        <v>194155</v>
      </c>
      <c r="M44" s="101">
        <v>669637</v>
      </c>
      <c r="N44" s="102">
        <f>SUM(B44:M44)</f>
        <v>3991178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248256</v>
      </c>
      <c r="H46" s="12">
        <f t="shared" si="9"/>
        <v>313763</v>
      </c>
      <c r="I46" s="12">
        <f t="shared" si="9"/>
        <v>301908</v>
      </c>
      <c r="J46" s="12">
        <f t="shared" si="9"/>
        <v>329769</v>
      </c>
      <c r="K46" s="12">
        <f t="shared" si="9"/>
        <v>229400</v>
      </c>
      <c r="L46" s="12">
        <f t="shared" si="9"/>
        <v>194155</v>
      </c>
      <c r="M46" s="12">
        <f t="shared" si="9"/>
        <v>669637</v>
      </c>
      <c r="N46" s="12">
        <f t="shared" si="9"/>
        <v>3991178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2218342</v>
      </c>
      <c r="H48" s="19">
        <f t="shared" si="10"/>
        <v>3514248</v>
      </c>
      <c r="I48" s="19">
        <f t="shared" si="10"/>
        <v>3366932</v>
      </c>
      <c r="J48" s="19">
        <f t="shared" si="10"/>
        <v>2438047</v>
      </c>
      <c r="K48" s="19">
        <f t="shared" si="10"/>
        <v>1192815</v>
      </c>
      <c r="L48" s="19">
        <f t="shared" si="10"/>
        <v>1020392</v>
      </c>
      <c r="M48" s="19">
        <f t="shared" si="10"/>
        <v>2417282.7903261539</v>
      </c>
      <c r="N48" s="19">
        <f t="shared" si="10"/>
        <v>32219349.790326156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-185719</v>
      </c>
      <c r="H50" s="12">
        <f>+H13-H48</f>
        <v>258132</v>
      </c>
      <c r="I50" s="12">
        <f t="shared" si="11"/>
        <v>324453</v>
      </c>
      <c r="J50" s="12">
        <f t="shared" si="11"/>
        <v>-507407</v>
      </c>
      <c r="K50" s="12">
        <f t="shared" si="11"/>
        <v>-277598</v>
      </c>
      <c r="L50" s="12">
        <f t="shared" si="11"/>
        <v>-400814</v>
      </c>
      <c r="M50" s="12">
        <f t="shared" si="11"/>
        <v>-916951.63903615391</v>
      </c>
      <c r="N50" s="12">
        <f>SUM(B50:M50)</f>
        <v>-747073.23903615354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29828</v>
      </c>
      <c r="H53" s="23">
        <v>16962</v>
      </c>
      <c r="I53" s="10">
        <v>-133</v>
      </c>
      <c r="J53" s="10">
        <v>1220</v>
      </c>
      <c r="K53" s="10">
        <v>-5939</v>
      </c>
      <c r="L53" s="10">
        <v>0</v>
      </c>
      <c r="M53" s="10">
        <v>10000</v>
      </c>
      <c r="N53" s="10">
        <f>SUM(B53:M53)</f>
        <v>217205.48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90000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/>
      <c r="N54" s="10">
        <f>SUM(B54:M54)</f>
        <v>90000</v>
      </c>
    </row>
    <row r="55" spans="1:21" s="6" customFormat="1">
      <c r="A55" s="6" t="s">
        <v>111</v>
      </c>
      <c r="B55" s="10">
        <v>425857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500000</v>
      </c>
      <c r="K55" s="10">
        <v>0</v>
      </c>
      <c r="L55" s="10">
        <v>0</v>
      </c>
      <c r="M55" s="56"/>
      <c r="N55" s="10">
        <f>SUM(B55:M55)</f>
        <v>925857</v>
      </c>
    </row>
    <row r="56" spans="1:21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-13668</v>
      </c>
      <c r="F56" s="7">
        <v>-12737</v>
      </c>
      <c r="G56" s="7">
        <v>-77693</v>
      </c>
      <c r="H56" s="7">
        <f>-12580-367</f>
        <v>-12947</v>
      </c>
      <c r="I56" s="7">
        <v>-11113</v>
      </c>
      <c r="J56" s="7">
        <v>-21563</v>
      </c>
      <c r="K56" s="7">
        <v>-12716</v>
      </c>
      <c r="L56" s="7">
        <v>-23915</v>
      </c>
      <c r="M56" s="7">
        <v>-20000</v>
      </c>
      <c r="N56" s="7">
        <f>SUM(B56:M56)</f>
        <v>-255297</v>
      </c>
    </row>
    <row r="57" spans="1:21" s="6" customFormat="1">
      <c r="A57" s="6" t="s">
        <v>134</v>
      </c>
      <c r="B57" s="22">
        <v>-29008</v>
      </c>
      <c r="C57" s="22">
        <v>209614</v>
      </c>
      <c r="D57" s="22">
        <v>-83076</v>
      </c>
      <c r="E57" s="22">
        <v>-215833</v>
      </c>
      <c r="F57" s="22">
        <v>-198902</v>
      </c>
      <c r="G57" s="22">
        <v>-207006</v>
      </c>
      <c r="H57" s="22">
        <v>115087</v>
      </c>
      <c r="I57" s="22">
        <v>543958</v>
      </c>
      <c r="J57" s="22">
        <v>1331707</v>
      </c>
      <c r="K57" s="22">
        <v>-605154</v>
      </c>
      <c r="L57" s="22">
        <v>-501907</v>
      </c>
      <c r="M57" s="22">
        <v>-25000</v>
      </c>
      <c r="N57" s="22">
        <f>SUM(B57:M57)</f>
        <v>334480</v>
      </c>
    </row>
    <row r="58" spans="1:21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-121639</v>
      </c>
      <c r="G58" s="19">
        <f t="shared" si="12"/>
        <v>-254871</v>
      </c>
      <c r="H58" s="19">
        <f>SUM(H53:H57)</f>
        <v>119102</v>
      </c>
      <c r="I58" s="19">
        <f t="shared" si="12"/>
        <v>532712</v>
      </c>
      <c r="J58" s="19">
        <f t="shared" si="12"/>
        <v>1811364</v>
      </c>
      <c r="K58" s="19">
        <f t="shared" si="12"/>
        <v>-623809</v>
      </c>
      <c r="L58" s="19">
        <f t="shared" si="12"/>
        <v>-525822</v>
      </c>
      <c r="M58" s="19">
        <f t="shared" si="12"/>
        <v>-35000</v>
      </c>
      <c r="N58" s="19">
        <f t="shared" si="12"/>
        <v>1312245.48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3113506.52</v>
      </c>
      <c r="F61" s="19">
        <f>+F58+F48</f>
        <v>2545254</v>
      </c>
      <c r="G61" s="19">
        <f t="shared" si="13"/>
        <v>1963471</v>
      </c>
      <c r="H61" s="19">
        <f t="shared" si="13"/>
        <v>3633350</v>
      </c>
      <c r="I61" s="19">
        <f t="shared" si="13"/>
        <v>3899644</v>
      </c>
      <c r="J61" s="19">
        <f t="shared" si="13"/>
        <v>4249411</v>
      </c>
      <c r="K61" s="19">
        <f t="shared" si="13"/>
        <v>569006</v>
      </c>
      <c r="L61" s="19">
        <f t="shared" si="13"/>
        <v>494570</v>
      </c>
      <c r="M61" s="19">
        <f t="shared" si="13"/>
        <v>2382282.7903261539</v>
      </c>
      <c r="N61" s="19">
        <f t="shared" si="13"/>
        <v>33531595.270326156</v>
      </c>
    </row>
    <row r="62" spans="1:21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875351.48</v>
      </c>
      <c r="F62" s="14">
        <f>+F13-F61</f>
        <v>182806</v>
      </c>
      <c r="G62" s="14">
        <f t="shared" si="14"/>
        <v>69152</v>
      </c>
      <c r="H62" s="14">
        <f t="shared" si="14"/>
        <v>139030</v>
      </c>
      <c r="I62" s="14">
        <f t="shared" si="14"/>
        <v>-208259</v>
      </c>
      <c r="J62" s="14">
        <f t="shared" si="14"/>
        <v>-2318771</v>
      </c>
      <c r="K62" s="14">
        <f t="shared" si="14"/>
        <v>346211</v>
      </c>
      <c r="L62" s="14">
        <f t="shared" si="14"/>
        <v>125008</v>
      </c>
      <c r="M62" s="14">
        <f t="shared" si="14"/>
        <v>-881951.63903615391</v>
      </c>
      <c r="N62" s="14">
        <f t="shared" si="14"/>
        <v>-2059318.7190361582</v>
      </c>
    </row>
    <row r="63" spans="1:21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487455.92000000039</v>
      </c>
      <c r="F63" s="12">
        <f t="shared" si="15"/>
        <v>670261.92000000039</v>
      </c>
      <c r="G63" s="12">
        <f t="shared" si="15"/>
        <v>739413.92000000039</v>
      </c>
      <c r="H63" s="12">
        <f t="shared" si="15"/>
        <v>878443.92000000039</v>
      </c>
      <c r="I63" s="12">
        <f>H63+I62</f>
        <v>670184.92000000039</v>
      </c>
      <c r="J63" s="12">
        <f t="shared" si="15"/>
        <v>-1648586.0799999996</v>
      </c>
      <c r="K63" s="12">
        <f t="shared" si="15"/>
        <v>-1302375.0799999996</v>
      </c>
      <c r="L63" s="12">
        <f t="shared" si="15"/>
        <v>-1177367.0799999996</v>
      </c>
      <c r="M63" s="12">
        <f t="shared" si="15"/>
        <v>-2059318.7190361535</v>
      </c>
      <c r="N63" s="12"/>
    </row>
    <row r="64" spans="1:21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14086402.92</v>
      </c>
      <c r="F64" s="12">
        <f>+$B$60+F63</f>
        <v>14269208.92</v>
      </c>
      <c r="G64" s="12">
        <f t="shared" si="16"/>
        <v>14338360.92</v>
      </c>
      <c r="H64" s="12">
        <f t="shared" si="16"/>
        <v>14477390.92</v>
      </c>
      <c r="I64" s="12">
        <f t="shared" si="16"/>
        <v>14269131.92</v>
      </c>
      <c r="J64" s="12">
        <f t="shared" si="16"/>
        <v>11950360.92</v>
      </c>
      <c r="K64" s="12">
        <f t="shared" si="16"/>
        <v>12296571.92</v>
      </c>
      <c r="L64" s="12">
        <f t="shared" si="16"/>
        <v>12421579.92</v>
      </c>
      <c r="M64" s="12">
        <f t="shared" si="16"/>
        <v>11539628.280963846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126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-1263474.9897115808</v>
      </c>
      <c r="C67" s="30">
        <v>-102010.94887173455</v>
      </c>
      <c r="D67" s="30">
        <v>854641.48144806735</v>
      </c>
      <c r="E67" s="30">
        <v>550109.68371886434</v>
      </c>
      <c r="F67" s="30">
        <v>-58453.035503471736</v>
      </c>
      <c r="G67" s="30">
        <v>-6981.7485968954861</v>
      </c>
      <c r="H67" s="30">
        <v>168524.42741065565</v>
      </c>
      <c r="I67" s="30">
        <v>499407.90022242721</v>
      </c>
      <c r="J67" s="30">
        <v>656111.75009930646</v>
      </c>
      <c r="K67" s="30">
        <v>131126.32640295662</v>
      </c>
      <c r="L67" s="30">
        <v>239362.9783349093</v>
      </c>
      <c r="M67" s="30">
        <v>-881951.63903615391</v>
      </c>
      <c r="N67" s="124"/>
    </row>
    <row r="68" spans="1:14" ht="13.5" thickTop="1">
      <c r="A68" s="115" t="s">
        <v>64</v>
      </c>
      <c r="B68" s="31">
        <f>+B67</f>
        <v>-1263474.9897115808</v>
      </c>
      <c r="C68" s="31">
        <f>+B68+C67</f>
        <v>-1365485.9385833154</v>
      </c>
      <c r="D68" s="31">
        <f t="shared" ref="D68:M68" si="17">+C68+D67</f>
        <v>-510844.457135248</v>
      </c>
      <c r="E68" s="31">
        <f t="shared" si="17"/>
        <v>39265.226583616342</v>
      </c>
      <c r="F68" s="31">
        <f t="shared" si="17"/>
        <v>-19187.808919855393</v>
      </c>
      <c r="G68" s="31">
        <f t="shared" si="17"/>
        <v>-26169.55751675088</v>
      </c>
      <c r="H68" s="31">
        <f t="shared" si="17"/>
        <v>142354.86989390478</v>
      </c>
      <c r="I68" s="31">
        <f t="shared" si="17"/>
        <v>641762.77011633199</v>
      </c>
      <c r="J68" s="31">
        <f t="shared" si="17"/>
        <v>1297874.5202156384</v>
      </c>
      <c r="K68" s="31">
        <f t="shared" si="17"/>
        <v>1429000.8466185951</v>
      </c>
      <c r="L68" s="31">
        <f t="shared" si="17"/>
        <v>1668363.8249535044</v>
      </c>
      <c r="M68" s="31">
        <f t="shared" si="17"/>
        <v>786412.18591735046</v>
      </c>
      <c r="N68" s="125"/>
    </row>
    <row r="69" spans="1:14">
      <c r="A69" s="115" t="s">
        <v>65</v>
      </c>
      <c r="B69" s="16">
        <v>12917512</v>
      </c>
      <c r="C69" s="16">
        <v>12793700</v>
      </c>
      <c r="D69" s="16">
        <v>13941855</v>
      </c>
      <c r="E69" s="16">
        <v>14525011</v>
      </c>
      <c r="F69" s="16">
        <v>14399159</v>
      </c>
      <c r="G69" s="16">
        <v>14361469</v>
      </c>
      <c r="H69" s="16">
        <v>14462138</v>
      </c>
      <c r="I69" s="16">
        <v>15244556</v>
      </c>
      <c r="J69" s="16">
        <v>15579898</v>
      </c>
      <c r="K69" s="16">
        <v>15948341</v>
      </c>
      <c r="L69" s="16">
        <v>16058562</v>
      </c>
      <c r="M69" s="16">
        <v>14998982</v>
      </c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12398.508551932871</v>
      </c>
      <c r="E72" s="31">
        <f t="shared" si="18"/>
        <v>325241.79628113564</v>
      </c>
      <c r="F72" s="31">
        <f t="shared" si="18"/>
        <v>241259.03550347174</v>
      </c>
      <c r="G72" s="31">
        <f t="shared" si="18"/>
        <v>76133.748596895486</v>
      </c>
      <c r="H72" s="31">
        <f t="shared" si="18"/>
        <v>-29494.427410655655</v>
      </c>
      <c r="I72" s="31">
        <f t="shared" si="18"/>
        <v>-707666.90022242721</v>
      </c>
      <c r="J72" s="31">
        <f t="shared" si="18"/>
        <v>-2974882.7500993065</v>
      </c>
      <c r="K72" s="31">
        <f t="shared" si="18"/>
        <v>215084.67359704338</v>
      </c>
      <c r="L72" s="31">
        <f t="shared" si="18"/>
        <v>-114354.9783349093</v>
      </c>
      <c r="M72" s="31">
        <f t="shared" si="18"/>
        <v>0</v>
      </c>
      <c r="N72" s="125"/>
    </row>
    <row r="73" spans="1:14" s="6" customFormat="1">
      <c r="A73" s="115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122948.89713524841</v>
      </c>
      <c r="E73" s="31">
        <f t="shared" si="18"/>
        <v>448190.69341638405</v>
      </c>
      <c r="F73" s="31">
        <f t="shared" si="18"/>
        <v>689449.72891985578</v>
      </c>
      <c r="G73" s="31">
        <f t="shared" si="18"/>
        <v>765583.47751675127</v>
      </c>
      <c r="H73" s="31">
        <f t="shared" si="18"/>
        <v>736089.05010609562</v>
      </c>
      <c r="I73" s="31">
        <f t="shared" si="18"/>
        <v>28422.149883668404</v>
      </c>
      <c r="J73" s="31">
        <f t="shared" si="18"/>
        <v>-2946460.6002156381</v>
      </c>
      <c r="K73" s="31">
        <f t="shared" si="18"/>
        <v>-2731375.9266185947</v>
      </c>
      <c r="L73" s="31">
        <f t="shared" si="18"/>
        <v>-2845730.904953504</v>
      </c>
      <c r="M73" s="31">
        <f t="shared" si="18"/>
        <v>-2845730.904953504</v>
      </c>
      <c r="N73" s="125">
        <f t="shared" si="18"/>
        <v>0</v>
      </c>
    </row>
    <row r="74" spans="1:14">
      <c r="A74" s="121" t="s">
        <v>65</v>
      </c>
      <c r="B74" s="122">
        <f t="shared" si="18"/>
        <v>-412182</v>
      </c>
      <c r="C74" s="122">
        <f t="shared" si="18"/>
        <v>-449688.55000000075</v>
      </c>
      <c r="D74" s="122">
        <f t="shared" si="18"/>
        <v>-730803.55999999866</v>
      </c>
      <c r="E74" s="122">
        <f t="shared" si="18"/>
        <v>-438608.08000000007</v>
      </c>
      <c r="F74" s="122">
        <f t="shared" si="18"/>
        <v>-129950.08000000007</v>
      </c>
      <c r="G74" s="122">
        <f t="shared" si="18"/>
        <v>-23108.080000000075</v>
      </c>
      <c r="H74" s="122">
        <f t="shared" si="18"/>
        <v>15252.919999999925</v>
      </c>
      <c r="I74" s="122">
        <f t="shared" si="18"/>
        <v>-975424.08000000007</v>
      </c>
      <c r="J74" s="122">
        <f t="shared" si="18"/>
        <v>-3629537.08</v>
      </c>
      <c r="K74" s="122">
        <f t="shared" si="18"/>
        <v>-3651769.08</v>
      </c>
      <c r="L74" s="122">
        <f t="shared" si="18"/>
        <v>-3636982.08</v>
      </c>
      <c r="M74" s="122">
        <f t="shared" si="18"/>
        <v>-3459353.7190361544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92D050"/>
    <pageSetUpPr fitToPage="1"/>
  </sheetPr>
  <dimension ref="A1:U85"/>
  <sheetViews>
    <sheetView showGridLines="0" zoomScale="90" zoomScaleNormal="90" workbookViewId="0">
      <selection activeCell="B11" sqref="B11"/>
    </sheetView>
  </sheetViews>
  <sheetFormatPr defaultRowHeight="12.75" outlineLevelRow="1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136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24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43648</v>
      </c>
      <c r="C3" s="95">
        <v>43679</v>
      </c>
      <c r="D3" s="95">
        <v>43710</v>
      </c>
      <c r="E3" s="94">
        <v>43740</v>
      </c>
      <c r="F3" s="94">
        <v>43771</v>
      </c>
      <c r="G3" s="95">
        <v>43801</v>
      </c>
      <c r="H3" s="94">
        <v>43832</v>
      </c>
      <c r="I3" s="94">
        <v>43863</v>
      </c>
      <c r="J3" s="94">
        <v>43892</v>
      </c>
      <c r="K3" s="94">
        <v>43923</v>
      </c>
      <c r="L3" s="94">
        <v>43953</v>
      </c>
      <c r="M3" s="94">
        <v>43984</v>
      </c>
      <c r="N3" s="94" t="s">
        <v>133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1506911</v>
      </c>
      <c r="C5" s="101">
        <v>4218296</v>
      </c>
      <c r="D5" s="101">
        <v>4008767</v>
      </c>
      <c r="E5" s="101">
        <v>3723428</v>
      </c>
      <c r="F5" s="101">
        <v>2637007</v>
      </c>
      <c r="G5" s="101">
        <v>1983421</v>
      </c>
      <c r="H5" s="101">
        <v>3653867</v>
      </c>
      <c r="I5" s="101">
        <v>3466709</v>
      </c>
      <c r="J5" s="101">
        <v>1847037</v>
      </c>
      <c r="K5" s="101">
        <v>3303515.2019700003</v>
      </c>
      <c r="L5" s="101">
        <v>2866321.64855</v>
      </c>
      <c r="M5" s="101">
        <v>1394806.15129</v>
      </c>
      <c r="N5" s="102">
        <f>SUM(B5:M5)</f>
        <v>34610086.001809999</v>
      </c>
    </row>
    <row r="6" spans="1:14" s="6" customFormat="1" ht="12.75" hidden="1" customHeight="1" outlineLevel="1">
      <c r="A6" s="100" t="s">
        <v>29</v>
      </c>
      <c r="B6" s="101">
        <v>122669</v>
      </c>
      <c r="C6" s="101">
        <v>65308</v>
      </c>
      <c r="D6" s="101">
        <v>368424</v>
      </c>
      <c r="E6" s="101">
        <v>265657</v>
      </c>
      <c r="F6" s="101">
        <v>90828</v>
      </c>
      <c r="G6" s="101">
        <v>46005</v>
      </c>
      <c r="H6" s="101">
        <v>118231</v>
      </c>
      <c r="I6" s="101">
        <v>200445</v>
      </c>
      <c r="J6" s="101">
        <v>82594</v>
      </c>
      <c r="K6" s="101">
        <v>123229</v>
      </c>
      <c r="L6" s="101">
        <v>130378</v>
      </c>
      <c r="M6" s="101">
        <v>105525</v>
      </c>
      <c r="N6" s="103">
        <f>SUM(B6:M6)</f>
        <v>1719293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2029426</v>
      </c>
      <c r="H9" s="12">
        <f t="shared" si="0"/>
        <v>3772098</v>
      </c>
      <c r="I9" s="12">
        <f t="shared" si="0"/>
        <v>3667154</v>
      </c>
      <c r="J9" s="12">
        <f t="shared" si="0"/>
        <v>1929631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36329379.001809999</v>
      </c>
    </row>
    <row r="10" spans="1:14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>
        <v>3197</v>
      </c>
      <c r="H11" s="7">
        <v>282</v>
      </c>
      <c r="I11" s="7">
        <v>24231</v>
      </c>
      <c r="J11" s="7">
        <v>1009</v>
      </c>
      <c r="K11" s="7"/>
      <c r="L11" s="7"/>
      <c r="M11" s="7"/>
      <c r="N11" s="7">
        <f>SUM(B11:M11)</f>
        <v>31546.400000000001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2032623</v>
      </c>
      <c r="H13" s="14">
        <f t="shared" si="1"/>
        <v>3772380</v>
      </c>
      <c r="I13" s="14">
        <f t="shared" si="1"/>
        <v>3691385</v>
      </c>
      <c r="J13" s="14">
        <f t="shared" si="1"/>
        <v>1930640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36360925.401809998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789538</v>
      </c>
      <c r="C16" s="101">
        <v>2542832</v>
      </c>
      <c r="D16" s="101">
        <v>1670912</v>
      </c>
      <c r="E16" s="101">
        <v>1241006</v>
      </c>
      <c r="F16" s="101">
        <v>943426</v>
      </c>
      <c r="G16" s="101">
        <v>694088</v>
      </c>
      <c r="H16" s="101">
        <v>1773539</v>
      </c>
      <c r="I16" s="101">
        <v>1361474</v>
      </c>
      <c r="J16" s="101">
        <v>608125</v>
      </c>
      <c r="K16" s="101">
        <v>1245676.8455400001</v>
      </c>
      <c r="L16" s="101">
        <v>1172737.3767599999</v>
      </c>
      <c r="M16" s="101">
        <v>726619.06070999999</v>
      </c>
      <c r="N16" s="103">
        <f>SUM(B16:M16)</f>
        <v>14769973.28301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694088</v>
      </c>
      <c r="H20" s="12">
        <f t="shared" si="2"/>
        <v>1773539</v>
      </c>
      <c r="I20" s="12">
        <f t="shared" si="2"/>
        <v>1361474</v>
      </c>
      <c r="J20" s="12">
        <f t="shared" si="2"/>
        <v>608125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14769973.28301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717373</v>
      </c>
      <c r="C23" s="103">
        <f t="shared" si="3"/>
        <v>1675464</v>
      </c>
      <c r="D23" s="103">
        <f t="shared" si="3"/>
        <v>2337855</v>
      </c>
      <c r="E23" s="103">
        <f t="shared" si="3"/>
        <v>2482422</v>
      </c>
      <c r="F23" s="103">
        <f t="shared" si="3"/>
        <v>1693581</v>
      </c>
      <c r="G23" s="103">
        <f t="shared" si="3"/>
        <v>1289333</v>
      </c>
      <c r="H23" s="103">
        <f t="shared" si="3"/>
        <v>1880328</v>
      </c>
      <c r="I23" s="103">
        <f t="shared" si="3"/>
        <v>2105235</v>
      </c>
      <c r="J23" s="103">
        <f t="shared" si="3"/>
        <v>1238912</v>
      </c>
      <c r="K23" s="103">
        <f t="shared" si="3"/>
        <v>2057838.3564300002</v>
      </c>
      <c r="L23" s="103">
        <f t="shared" si="3"/>
        <v>1693584.2717900001</v>
      </c>
      <c r="M23" s="103">
        <f t="shared" si="3"/>
        <v>668187.09057999996</v>
      </c>
      <c r="N23" s="103">
        <f>SUM(B23:M23)</f>
        <v>19840112.718800005</v>
      </c>
    </row>
    <row r="24" spans="1:14" s="6" customFormat="1" hidden="1" outlineLevel="1">
      <c r="A24" s="100" t="s">
        <v>37</v>
      </c>
      <c r="B24" s="103">
        <f t="shared" si="3"/>
        <v>122669</v>
      </c>
      <c r="C24" s="103">
        <f t="shared" si="3"/>
        <v>65308</v>
      </c>
      <c r="D24" s="103">
        <f t="shared" si="3"/>
        <v>368424</v>
      </c>
      <c r="E24" s="103">
        <f t="shared" si="3"/>
        <v>265657</v>
      </c>
      <c r="F24" s="103">
        <f t="shared" si="3"/>
        <v>90828</v>
      </c>
      <c r="G24" s="103">
        <f t="shared" si="3"/>
        <v>46005</v>
      </c>
      <c r="H24" s="103">
        <f t="shared" si="3"/>
        <v>118231</v>
      </c>
      <c r="I24" s="103">
        <f t="shared" si="3"/>
        <v>200445</v>
      </c>
      <c r="J24" s="103">
        <f t="shared" si="3"/>
        <v>82594</v>
      </c>
      <c r="K24" s="103">
        <f t="shared" si="3"/>
        <v>123229</v>
      </c>
      <c r="L24" s="103">
        <f t="shared" si="3"/>
        <v>130378</v>
      </c>
      <c r="M24" s="103">
        <f t="shared" si="3"/>
        <v>105525</v>
      </c>
      <c r="N24" s="103">
        <f>SUM(B24:M24)</f>
        <v>1719293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1335338</v>
      </c>
      <c r="H27" s="12">
        <f>SUM(H23:H26)</f>
        <v>1998559</v>
      </c>
      <c r="I27" s="12">
        <f t="shared" si="4"/>
        <v>2305680</v>
      </c>
      <c r="J27" s="12">
        <f t="shared" si="4"/>
        <v>1321506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21559405.718800005</v>
      </c>
    </row>
    <row r="28" spans="1:14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0.65798802222894548</v>
      </c>
      <c r="H28" s="73">
        <f t="shared" si="5"/>
        <v>0.52982690269446875</v>
      </c>
      <c r="I28" s="73">
        <f t="shared" si="5"/>
        <v>0.62873825315217191</v>
      </c>
      <c r="J28" s="73">
        <f t="shared" si="5"/>
        <v>0.68484907218012148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0.59344272627742611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599577</v>
      </c>
      <c r="C30" s="101">
        <v>671079</v>
      </c>
      <c r="D30" s="101">
        <v>793811</v>
      </c>
      <c r="E30" s="101">
        <v>957117</v>
      </c>
      <c r="F30" s="101">
        <v>689782</v>
      </c>
      <c r="G30" s="101">
        <v>611497</v>
      </c>
      <c r="H30" s="101">
        <v>797690</v>
      </c>
      <c r="I30" s="101">
        <v>796901</v>
      </c>
      <c r="J30" s="101">
        <v>903621</v>
      </c>
      <c r="K30" s="101">
        <v>843636.89934994141</v>
      </c>
      <c r="L30" s="101">
        <v>694327.62761942751</v>
      </c>
      <c r="M30" s="101">
        <v>505922.77644506848</v>
      </c>
      <c r="N30" s="103">
        <f>SUM(B30:M30)</f>
        <v>8864962.3034144379</v>
      </c>
    </row>
    <row r="31" spans="1:14" s="6" customFormat="1" hidden="1" outlineLevel="1">
      <c r="A31" s="100" t="s">
        <v>42</v>
      </c>
      <c r="B31" s="101">
        <v>243836</v>
      </c>
      <c r="C31" s="101">
        <v>217946</v>
      </c>
      <c r="D31" s="101">
        <v>239113</v>
      </c>
      <c r="E31" s="101">
        <v>257850</v>
      </c>
      <c r="F31" s="101">
        <v>223271</v>
      </c>
      <c r="G31" s="101">
        <v>225464</v>
      </c>
      <c r="H31" s="101">
        <v>230373</v>
      </c>
      <c r="I31" s="101">
        <v>232734</v>
      </c>
      <c r="J31" s="101">
        <v>229623</v>
      </c>
      <c r="K31" s="101">
        <v>235419.63067710202</v>
      </c>
      <c r="L31" s="101">
        <v>214783.16583566315</v>
      </c>
      <c r="M31" s="101">
        <v>196662.95050247436</v>
      </c>
      <c r="N31" s="103">
        <f>SUM(B31:M31)</f>
        <v>2747075.7470152397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836961</v>
      </c>
      <c r="H34" s="12">
        <f t="shared" si="6"/>
        <v>1028063</v>
      </c>
      <c r="I34" s="12">
        <f t="shared" si="6"/>
        <v>1029635</v>
      </c>
      <c r="J34" s="12">
        <f t="shared" si="6"/>
        <v>1133244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11612038.050429678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1312659</v>
      </c>
      <c r="C37" s="101">
        <v>1350844</v>
      </c>
      <c r="D37" s="101">
        <v>1621977</v>
      </c>
      <c r="E37" s="101">
        <v>1862721</v>
      </c>
      <c r="F37" s="101">
        <v>1464546</v>
      </c>
      <c r="G37" s="108">
        <v>1373998</v>
      </c>
      <c r="H37" s="108">
        <v>1519146</v>
      </c>
      <c r="I37" s="108">
        <v>1796509</v>
      </c>
      <c r="J37" s="108">
        <v>1596741</v>
      </c>
      <c r="K37" s="101">
        <v>1704354.0300270435</v>
      </c>
      <c r="L37" s="101">
        <v>1425328.2934550906</v>
      </c>
      <c r="M37" s="101">
        <v>1205462.7296161538</v>
      </c>
      <c r="N37" s="103">
        <f>SUM(B37:M37)</f>
        <v>18234286.053098287</v>
      </c>
    </row>
    <row r="38" spans="1:14" s="6" customFormat="1" ht="12.75" hidden="1" customHeight="1" outlineLevel="1">
      <c r="A38" s="100" t="s">
        <v>46</v>
      </c>
      <c r="B38" s="103">
        <f>-B34</f>
        <v>-843413</v>
      </c>
      <c r="C38" s="103">
        <f t="shared" ref="C38:M38" si="7">-C34</f>
        <v>-889025</v>
      </c>
      <c r="D38" s="103">
        <f t="shared" si="7"/>
        <v>-1032924</v>
      </c>
      <c r="E38" s="103">
        <f t="shared" si="7"/>
        <v>-1214967</v>
      </c>
      <c r="F38" s="103">
        <f t="shared" si="7"/>
        <v>-913053</v>
      </c>
      <c r="G38" s="103">
        <f t="shared" si="7"/>
        <v>-836961</v>
      </c>
      <c r="H38" s="103">
        <f>-H34</f>
        <v>-1028063</v>
      </c>
      <c r="I38" s="103">
        <f t="shared" si="7"/>
        <v>-1029635</v>
      </c>
      <c r="J38" s="103">
        <f t="shared" si="7"/>
        <v>-1133244</v>
      </c>
      <c r="K38" s="103">
        <f t="shared" si="7"/>
        <v>-1079056.5300270435</v>
      </c>
      <c r="L38" s="103">
        <f t="shared" si="7"/>
        <v>-909110.79345509061</v>
      </c>
      <c r="M38" s="103">
        <f t="shared" si="7"/>
        <v>-702585.72694754286</v>
      </c>
      <c r="N38" s="103">
        <f>SUM(B38:M38)</f>
        <v>-11612038.050429676</v>
      </c>
    </row>
    <row r="39" spans="1:14" s="6" customFormat="1" ht="12.75" hidden="1" customHeight="1" outlineLevel="1">
      <c r="A39" s="100" t="s">
        <v>47</v>
      </c>
      <c r="B39" s="109">
        <v>-77862</v>
      </c>
      <c r="C39" s="109">
        <v>-77862</v>
      </c>
      <c r="D39" s="109">
        <v>-77862</v>
      </c>
      <c r="E39" s="109">
        <v>-77862</v>
      </c>
      <c r="F39" s="109">
        <v>-77862</v>
      </c>
      <c r="G39" s="109">
        <v>-79350</v>
      </c>
      <c r="H39" s="109">
        <v>-79350</v>
      </c>
      <c r="I39" s="109">
        <v>-80109</v>
      </c>
      <c r="J39" s="109">
        <v>-83438</v>
      </c>
      <c r="K39" s="109">
        <v>-85493</v>
      </c>
      <c r="L39" s="109">
        <v>-85493</v>
      </c>
      <c r="M39" s="109">
        <v>-85493</v>
      </c>
      <c r="N39" s="103">
        <f>SUM(B39:M39)</f>
        <v>-968036</v>
      </c>
    </row>
    <row r="40" spans="1:14" s="6" customFormat="1" ht="12.75" hidden="1" customHeight="1" outlineLevel="1">
      <c r="A40" s="100" t="s">
        <v>124</v>
      </c>
      <c r="B40" s="101">
        <v>-8600</v>
      </c>
      <c r="C40" s="101">
        <v>-8600</v>
      </c>
      <c r="D40" s="101">
        <v>-8600</v>
      </c>
      <c r="E40" s="101">
        <v>-8600</v>
      </c>
      <c r="F40" s="101">
        <v>-8600</v>
      </c>
      <c r="G40" s="101">
        <v>-8600</v>
      </c>
      <c r="H40" s="101">
        <v>-8600</v>
      </c>
      <c r="I40" s="101">
        <v>-8600</v>
      </c>
      <c r="J40" s="101">
        <v>-8600</v>
      </c>
      <c r="K40" s="101">
        <v>-8893</v>
      </c>
      <c r="L40" s="101">
        <v>-8893</v>
      </c>
      <c r="M40" s="101">
        <v>-8893</v>
      </c>
      <c r="N40" s="103">
        <f>SUM(B40:M40)</f>
        <v>-104079</v>
      </c>
    </row>
    <row r="41" spans="1:14" s="6" customFormat="1" ht="12.75" hidden="1" customHeight="1" outlineLevel="1">
      <c r="A41" s="100" t="s">
        <v>48</v>
      </c>
      <c r="B41" s="110">
        <v>-4150</v>
      </c>
      <c r="C41" s="110">
        <v>-4250</v>
      </c>
      <c r="D41" s="110">
        <v>-4250</v>
      </c>
      <c r="E41" s="110">
        <v>-4250</v>
      </c>
      <c r="F41" s="110">
        <v>-4250</v>
      </c>
      <c r="G41" s="110">
        <v>-10050</v>
      </c>
      <c r="H41" s="110">
        <v>-4250</v>
      </c>
      <c r="I41" s="110">
        <v>-4250</v>
      </c>
      <c r="J41" s="110">
        <v>-4550</v>
      </c>
      <c r="K41" s="110">
        <v>-4550</v>
      </c>
      <c r="L41" s="110">
        <v>-4550</v>
      </c>
      <c r="M41" s="110">
        <v>-90050</v>
      </c>
      <c r="N41" s="104">
        <f>SUM(B41:M41)</f>
        <v>-143400</v>
      </c>
    </row>
    <row r="42" spans="1:14" s="6" customFormat="1" collapsed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439037</v>
      </c>
      <c r="H42" s="12">
        <f t="shared" si="8"/>
        <v>398883</v>
      </c>
      <c r="I42" s="12">
        <f t="shared" si="8"/>
        <v>673915</v>
      </c>
      <c r="J42" s="12">
        <f t="shared" si="8"/>
        <v>366909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5406733.0026686117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01">
        <v>313331</v>
      </c>
      <c r="C44" s="101">
        <v>400498</v>
      </c>
      <c r="D44" s="101">
        <v>331729</v>
      </c>
      <c r="E44" s="101">
        <v>309099</v>
      </c>
      <c r="F44" s="101">
        <v>349633</v>
      </c>
      <c r="G44" s="101">
        <v>248256</v>
      </c>
      <c r="H44" s="101">
        <v>313763</v>
      </c>
      <c r="I44" s="101">
        <v>301908</v>
      </c>
      <c r="J44" s="101">
        <v>329769</v>
      </c>
      <c r="K44" s="101">
        <v>384523</v>
      </c>
      <c r="L44" s="101">
        <v>298207</v>
      </c>
      <c r="M44" s="101">
        <v>669637</v>
      </c>
      <c r="N44" s="102">
        <f>SUM(B44:M44)</f>
        <v>4250353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248256</v>
      </c>
      <c r="H46" s="12">
        <f t="shared" si="9"/>
        <v>313763</v>
      </c>
      <c r="I46" s="12">
        <f t="shared" si="9"/>
        <v>301908</v>
      </c>
      <c r="J46" s="12">
        <f t="shared" si="9"/>
        <v>329769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4250353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</row>
    <row r="48" spans="1:14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2218342</v>
      </c>
      <c r="H48" s="19">
        <f t="shared" si="10"/>
        <v>3514248</v>
      </c>
      <c r="I48" s="19">
        <f t="shared" si="10"/>
        <v>3366932</v>
      </c>
      <c r="J48" s="19">
        <f t="shared" si="10"/>
        <v>2438047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36039097.33610829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</row>
    <row r="50" spans="1:21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-185719</v>
      </c>
      <c r="H50" s="12">
        <f>+H13-H48</f>
        <v>258132</v>
      </c>
      <c r="I50" s="12">
        <f t="shared" si="11"/>
        <v>324453</v>
      </c>
      <c r="J50" s="12">
        <f t="shared" si="11"/>
        <v>-507407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321828.06570171239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</row>
    <row r="53" spans="1:21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29828</v>
      </c>
      <c r="H53" s="23">
        <v>16962</v>
      </c>
      <c r="I53" s="10">
        <v>-133</v>
      </c>
      <c r="J53" s="10">
        <v>1220</v>
      </c>
      <c r="K53" s="10">
        <v>110000</v>
      </c>
      <c r="L53" s="10">
        <v>10000</v>
      </c>
      <c r="M53" s="10">
        <v>10000</v>
      </c>
      <c r="N53" s="10">
        <f>SUM(B53:M53)</f>
        <v>343144.48</v>
      </c>
      <c r="U53" s="40"/>
    </row>
    <row r="54" spans="1:21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1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>
        <v>500000</v>
      </c>
      <c r="K55" s="10"/>
      <c r="L55" s="10">
        <v>0</v>
      </c>
      <c r="M55" s="56"/>
      <c r="N55" s="10">
        <f>SUM(B55:M55)</f>
        <v>925857</v>
      </c>
    </row>
    <row r="56" spans="1:21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-13668</v>
      </c>
      <c r="F56" s="7">
        <v>-12737</v>
      </c>
      <c r="G56" s="7">
        <v>-77693</v>
      </c>
      <c r="H56" s="7">
        <f>-12580-367</f>
        <v>-12947</v>
      </c>
      <c r="I56" s="7">
        <v>-11113</v>
      </c>
      <c r="J56" s="7">
        <v>-21563</v>
      </c>
      <c r="K56" s="7">
        <v>-25000</v>
      </c>
      <c r="L56" s="7">
        <v>-25000</v>
      </c>
      <c r="M56" s="7">
        <v>-20000</v>
      </c>
      <c r="N56" s="7">
        <f>SUM(B56:M56)</f>
        <v>-268666</v>
      </c>
    </row>
    <row r="57" spans="1:21" s="6" customFormat="1">
      <c r="A57" s="6" t="s">
        <v>134</v>
      </c>
      <c r="B57" s="22">
        <v>-29008</v>
      </c>
      <c r="C57" s="22">
        <v>209614</v>
      </c>
      <c r="D57" s="22">
        <v>-83076</v>
      </c>
      <c r="E57" s="22">
        <v>-215833</v>
      </c>
      <c r="F57" s="22">
        <v>-198902</v>
      </c>
      <c r="G57" s="22">
        <v>-207006</v>
      </c>
      <c r="H57" s="22">
        <v>115087</v>
      </c>
      <c r="I57" s="22">
        <v>543958</v>
      </c>
      <c r="J57" s="22">
        <v>1331707</v>
      </c>
      <c r="K57" s="22">
        <v>-25000</v>
      </c>
      <c r="L57" s="22">
        <v>-25000</v>
      </c>
      <c r="M57" s="22">
        <v>-25000</v>
      </c>
      <c r="N57" s="22">
        <f>SUM(B57:M57)</f>
        <v>1391541</v>
      </c>
    </row>
    <row r="58" spans="1:21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-121639</v>
      </c>
      <c r="G58" s="19">
        <f t="shared" si="12"/>
        <v>-254871</v>
      </c>
      <c r="H58" s="19">
        <f>SUM(H53:H57)</f>
        <v>119102</v>
      </c>
      <c r="I58" s="19">
        <f t="shared" si="12"/>
        <v>532712</v>
      </c>
      <c r="J58" s="19">
        <f t="shared" si="12"/>
        <v>1811364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2481876.48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</row>
    <row r="61" spans="1:21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3113506.52</v>
      </c>
      <c r="F61" s="19">
        <f>+F58+F48</f>
        <v>2545254</v>
      </c>
      <c r="G61" s="19">
        <f t="shared" si="13"/>
        <v>1963471</v>
      </c>
      <c r="H61" s="19">
        <f t="shared" si="13"/>
        <v>3633350</v>
      </c>
      <c r="I61" s="19">
        <f t="shared" si="13"/>
        <v>3899644</v>
      </c>
      <c r="J61" s="19">
        <f t="shared" si="13"/>
        <v>4249411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38520973.816108286</v>
      </c>
    </row>
    <row r="62" spans="1:21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875351.48</v>
      </c>
      <c r="F62" s="14">
        <f>+F13-F61</f>
        <v>182806</v>
      </c>
      <c r="G62" s="14">
        <f t="shared" si="14"/>
        <v>69152</v>
      </c>
      <c r="H62" s="14">
        <f t="shared" si="14"/>
        <v>139030</v>
      </c>
      <c r="I62" s="14">
        <f t="shared" si="14"/>
        <v>-208259</v>
      </c>
      <c r="J62" s="14">
        <f t="shared" si="14"/>
        <v>-2318771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-2160048.4142982885</v>
      </c>
    </row>
    <row r="63" spans="1:21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487455.92000000039</v>
      </c>
      <c r="F63" s="12">
        <f t="shared" si="15"/>
        <v>670261.92000000039</v>
      </c>
      <c r="G63" s="12">
        <f t="shared" si="15"/>
        <v>739413.92000000039</v>
      </c>
      <c r="H63" s="12">
        <f t="shared" si="15"/>
        <v>878443.92000000039</v>
      </c>
      <c r="I63" s="12">
        <f>H63+I62</f>
        <v>670184.92000000039</v>
      </c>
      <c r="J63" s="12">
        <f t="shared" si="15"/>
        <v>-1648586.0799999996</v>
      </c>
      <c r="K63" s="12">
        <f t="shared" si="15"/>
        <v>-1517459.753597043</v>
      </c>
      <c r="L63" s="12">
        <f t="shared" si="15"/>
        <v>-1278096.7752621337</v>
      </c>
      <c r="M63" s="12">
        <f t="shared" si="15"/>
        <v>-2160048.4142982876</v>
      </c>
      <c r="N63" s="12"/>
    </row>
    <row r="64" spans="1:21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14086402.92</v>
      </c>
      <c r="F64" s="12">
        <f>+$B$60+F63</f>
        <v>14269208.92</v>
      </c>
      <c r="G64" s="12">
        <f t="shared" si="16"/>
        <v>14338360.92</v>
      </c>
      <c r="H64" s="12">
        <f t="shared" si="16"/>
        <v>14477390.92</v>
      </c>
      <c r="I64" s="12">
        <f t="shared" si="16"/>
        <v>14269131.92</v>
      </c>
      <c r="J64" s="12">
        <f t="shared" si="16"/>
        <v>11950360.92</v>
      </c>
      <c r="K64" s="12">
        <f t="shared" si="16"/>
        <v>12081487.246402957</v>
      </c>
      <c r="L64" s="12">
        <f t="shared" si="16"/>
        <v>12320850.224737866</v>
      </c>
      <c r="M64" s="12">
        <f t="shared" si="16"/>
        <v>11438898.585701711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</row>
    <row r="66" spans="1:14" s="6" customFormat="1">
      <c r="A66" s="112" t="s">
        <v>126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-1263474.9897115808</v>
      </c>
      <c r="C67" s="30">
        <v>-102010.94887173455</v>
      </c>
      <c r="D67" s="30">
        <v>854641.48144806735</v>
      </c>
      <c r="E67" s="30">
        <v>550109.68371886434</v>
      </c>
      <c r="F67" s="30">
        <v>-58453.035503471736</v>
      </c>
      <c r="G67" s="30">
        <v>-6981.7485968954861</v>
      </c>
      <c r="H67" s="30">
        <v>168524.42741065565</v>
      </c>
      <c r="I67" s="30">
        <v>499407.90022242721</v>
      </c>
      <c r="J67" s="30">
        <v>656111.75009930646</v>
      </c>
      <c r="K67" s="14">
        <v>131126.32640295662</v>
      </c>
      <c r="L67" s="14">
        <v>239362.9783349093</v>
      </c>
      <c r="M67" s="14">
        <v>-881951.63903615391</v>
      </c>
      <c r="N67" s="116"/>
    </row>
    <row r="68" spans="1:14" ht="13.5" thickTop="1">
      <c r="A68" s="115" t="s">
        <v>64</v>
      </c>
      <c r="B68" s="31">
        <f>+B67</f>
        <v>-1263474.9897115808</v>
      </c>
      <c r="C68" s="31">
        <f>+B68+C67</f>
        <v>-1365485.9385833154</v>
      </c>
      <c r="D68" s="31">
        <f t="shared" ref="D68:M68" si="17">+C68+D67</f>
        <v>-510844.457135248</v>
      </c>
      <c r="E68" s="31">
        <f t="shared" si="17"/>
        <v>39265.226583616342</v>
      </c>
      <c r="F68" s="31">
        <f t="shared" si="17"/>
        <v>-19187.808919855393</v>
      </c>
      <c r="G68" s="31">
        <f t="shared" si="17"/>
        <v>-26169.55751675088</v>
      </c>
      <c r="H68" s="31">
        <f t="shared" si="17"/>
        <v>142354.86989390478</v>
      </c>
      <c r="I68" s="31">
        <f t="shared" si="17"/>
        <v>641762.77011633199</v>
      </c>
      <c r="J68" s="31">
        <f t="shared" si="17"/>
        <v>1297874.5202156384</v>
      </c>
      <c r="K68" s="16">
        <f t="shared" si="17"/>
        <v>1429000.8466185951</v>
      </c>
      <c r="L68" s="16">
        <f t="shared" si="17"/>
        <v>1668363.8249535044</v>
      </c>
      <c r="M68" s="16">
        <f t="shared" si="17"/>
        <v>786412.18591735046</v>
      </c>
      <c r="N68" s="116"/>
    </row>
    <row r="69" spans="1:14">
      <c r="A69" s="115" t="s">
        <v>65</v>
      </c>
      <c r="B69" s="16">
        <v>12917512</v>
      </c>
      <c r="C69" s="16">
        <v>12793700</v>
      </c>
      <c r="D69" s="16">
        <v>13941855</v>
      </c>
      <c r="E69" s="16">
        <v>14525011</v>
      </c>
      <c r="F69" s="16">
        <v>14399159</v>
      </c>
      <c r="G69" s="16">
        <v>14361469</v>
      </c>
      <c r="H69" s="16">
        <v>14462138</v>
      </c>
      <c r="I69" s="16">
        <v>15244556</v>
      </c>
      <c r="J69" s="16">
        <v>15579898</v>
      </c>
      <c r="K69" s="16">
        <v>15948341</v>
      </c>
      <c r="L69" s="16">
        <v>16058562</v>
      </c>
      <c r="M69" s="16">
        <v>14998982</v>
      </c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12398.508551932871</v>
      </c>
      <c r="E72" s="31">
        <f t="shared" si="18"/>
        <v>325241.79628113564</v>
      </c>
      <c r="F72" s="31">
        <f t="shared" si="18"/>
        <v>241259.03550347174</v>
      </c>
      <c r="G72" s="31">
        <f t="shared" si="18"/>
        <v>76133.748596895486</v>
      </c>
      <c r="H72" s="31">
        <f t="shared" si="18"/>
        <v>-29494.427410655655</v>
      </c>
      <c r="I72" s="31">
        <f t="shared" si="18"/>
        <v>-707666.90022242721</v>
      </c>
      <c r="J72" s="31">
        <f t="shared" si="18"/>
        <v>-2974882.7500993065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118"/>
    </row>
    <row r="73" spans="1:14" s="6" customFormat="1">
      <c r="A73" s="115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122948.89713524841</v>
      </c>
      <c r="E73" s="31">
        <f t="shared" si="18"/>
        <v>448190.69341638405</v>
      </c>
      <c r="F73" s="31">
        <f t="shared" si="18"/>
        <v>689449.72891985578</v>
      </c>
      <c r="G73" s="31">
        <f t="shared" si="18"/>
        <v>765583.47751675127</v>
      </c>
      <c r="H73" s="31">
        <f t="shared" si="18"/>
        <v>736089.05010609562</v>
      </c>
      <c r="I73" s="31">
        <f t="shared" si="18"/>
        <v>28422.149883668404</v>
      </c>
      <c r="J73" s="31">
        <f t="shared" si="18"/>
        <v>-2946460.6002156381</v>
      </c>
      <c r="K73" s="16">
        <f t="shared" si="18"/>
        <v>-2946460.6002156381</v>
      </c>
      <c r="L73" s="16">
        <f t="shared" si="18"/>
        <v>-2946460.6002156381</v>
      </c>
      <c r="M73" s="16">
        <f t="shared" si="18"/>
        <v>-2946460.6002156381</v>
      </c>
      <c r="N73" s="116">
        <f t="shared" si="18"/>
        <v>0</v>
      </c>
    </row>
    <row r="74" spans="1:14">
      <c r="A74" s="121" t="s">
        <v>65</v>
      </c>
      <c r="B74" s="122">
        <f t="shared" si="18"/>
        <v>-412182</v>
      </c>
      <c r="C74" s="122">
        <f t="shared" si="18"/>
        <v>-449688.55000000075</v>
      </c>
      <c r="D74" s="122">
        <f t="shared" si="18"/>
        <v>-730803.55999999866</v>
      </c>
      <c r="E74" s="122">
        <f t="shared" si="18"/>
        <v>-438608.08000000007</v>
      </c>
      <c r="F74" s="122">
        <f t="shared" si="18"/>
        <v>-129950.08000000007</v>
      </c>
      <c r="G74" s="122">
        <f t="shared" si="18"/>
        <v>-23108.080000000075</v>
      </c>
      <c r="H74" s="122">
        <f t="shared" si="18"/>
        <v>15252.919999999925</v>
      </c>
      <c r="I74" s="122">
        <f t="shared" si="18"/>
        <v>-975424.08000000007</v>
      </c>
      <c r="J74" s="122">
        <f t="shared" si="18"/>
        <v>-3629537.08</v>
      </c>
      <c r="K74" s="122">
        <f t="shared" si="18"/>
        <v>-3866853.7535970435</v>
      </c>
      <c r="L74" s="122">
        <f t="shared" si="18"/>
        <v>-3737711.7752621341</v>
      </c>
      <c r="M74" s="122">
        <f t="shared" si="18"/>
        <v>-3560083.4142982885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5"/>
      <c r="L77" s="5"/>
    </row>
    <row r="78" spans="1:14">
      <c r="A78" s="1"/>
      <c r="B78" s="4"/>
      <c r="D78" s="8"/>
      <c r="E78" s="8"/>
      <c r="F78" s="8"/>
      <c r="H78" s="61"/>
      <c r="J78" s="6"/>
    </row>
    <row r="79" spans="1:14">
      <c r="E79" s="6"/>
      <c r="H79" s="20"/>
      <c r="J79" s="6"/>
      <c r="N79" s="25"/>
    </row>
    <row r="80" spans="1:14">
      <c r="E80" s="6"/>
      <c r="J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92D050"/>
    <pageSetUpPr fitToPage="1"/>
  </sheetPr>
  <dimension ref="A1:Z85"/>
  <sheetViews>
    <sheetView showGridLines="0" zoomScale="90" zoomScaleNormal="90" workbookViewId="0">
      <selection activeCell="I63" sqref="I63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135</v>
      </c>
      <c r="E1" s="6"/>
      <c r="F1" s="6"/>
      <c r="J1" s="6"/>
      <c r="K1" s="6"/>
      <c r="N1" s="3"/>
    </row>
    <row r="2" spans="1:16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6" s="5" customFormat="1">
      <c r="B3" s="94">
        <v>43648</v>
      </c>
      <c r="C3" s="95">
        <v>43679</v>
      </c>
      <c r="D3" s="95">
        <v>43710</v>
      </c>
      <c r="E3" s="94">
        <v>43740</v>
      </c>
      <c r="F3" s="94">
        <v>43771</v>
      </c>
      <c r="G3" s="95">
        <v>43801</v>
      </c>
      <c r="H3" s="94">
        <v>43832</v>
      </c>
      <c r="I3" s="94">
        <v>43863</v>
      </c>
      <c r="J3" s="94">
        <v>43892</v>
      </c>
      <c r="K3" s="94">
        <v>43923</v>
      </c>
      <c r="L3" s="94">
        <v>43953</v>
      </c>
      <c r="M3" s="94">
        <v>43984</v>
      </c>
      <c r="N3" s="94" t="s">
        <v>133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t="13.5" hidden="1" customHeight="1">
      <c r="A5" s="100" t="s">
        <v>28</v>
      </c>
      <c r="B5" s="101">
        <v>1506911</v>
      </c>
      <c r="C5" s="101">
        <v>4218296</v>
      </c>
      <c r="D5" s="101">
        <v>4008767</v>
      </c>
      <c r="E5" s="101">
        <v>3723428</v>
      </c>
      <c r="F5" s="101">
        <v>2637007</v>
      </c>
      <c r="G5" s="101">
        <v>1983421</v>
      </c>
      <c r="H5" s="101">
        <v>3653867</v>
      </c>
      <c r="I5" s="101">
        <v>3466709</v>
      </c>
      <c r="J5" s="101">
        <v>3663286.3910400001</v>
      </c>
      <c r="K5" s="101">
        <v>3303515.2019700003</v>
      </c>
      <c r="L5" s="101">
        <v>2866321.64855</v>
      </c>
      <c r="M5" s="101">
        <v>1394806.15129</v>
      </c>
      <c r="N5" s="102">
        <f>SUM(B5:M5)</f>
        <v>36426335.392849997</v>
      </c>
      <c r="O5" s="29"/>
    </row>
    <row r="6" spans="1:16" s="6" customFormat="1" ht="12.75" hidden="1" customHeight="1">
      <c r="A6" s="100" t="s">
        <v>29</v>
      </c>
      <c r="B6" s="101">
        <v>122669</v>
      </c>
      <c r="C6" s="101">
        <v>65308</v>
      </c>
      <c r="D6" s="101">
        <v>368424</v>
      </c>
      <c r="E6" s="101">
        <v>265657</v>
      </c>
      <c r="F6" s="101">
        <v>90828</v>
      </c>
      <c r="G6" s="101">
        <v>46005</v>
      </c>
      <c r="H6" s="101">
        <v>118231</v>
      </c>
      <c r="I6" s="101">
        <v>200445</v>
      </c>
      <c r="J6" s="101">
        <v>127523</v>
      </c>
      <c r="K6" s="101">
        <v>123229</v>
      </c>
      <c r="L6" s="101">
        <v>130378</v>
      </c>
      <c r="M6" s="101">
        <v>105525</v>
      </c>
      <c r="N6" s="103">
        <f>SUM(B6:M6)</f>
        <v>1764222</v>
      </c>
      <c r="O6" s="29"/>
    </row>
    <row r="7" spans="1:16" s="6" customFormat="1" ht="12.75" hidden="1" customHeight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  <c r="O7" s="29"/>
    </row>
    <row r="8" spans="1:16" s="6" customFormat="1" ht="12.75" hidden="1" customHeight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2029426</v>
      </c>
      <c r="H9" s="12">
        <f t="shared" si="0"/>
        <v>3772098</v>
      </c>
      <c r="I9" s="12">
        <f t="shared" si="0"/>
        <v>3667154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38190557.392849997</v>
      </c>
      <c r="O9" s="29"/>
      <c r="P9" s="29">
        <f>+N9</f>
        <v>38190557.392849997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>
        <v>3197</v>
      </c>
      <c r="H11" s="7">
        <v>282</v>
      </c>
      <c r="I11" s="7">
        <v>24231</v>
      </c>
      <c r="J11" s="7"/>
      <c r="K11" s="7"/>
      <c r="L11" s="7"/>
      <c r="M11" s="7"/>
      <c r="N11" s="7">
        <f>SUM(B11:M11)</f>
        <v>30537.4</v>
      </c>
      <c r="O11" s="29"/>
    </row>
    <row r="12" spans="1:16" s="6" customForma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2032623</v>
      </c>
      <c r="H13" s="14">
        <f t="shared" si="1"/>
        <v>3772380</v>
      </c>
      <c r="I13" s="14">
        <f t="shared" si="1"/>
        <v>3691385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38221094.792849995</v>
      </c>
      <c r="O13" s="29"/>
    </row>
    <row r="14" spans="1:16" s="6" customFormat="1" ht="21" hidden="1" customHeight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6" s="6" customFormat="1" ht="17.25" hidden="1" customHeight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6" s="6" customFormat="1" ht="12" hidden="1" customHeight="1">
      <c r="A16" s="100" t="s">
        <v>34</v>
      </c>
      <c r="B16" s="101">
        <v>789538</v>
      </c>
      <c r="C16" s="101">
        <v>2542832</v>
      </c>
      <c r="D16" s="101">
        <v>1670912</v>
      </c>
      <c r="E16" s="101">
        <v>1241006</v>
      </c>
      <c r="F16" s="101">
        <v>943426</v>
      </c>
      <c r="G16" s="101">
        <v>694088</v>
      </c>
      <c r="H16" s="101">
        <v>1773539</v>
      </c>
      <c r="I16" s="101">
        <v>1361474</v>
      </c>
      <c r="J16" s="101">
        <v>1292296.5777699999</v>
      </c>
      <c r="K16" s="101">
        <v>1245676.8455400001</v>
      </c>
      <c r="L16" s="101">
        <v>1172737.3767599999</v>
      </c>
      <c r="M16" s="101">
        <v>726619.06070999999</v>
      </c>
      <c r="N16" s="103">
        <f>SUM(B16:M16)</f>
        <v>15454144.860780001</v>
      </c>
      <c r="O16" s="29"/>
      <c r="P16" s="7">
        <f>-N16</f>
        <v>-15454144.860780001</v>
      </c>
    </row>
    <row r="17" spans="1:16" s="6" customFormat="1" ht="20.25" hidden="1" customHeight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6" s="6" customFormat="1" ht="26.25" hidden="1" customHeight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6" s="6" customFormat="1" ht="12" hidden="1" customHeight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6" s="6" customFormat="1" ht="13.5" thickTop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694088</v>
      </c>
      <c r="H20" s="12">
        <f t="shared" si="2"/>
        <v>1773539</v>
      </c>
      <c r="I20" s="12">
        <f t="shared" si="2"/>
        <v>1361474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15454144.860780001</v>
      </c>
      <c r="O20" s="29"/>
    </row>
    <row r="21" spans="1:16" s="6" customFormat="1" ht="13.5" hidden="1" customHeight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6" s="6" customFormat="1" ht="17.25" hidden="1" customHeight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6" s="6" customFormat="1" hidden="1">
      <c r="A23" s="100" t="s">
        <v>37</v>
      </c>
      <c r="B23" s="103">
        <f t="shared" ref="B23:M26" si="3">+B5-B16</f>
        <v>717373</v>
      </c>
      <c r="C23" s="103">
        <f t="shared" si="3"/>
        <v>1675464</v>
      </c>
      <c r="D23" s="103">
        <f t="shared" si="3"/>
        <v>2337855</v>
      </c>
      <c r="E23" s="103">
        <f t="shared" si="3"/>
        <v>2482422</v>
      </c>
      <c r="F23" s="103">
        <f t="shared" si="3"/>
        <v>1693581</v>
      </c>
      <c r="G23" s="103">
        <f t="shared" si="3"/>
        <v>1289333</v>
      </c>
      <c r="H23" s="103">
        <f t="shared" si="3"/>
        <v>1880328</v>
      </c>
      <c r="I23" s="103">
        <f t="shared" si="3"/>
        <v>2105235</v>
      </c>
      <c r="J23" s="103">
        <f t="shared" si="3"/>
        <v>2370989.8132700003</v>
      </c>
      <c r="K23" s="103">
        <f t="shared" si="3"/>
        <v>2057838.3564300002</v>
      </c>
      <c r="L23" s="103">
        <f t="shared" si="3"/>
        <v>1693584.2717900001</v>
      </c>
      <c r="M23" s="103">
        <f t="shared" si="3"/>
        <v>668187.09057999996</v>
      </c>
      <c r="N23" s="103">
        <f>SUM(B23:M23)</f>
        <v>20972190.532070003</v>
      </c>
      <c r="O23" s="29"/>
    </row>
    <row r="24" spans="1:16" s="6" customFormat="1" hidden="1">
      <c r="A24" s="100" t="s">
        <v>37</v>
      </c>
      <c r="B24" s="103">
        <f t="shared" si="3"/>
        <v>122669</v>
      </c>
      <c r="C24" s="103">
        <f t="shared" si="3"/>
        <v>65308</v>
      </c>
      <c r="D24" s="103">
        <f t="shared" si="3"/>
        <v>368424</v>
      </c>
      <c r="E24" s="103">
        <f t="shared" si="3"/>
        <v>265657</v>
      </c>
      <c r="F24" s="103">
        <f t="shared" si="3"/>
        <v>90828</v>
      </c>
      <c r="G24" s="103">
        <f t="shared" si="3"/>
        <v>46005</v>
      </c>
      <c r="H24" s="103">
        <f t="shared" si="3"/>
        <v>118231</v>
      </c>
      <c r="I24" s="103">
        <f t="shared" si="3"/>
        <v>200445</v>
      </c>
      <c r="J24" s="103">
        <f t="shared" si="3"/>
        <v>127523</v>
      </c>
      <c r="K24" s="103">
        <f t="shared" si="3"/>
        <v>123229</v>
      </c>
      <c r="L24" s="103">
        <f t="shared" si="3"/>
        <v>130378</v>
      </c>
      <c r="M24" s="103">
        <f t="shared" si="3"/>
        <v>105525</v>
      </c>
      <c r="N24" s="103">
        <f>SUM(B24:M24)</f>
        <v>1764222</v>
      </c>
      <c r="O24" s="29"/>
    </row>
    <row r="25" spans="1:16" s="6" customFormat="1" hidden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  <c r="O25" s="29"/>
    </row>
    <row r="26" spans="1:16" s="6" customFormat="1" hidden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1335338</v>
      </c>
      <c r="H27" s="12">
        <f>SUM(H23:H26)</f>
        <v>1998559</v>
      </c>
      <c r="I27" s="12">
        <f t="shared" si="4"/>
        <v>2305680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22736412.532070003</v>
      </c>
      <c r="O27" s="29"/>
      <c r="P27" s="29">
        <f>+N27</f>
        <v>22736412.532070003</v>
      </c>
    </row>
    <row r="28" spans="1:16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0.65798802222894548</v>
      </c>
      <c r="H28" s="73">
        <f t="shared" si="5"/>
        <v>0.52982690269446875</v>
      </c>
      <c r="I28" s="73">
        <f t="shared" si="5"/>
        <v>0.62873825315217191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0.59534120694260129</v>
      </c>
    </row>
    <row r="29" spans="1:16" s="6" customFormat="1" ht="27" hidden="1" customHeight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6" s="6" customFormat="1" hidden="1">
      <c r="A30" s="100" t="s">
        <v>93</v>
      </c>
      <c r="B30" s="101">
        <v>599577</v>
      </c>
      <c r="C30" s="101">
        <v>671079</v>
      </c>
      <c r="D30" s="101">
        <v>793811</v>
      </c>
      <c r="E30" s="101">
        <v>957117</v>
      </c>
      <c r="F30" s="101">
        <v>689782</v>
      </c>
      <c r="G30" s="101">
        <v>611497</v>
      </c>
      <c r="H30" s="101">
        <v>797690</v>
      </c>
      <c r="I30" s="101">
        <v>796901</v>
      </c>
      <c r="J30" s="101">
        <v>800842.39032942755</v>
      </c>
      <c r="K30" s="101">
        <v>843636.89934994141</v>
      </c>
      <c r="L30" s="101">
        <v>694327.62761942751</v>
      </c>
      <c r="M30" s="101">
        <v>505922.77644506848</v>
      </c>
      <c r="N30" s="103">
        <f>SUM(B30:M30)</f>
        <v>8762183.6937438659</v>
      </c>
      <c r="O30" s="29"/>
    </row>
    <row r="31" spans="1:16" s="6" customFormat="1" hidden="1">
      <c r="A31" s="100" t="s">
        <v>42</v>
      </c>
      <c r="B31" s="101">
        <v>243836</v>
      </c>
      <c r="C31" s="101">
        <v>217946</v>
      </c>
      <c r="D31" s="101">
        <v>239113</v>
      </c>
      <c r="E31" s="101">
        <v>257850</v>
      </c>
      <c r="F31" s="101">
        <v>223271</v>
      </c>
      <c r="G31" s="101">
        <v>225464</v>
      </c>
      <c r="H31" s="101">
        <v>230373</v>
      </c>
      <c r="I31" s="101">
        <v>232734</v>
      </c>
      <c r="J31" s="101">
        <v>216879.11284126632</v>
      </c>
      <c r="K31" s="101">
        <v>235419.63067710202</v>
      </c>
      <c r="L31" s="101">
        <v>214783.16583566315</v>
      </c>
      <c r="M31" s="101">
        <v>196662.95050247436</v>
      </c>
      <c r="N31" s="103">
        <f>SUM(B31:M31)</f>
        <v>2734331.8598565059</v>
      </c>
      <c r="O31" s="29"/>
    </row>
    <row r="32" spans="1:16" s="6" customFormat="1" ht="15" hidden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  <c r="O32" s="29"/>
    </row>
    <row r="33" spans="1:16" s="6" customFormat="1" ht="13.5" hidden="1" customHeight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836961</v>
      </c>
      <c r="H34" s="12">
        <f t="shared" si="6"/>
        <v>1028063</v>
      </c>
      <c r="I34" s="12">
        <f t="shared" si="6"/>
        <v>1029635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11496515.553600371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t="18" hidden="1" customHeight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6" s="6" customFormat="1" ht="12.75" hidden="1" customHeight="1">
      <c r="A37" s="100" t="s">
        <v>45</v>
      </c>
      <c r="B37" s="101">
        <v>1312659</v>
      </c>
      <c r="C37" s="101">
        <v>1350844</v>
      </c>
      <c r="D37" s="101">
        <v>1621977</v>
      </c>
      <c r="E37" s="101">
        <v>1862721</v>
      </c>
      <c r="F37" s="101">
        <v>1464546</v>
      </c>
      <c r="G37" s="108">
        <v>1373998</v>
      </c>
      <c r="H37" s="108">
        <v>1519146</v>
      </c>
      <c r="I37" s="108">
        <v>1796509</v>
      </c>
      <c r="J37" s="108">
        <v>1636445.0631706938</v>
      </c>
      <c r="K37" s="101">
        <v>1704354.0300270435</v>
      </c>
      <c r="L37" s="101">
        <v>1425328.2934550906</v>
      </c>
      <c r="M37" s="101">
        <v>1205462.7296161538</v>
      </c>
      <c r="N37" s="103">
        <f>SUM(B37:M37)</f>
        <v>18273990.116268981</v>
      </c>
      <c r="O37" s="29"/>
    </row>
    <row r="38" spans="1:16" s="6" customFormat="1" ht="12.75" hidden="1" customHeight="1">
      <c r="A38" s="100" t="s">
        <v>46</v>
      </c>
      <c r="B38" s="103">
        <f>-B34</f>
        <v>-843413</v>
      </c>
      <c r="C38" s="103">
        <f t="shared" ref="C38:M38" si="7">-C34</f>
        <v>-889025</v>
      </c>
      <c r="D38" s="103">
        <f t="shared" si="7"/>
        <v>-1032924</v>
      </c>
      <c r="E38" s="103">
        <f t="shared" si="7"/>
        <v>-1214967</v>
      </c>
      <c r="F38" s="103">
        <f t="shared" si="7"/>
        <v>-913053</v>
      </c>
      <c r="G38" s="103">
        <f t="shared" si="7"/>
        <v>-836961</v>
      </c>
      <c r="H38" s="103">
        <f>-H34</f>
        <v>-1028063</v>
      </c>
      <c r="I38" s="103">
        <f t="shared" si="7"/>
        <v>-1029635</v>
      </c>
      <c r="J38" s="103">
        <f t="shared" si="7"/>
        <v>-1017721.5031706939</v>
      </c>
      <c r="K38" s="103">
        <f t="shared" si="7"/>
        <v>-1079056.5300270435</v>
      </c>
      <c r="L38" s="103">
        <f t="shared" si="7"/>
        <v>-909110.79345509061</v>
      </c>
      <c r="M38" s="103">
        <f t="shared" si="7"/>
        <v>-702585.72694754286</v>
      </c>
      <c r="N38" s="103">
        <f>SUM(B38:M38)</f>
        <v>-11496515.553600369</v>
      </c>
      <c r="O38" s="29"/>
    </row>
    <row r="39" spans="1:16" s="6" customFormat="1" ht="12.75" hidden="1" customHeight="1">
      <c r="A39" s="100" t="s">
        <v>47</v>
      </c>
      <c r="B39" s="109">
        <v>-77862</v>
      </c>
      <c r="C39" s="109">
        <v>-77862</v>
      </c>
      <c r="D39" s="109">
        <v>-77862</v>
      </c>
      <c r="E39" s="109">
        <v>-77862</v>
      </c>
      <c r="F39" s="109">
        <v>-77862</v>
      </c>
      <c r="G39" s="109">
        <v>-79350</v>
      </c>
      <c r="H39" s="109">
        <v>-79350</v>
      </c>
      <c r="I39" s="109">
        <v>-80109</v>
      </c>
      <c r="J39" s="109">
        <v>-85493</v>
      </c>
      <c r="K39" s="109">
        <v>-85493</v>
      </c>
      <c r="L39" s="109">
        <v>-85493</v>
      </c>
      <c r="M39" s="109">
        <v>-85493</v>
      </c>
      <c r="N39" s="103">
        <f>SUM(B39:M39)</f>
        <v>-970091</v>
      </c>
      <c r="O39" s="88"/>
      <c r="P39" s="42"/>
    </row>
    <row r="40" spans="1:16" s="6" customFormat="1" ht="12.75" hidden="1" customHeight="1">
      <c r="A40" s="100" t="s">
        <v>124</v>
      </c>
      <c r="B40" s="101">
        <v>-8600</v>
      </c>
      <c r="C40" s="101">
        <v>-8600</v>
      </c>
      <c r="D40" s="101">
        <v>-8600</v>
      </c>
      <c r="E40" s="101">
        <v>-8600</v>
      </c>
      <c r="F40" s="101">
        <v>-8600</v>
      </c>
      <c r="G40" s="101">
        <v>-8600</v>
      </c>
      <c r="H40" s="101">
        <v>-8600</v>
      </c>
      <c r="I40" s="101">
        <v>-8600</v>
      </c>
      <c r="J40" s="101">
        <v>-8893</v>
      </c>
      <c r="K40" s="101">
        <v>-8893</v>
      </c>
      <c r="L40" s="101">
        <v>-8893</v>
      </c>
      <c r="M40" s="101">
        <v>-8893</v>
      </c>
      <c r="N40" s="103">
        <f>SUM(B40:M40)</f>
        <v>-104372</v>
      </c>
      <c r="O40" s="88"/>
      <c r="P40" s="58"/>
    </row>
    <row r="41" spans="1:16" s="6" customFormat="1" ht="12.75" hidden="1" customHeight="1">
      <c r="A41" s="100" t="s">
        <v>48</v>
      </c>
      <c r="B41" s="110">
        <v>-4150</v>
      </c>
      <c r="C41" s="110">
        <v>-4250</v>
      </c>
      <c r="D41" s="110">
        <v>-4250</v>
      </c>
      <c r="E41" s="110">
        <v>-4250</v>
      </c>
      <c r="F41" s="110">
        <v>-4250</v>
      </c>
      <c r="G41" s="110">
        <v>-10050</v>
      </c>
      <c r="H41" s="110">
        <v>-4250</v>
      </c>
      <c r="I41" s="110">
        <v>-4250</v>
      </c>
      <c r="J41" s="110">
        <v>-4550</v>
      </c>
      <c r="K41" s="110">
        <v>-4550</v>
      </c>
      <c r="L41" s="110">
        <v>-4550</v>
      </c>
      <c r="M41" s="110">
        <v>-90050</v>
      </c>
      <c r="N41" s="104">
        <f>SUM(B41:M41)</f>
        <v>-143400</v>
      </c>
      <c r="O41" s="88"/>
      <c r="P41" s="42">
        <f>SUM(N39:N41)</f>
        <v>-1217863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439037</v>
      </c>
      <c r="H42" s="12">
        <f t="shared" si="8"/>
        <v>398883</v>
      </c>
      <c r="I42" s="12">
        <f t="shared" si="8"/>
        <v>673915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5559611.5626686122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t="18" hidden="1" customHeight="1">
      <c r="A44" s="13" t="s">
        <v>50</v>
      </c>
      <c r="B44" s="53">
        <v>313331</v>
      </c>
      <c r="C44" s="53">
        <v>400498</v>
      </c>
      <c r="D44" s="53">
        <v>331729</v>
      </c>
      <c r="E44" s="53">
        <v>309099</v>
      </c>
      <c r="F44" s="53">
        <v>349633</v>
      </c>
      <c r="G44" s="53">
        <v>248256</v>
      </c>
      <c r="H44" s="53">
        <v>313763</v>
      </c>
      <c r="I44" s="53">
        <v>301908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4260476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248256</v>
      </c>
      <c r="H46" s="12">
        <f t="shared" si="9"/>
        <v>313763</v>
      </c>
      <c r="I46" s="12">
        <f t="shared" si="9"/>
        <v>301908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4260476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2218342</v>
      </c>
      <c r="H48" s="19">
        <f t="shared" si="10"/>
        <v>3514248</v>
      </c>
      <c r="I48" s="19">
        <f t="shared" si="10"/>
        <v>3366932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36770747.977048986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-185719</v>
      </c>
      <c r="H50" s="12">
        <f>+H13-H48</f>
        <v>258132</v>
      </c>
      <c r="I50" s="12">
        <f t="shared" si="11"/>
        <v>324453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1450346.8158010188</v>
      </c>
      <c r="O50" s="7"/>
      <c r="P50" s="25">
        <f>+N50</f>
        <v>1450346.8158010188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232483.81580101885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29828</v>
      </c>
      <c r="H53" s="23">
        <v>16962</v>
      </c>
      <c r="I53" s="10">
        <v>-133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351924.47999999998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-13668</v>
      </c>
      <c r="F56" s="7">
        <v>-12737</v>
      </c>
      <c r="G56" s="7">
        <v>-77693</v>
      </c>
      <c r="H56" s="7">
        <f>-12580-367</f>
        <v>-12947</v>
      </c>
      <c r="I56" s="7">
        <v>-11113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-267103</v>
      </c>
      <c r="O56" s="7"/>
    </row>
    <row r="57" spans="1:26" s="6" customFormat="1">
      <c r="A57" s="6" t="s">
        <v>134</v>
      </c>
      <c r="B57" s="22">
        <v>-29008</v>
      </c>
      <c r="C57" s="22">
        <v>209614</v>
      </c>
      <c r="D57" s="22">
        <v>-83076</v>
      </c>
      <c r="E57" s="22">
        <v>-215833</v>
      </c>
      <c r="F57" s="22">
        <v>-198902</v>
      </c>
      <c r="G57" s="22">
        <v>-207006</v>
      </c>
      <c r="H57" s="22">
        <v>115087</v>
      </c>
      <c r="I57" s="22">
        <v>543958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34834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-121639</v>
      </c>
      <c r="G58" s="19">
        <f t="shared" si="12"/>
        <v>-254871</v>
      </c>
      <c r="H58" s="19">
        <f>SUM(H53:H57)</f>
        <v>119102</v>
      </c>
      <c r="I58" s="19">
        <f t="shared" si="12"/>
        <v>532712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635512.48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3113506.52</v>
      </c>
      <c r="F61" s="19">
        <f>+F58+F48</f>
        <v>2545254</v>
      </c>
      <c r="G61" s="19">
        <f t="shared" si="13"/>
        <v>1963471</v>
      </c>
      <c r="H61" s="19">
        <f t="shared" si="13"/>
        <v>3633350</v>
      </c>
      <c r="I61" s="19">
        <f t="shared" si="13"/>
        <v>3899644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37406260.457048982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875351.48</v>
      </c>
      <c r="F62" s="14">
        <f>+F13-F61</f>
        <v>182806</v>
      </c>
      <c r="G62" s="14">
        <f t="shared" si="14"/>
        <v>69152</v>
      </c>
      <c r="H62" s="14">
        <f t="shared" si="14"/>
        <v>139030</v>
      </c>
      <c r="I62" s="14">
        <f t="shared" si="14"/>
        <v>-208259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814834.33580101281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487455.92000000039</v>
      </c>
      <c r="F63" s="12">
        <f t="shared" si="15"/>
        <v>670261.92000000039</v>
      </c>
      <c r="G63" s="12">
        <f t="shared" si="15"/>
        <v>739413.92000000039</v>
      </c>
      <c r="H63" s="12">
        <f t="shared" si="15"/>
        <v>878443.92000000039</v>
      </c>
      <c r="I63" s="12">
        <f>H63+I62</f>
        <v>670184.92000000039</v>
      </c>
      <c r="J63" s="12">
        <f t="shared" si="15"/>
        <v>1326296.6700993069</v>
      </c>
      <c r="K63" s="12">
        <f t="shared" si="15"/>
        <v>1457422.9965022635</v>
      </c>
      <c r="L63" s="12">
        <f t="shared" si="15"/>
        <v>1696785.9748371728</v>
      </c>
      <c r="M63" s="12">
        <f t="shared" si="15"/>
        <v>814834.33580101887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14086402.92</v>
      </c>
      <c r="F64" s="12">
        <f>+$B$60+F63</f>
        <v>14269208.92</v>
      </c>
      <c r="G64" s="12">
        <f t="shared" si="16"/>
        <v>14338360.92</v>
      </c>
      <c r="H64" s="12">
        <f t="shared" si="16"/>
        <v>14477390.92</v>
      </c>
      <c r="I64" s="12">
        <f t="shared" si="16"/>
        <v>14269131.92</v>
      </c>
      <c r="J64" s="12">
        <f t="shared" si="16"/>
        <v>14925243.670099307</v>
      </c>
      <c r="K64" s="12">
        <f t="shared" si="16"/>
        <v>15056369.996502263</v>
      </c>
      <c r="L64" s="12">
        <f t="shared" si="16"/>
        <v>15295732.974837173</v>
      </c>
      <c r="M64" s="12">
        <f t="shared" si="16"/>
        <v>14413781.335801018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126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30">
        <v>854641.48144806735</v>
      </c>
      <c r="E67" s="30">
        <v>550109.68371886434</v>
      </c>
      <c r="F67" s="30">
        <v>-58453.035503471736</v>
      </c>
      <c r="G67" s="30">
        <v>-6981.7485968954861</v>
      </c>
      <c r="H67" s="30">
        <v>168524.42741065565</v>
      </c>
      <c r="I67" s="30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32">
        <f t="shared" ref="D68:M68" si="17">+C68+D67</f>
        <v>-510844.457135248</v>
      </c>
      <c r="E68" s="32">
        <f t="shared" si="17"/>
        <v>39265.226583616342</v>
      </c>
      <c r="F68" s="32">
        <f t="shared" si="17"/>
        <v>-19187.808919855393</v>
      </c>
      <c r="G68" s="32">
        <f t="shared" si="17"/>
        <v>-26169.55751675088</v>
      </c>
      <c r="H68" s="32">
        <f t="shared" si="17"/>
        <v>142354.86989390478</v>
      </c>
      <c r="I68" s="3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12398.508551932871</v>
      </c>
      <c r="E72" s="31">
        <f t="shared" si="18"/>
        <v>325241.79628113564</v>
      </c>
      <c r="F72" s="31">
        <f t="shared" si="18"/>
        <v>241259.03550347174</v>
      </c>
      <c r="G72" s="31">
        <f t="shared" si="18"/>
        <v>76133.748596895486</v>
      </c>
      <c r="H72" s="31">
        <f t="shared" si="18"/>
        <v>-29494.427410655655</v>
      </c>
      <c r="I72" s="31">
        <f t="shared" si="18"/>
        <v>-707666.90022242721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122948.89713524841</v>
      </c>
      <c r="E73" s="31">
        <f t="shared" si="18"/>
        <v>448190.69341638405</v>
      </c>
      <c r="F73" s="31">
        <f t="shared" si="18"/>
        <v>689449.72891985578</v>
      </c>
      <c r="G73" s="31">
        <f t="shared" si="18"/>
        <v>765583.47751675127</v>
      </c>
      <c r="H73" s="31">
        <f t="shared" si="18"/>
        <v>736089.05010609562</v>
      </c>
      <c r="I73" s="31">
        <f t="shared" si="18"/>
        <v>28422.149883668404</v>
      </c>
      <c r="J73" s="16">
        <f t="shared" si="18"/>
        <v>28422.149883668404</v>
      </c>
      <c r="K73" s="16">
        <f t="shared" si="18"/>
        <v>28422.149883668404</v>
      </c>
      <c r="L73" s="16">
        <f t="shared" si="18"/>
        <v>28422.149883668404</v>
      </c>
      <c r="M73" s="16">
        <f t="shared" si="18"/>
        <v>28422.149883668404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-449688.55000000075</v>
      </c>
      <c r="D74" s="16">
        <f t="shared" si="18"/>
        <v>-730803.55999999866</v>
      </c>
      <c r="E74" s="16">
        <f t="shared" si="18"/>
        <v>-438608.08000000007</v>
      </c>
      <c r="F74" s="16">
        <f t="shared" si="18"/>
        <v>-129950.08000000007</v>
      </c>
      <c r="G74" s="16">
        <f t="shared" si="18"/>
        <v>-23108.080000000075</v>
      </c>
      <c r="H74" s="16">
        <f t="shared" si="18"/>
        <v>15252.919999999925</v>
      </c>
      <c r="I74" s="16">
        <f t="shared" si="18"/>
        <v>-975424.08000000007</v>
      </c>
      <c r="J74" s="16">
        <f t="shared" si="18"/>
        <v>-654654.32990069315</v>
      </c>
      <c r="K74" s="16">
        <f t="shared" si="18"/>
        <v>-891971.00349773653</v>
      </c>
      <c r="L74" s="16">
        <f t="shared" si="18"/>
        <v>-762829.02516282722</v>
      </c>
      <c r="M74" s="16">
        <f t="shared" si="18"/>
        <v>-585200.6641989816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5">
      <c r="A77" s="1"/>
      <c r="B77" s="4"/>
      <c r="C77" s="8"/>
      <c r="D77" s="8"/>
      <c r="E77" s="8"/>
      <c r="F77" s="8"/>
      <c r="G77" s="96"/>
      <c r="H77" s="98"/>
      <c r="I77" s="99"/>
      <c r="J77" s="98"/>
      <c r="K77" s="5"/>
      <c r="L77" s="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92D050"/>
    <pageSetUpPr fitToPage="1"/>
  </sheetPr>
  <dimension ref="A1:Z85"/>
  <sheetViews>
    <sheetView showGridLines="0" zoomScale="80" zoomScaleNormal="80" workbookViewId="0">
      <selection activeCell="B35" sqref="B35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119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2399169</v>
      </c>
      <c r="H5" s="53">
        <v>4093574</v>
      </c>
      <c r="I5" s="53">
        <v>3274668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36695861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58506</v>
      </c>
      <c r="H6" s="53">
        <v>100712</v>
      </c>
      <c r="I6" s="53">
        <v>72668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1475507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2457675</v>
      </c>
      <c r="H9" s="12">
        <f t="shared" si="0"/>
        <v>4194286</v>
      </c>
      <c r="I9" s="12">
        <f t="shared" si="0"/>
        <v>3347336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38171368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20473</v>
      </c>
      <c r="H11" s="7">
        <v>4352</v>
      </c>
      <c r="I11" s="7">
        <v>10</v>
      </c>
      <c r="J11" s="42">
        <v>0</v>
      </c>
      <c r="K11" s="7">
        <v>0</v>
      </c>
      <c r="L11" s="7">
        <v>0</v>
      </c>
      <c r="M11" s="7">
        <v>0</v>
      </c>
      <c r="N11" s="7">
        <f>SUM(B11:M11)</f>
        <v>26668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2478148</v>
      </c>
      <c r="H13" s="14">
        <f t="shared" si="1"/>
        <v>4198638</v>
      </c>
      <c r="I13" s="14">
        <f t="shared" si="1"/>
        <v>3347346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38198036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866327</v>
      </c>
      <c r="H16" s="53">
        <v>2296042</v>
      </c>
      <c r="I16" s="53">
        <v>1205375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15838728</v>
      </c>
      <c r="O16" s="29"/>
    </row>
    <row r="17" spans="1:15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866327</v>
      </c>
      <c r="H20" s="12">
        <f t="shared" si="2"/>
        <v>2296042</v>
      </c>
      <c r="I20" s="12">
        <f t="shared" si="2"/>
        <v>1205375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15838728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1532842</v>
      </c>
      <c r="H23" s="7">
        <f t="shared" si="3"/>
        <v>1797532</v>
      </c>
      <c r="I23" s="7">
        <f t="shared" si="3"/>
        <v>2069293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20857133</v>
      </c>
      <c r="O23" s="29"/>
    </row>
    <row r="24" spans="1:15" s="6" customFormat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58506</v>
      </c>
      <c r="H24" s="7">
        <f t="shared" si="3"/>
        <v>100712</v>
      </c>
      <c r="I24" s="7">
        <f t="shared" si="3"/>
        <v>72668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1475507</v>
      </c>
      <c r="O24" s="29"/>
    </row>
    <row r="25" spans="1:15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1591348</v>
      </c>
      <c r="H27" s="12">
        <f t="shared" si="4"/>
        <v>1898244</v>
      </c>
      <c r="I27" s="12">
        <f t="shared" si="4"/>
        <v>2141961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22332640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0.6475013986796464</v>
      </c>
      <c r="H28" s="73">
        <f t="shared" si="5"/>
        <v>0.45257857952461994</v>
      </c>
      <c r="I28" s="73">
        <f t="shared" si="5"/>
        <v>0.63990020720955409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0.58506260503946306</v>
      </c>
    </row>
    <row r="29" spans="1:15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580848</v>
      </c>
      <c r="H30" s="53">
        <v>737164</v>
      </c>
      <c r="I30" s="53">
        <v>782261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8197773</v>
      </c>
      <c r="O30" s="29"/>
    </row>
    <row r="31" spans="1:15" s="6" customFormat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216521</v>
      </c>
      <c r="H31" s="53">
        <v>230074</v>
      </c>
      <c r="I31" s="53">
        <v>214469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2680064</v>
      </c>
      <c r="O31" s="29"/>
    </row>
    <row r="32" spans="1:15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797369</v>
      </c>
      <c r="H34" s="12">
        <f t="shared" si="6"/>
        <v>967238</v>
      </c>
      <c r="I34" s="12">
        <f t="shared" si="6"/>
        <v>996730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10877837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1331199</v>
      </c>
      <c r="H37" s="66">
        <v>1469965</v>
      </c>
      <c r="I37" s="66">
        <v>1591079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17451148</v>
      </c>
      <c r="O37" s="29"/>
    </row>
    <row r="38" spans="1:16" s="6" customFormat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-797369</v>
      </c>
      <c r="H38" s="7">
        <f t="shared" si="7"/>
        <v>-967238</v>
      </c>
      <c r="I38" s="7">
        <f t="shared" si="7"/>
        <v>-996730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-10877837</v>
      </c>
      <c r="O38" s="29"/>
    </row>
    <row r="39" spans="1:16" s="6" customFormat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73419</v>
      </c>
      <c r="G39" s="72">
        <v>-73419</v>
      </c>
      <c r="H39" s="72">
        <v>-73419</v>
      </c>
      <c r="I39" s="72">
        <v>-77993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-633912</v>
      </c>
      <c r="O39" s="29"/>
    </row>
    <row r="40" spans="1:16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623238</v>
      </c>
      <c r="G42" s="12">
        <f t="shared" si="8"/>
        <v>450411</v>
      </c>
      <c r="H42" s="12">
        <f t="shared" si="8"/>
        <v>419308</v>
      </c>
      <c r="I42" s="12">
        <f t="shared" si="8"/>
        <v>506356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5818499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301819</v>
      </c>
      <c r="H44" s="53">
        <v>303493</v>
      </c>
      <c r="I44" s="53">
        <v>379392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4459480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301819</v>
      </c>
      <c r="H46" s="12">
        <f t="shared" si="9"/>
        <v>303493</v>
      </c>
      <c r="I46" s="12">
        <f t="shared" si="9"/>
        <v>379392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4459480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2648664</v>
      </c>
      <c r="G48" s="19">
        <f t="shared" si="10"/>
        <v>2415926</v>
      </c>
      <c r="H48" s="19">
        <f t="shared" si="10"/>
        <v>3986081</v>
      </c>
      <c r="I48" s="19">
        <f t="shared" si="10"/>
        <v>3087853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36994544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906888</v>
      </c>
      <c r="E50" s="12">
        <f t="shared" si="11"/>
        <v>531272</v>
      </c>
      <c r="F50" s="12">
        <f t="shared" si="11"/>
        <v>-300822</v>
      </c>
      <c r="G50" s="12">
        <f t="shared" si="11"/>
        <v>62222</v>
      </c>
      <c r="H50" s="12">
        <f t="shared" si="11"/>
        <v>212557</v>
      </c>
      <c r="I50" s="12">
        <f t="shared" si="11"/>
        <v>259493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1203492</v>
      </c>
      <c r="O50" s="7">
        <f>+N50+N39+N41</f>
        <v>448680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30969</v>
      </c>
      <c r="H53" s="23">
        <v>110259</v>
      </c>
      <c r="I53" s="10">
        <v>168478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720487</v>
      </c>
      <c r="O53" s="10">
        <v>930725</v>
      </c>
      <c r="P53" s="40">
        <f>+O53-N53</f>
        <v>210238</v>
      </c>
      <c r="Z53" s="40">
        <f>N53-P53+O53-N53</f>
        <v>720487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-235725</v>
      </c>
      <c r="H56" s="7">
        <v>-12112</v>
      </c>
      <c r="I56" s="7">
        <v>-10838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-418284.11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752472</v>
      </c>
      <c r="H57" s="22">
        <v>-562011</v>
      </c>
      <c r="I57" s="22">
        <v>-225136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303657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547716</v>
      </c>
      <c r="H58" s="19">
        <f>SUM(H53:H57)</f>
        <v>-463864</v>
      </c>
      <c r="I58" s="19">
        <f t="shared" si="12"/>
        <v>-67496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1044099.89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2660636</v>
      </c>
      <c r="G61" s="19">
        <f t="shared" si="13"/>
        <v>2963642</v>
      </c>
      <c r="H61" s="19">
        <f t="shared" si="13"/>
        <v>3522217</v>
      </c>
      <c r="I61" s="19">
        <f t="shared" si="13"/>
        <v>3020357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38038643.890000001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918364</v>
      </c>
      <c r="E62" s="30">
        <f t="shared" si="14"/>
        <v>-118094</v>
      </c>
      <c r="F62" s="30">
        <f t="shared" si="14"/>
        <v>-312794</v>
      </c>
      <c r="G62" s="30">
        <f t="shared" si="14"/>
        <v>-485494</v>
      </c>
      <c r="H62" s="30">
        <f t="shared" si="14"/>
        <v>676421</v>
      </c>
      <c r="I62" s="30">
        <f t="shared" si="14"/>
        <v>326989</v>
      </c>
      <c r="J62" s="30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159392.1099999994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317938.10999999987</v>
      </c>
      <c r="E63" s="32">
        <f t="shared" si="15"/>
        <v>199844.10999999987</v>
      </c>
      <c r="F63" s="32">
        <f t="shared" si="15"/>
        <v>-112949.89000000013</v>
      </c>
      <c r="G63" s="32">
        <f t="shared" si="15"/>
        <v>-598443.89000000013</v>
      </c>
      <c r="H63" s="32">
        <f t="shared" si="15"/>
        <v>77977.10999999987</v>
      </c>
      <c r="I63" s="32">
        <f t="shared" si="15"/>
        <v>404966.10999999987</v>
      </c>
      <c r="J63" s="32">
        <f t="shared" si="15"/>
        <v>740308.10999999987</v>
      </c>
      <c r="K63" s="12">
        <f t="shared" si="15"/>
        <v>1108751.1099999999</v>
      </c>
      <c r="L63" s="12">
        <f t="shared" si="15"/>
        <v>1218972.1099999999</v>
      </c>
      <c r="M63" s="12">
        <f t="shared" si="15"/>
        <v>159392.10999999987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14675479.109999999</v>
      </c>
      <c r="E64" s="12">
        <f t="shared" si="16"/>
        <v>14557385.109999999</v>
      </c>
      <c r="F64" s="12">
        <f t="shared" si="16"/>
        <v>14244591.109999999</v>
      </c>
      <c r="G64" s="12">
        <f t="shared" si="16"/>
        <v>13759097.109999999</v>
      </c>
      <c r="H64" s="12">
        <f t="shared" si="16"/>
        <v>14435518.109999999</v>
      </c>
      <c r="I64" s="12">
        <f t="shared" si="16"/>
        <v>14762507.109999999</v>
      </c>
      <c r="J64" s="12">
        <f t="shared" si="16"/>
        <v>15097849.109999999</v>
      </c>
      <c r="K64" s="12">
        <f t="shared" si="16"/>
        <v>15466292.109999999</v>
      </c>
      <c r="L64" s="12">
        <f t="shared" si="16"/>
        <v>15576513.109999999</v>
      </c>
      <c r="M64" s="12">
        <f t="shared" si="16"/>
        <v>14516933.109999999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-229791</v>
      </c>
      <c r="E72" s="31">
        <f t="shared" si="18"/>
        <v>-701250</v>
      </c>
      <c r="F72" s="31">
        <f t="shared" si="18"/>
        <v>-186942</v>
      </c>
      <c r="G72" s="31">
        <f t="shared" si="18"/>
        <v>-447804</v>
      </c>
      <c r="H72" s="31">
        <f t="shared" si="18"/>
        <v>575752</v>
      </c>
      <c r="I72" s="31">
        <f t="shared" si="18"/>
        <v>-455429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733624.10999999987</v>
      </c>
      <c r="E73" s="31">
        <f t="shared" si="18"/>
        <v>32374.10999999987</v>
      </c>
      <c r="F73" s="31">
        <f t="shared" si="18"/>
        <v>-154567.89000000013</v>
      </c>
      <c r="G73" s="31">
        <f t="shared" si="18"/>
        <v>-602371.89000000013</v>
      </c>
      <c r="H73" s="31">
        <f t="shared" si="18"/>
        <v>-26619.89000000013</v>
      </c>
      <c r="I73" s="31">
        <f t="shared" si="18"/>
        <v>-482048.89000000013</v>
      </c>
      <c r="J73" s="31">
        <f t="shared" si="18"/>
        <v>-482048.89000000013</v>
      </c>
      <c r="K73" s="31">
        <f t="shared" si="18"/>
        <v>-482048.89000000013</v>
      </c>
      <c r="L73" s="31">
        <f t="shared" si="18"/>
        <v>-482048.89000000013</v>
      </c>
      <c r="M73" s="31">
        <f t="shared" si="18"/>
        <v>-482048.89000000013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733624.1099999994</v>
      </c>
      <c r="E74" s="16">
        <f t="shared" si="18"/>
        <v>32374.109999999404</v>
      </c>
      <c r="F74" s="16">
        <f t="shared" si="18"/>
        <v>-154567.8900000006</v>
      </c>
      <c r="G74" s="16">
        <f t="shared" si="18"/>
        <v>-602371.8900000006</v>
      </c>
      <c r="H74" s="16">
        <f t="shared" si="18"/>
        <v>-26619.890000000596</v>
      </c>
      <c r="I74" s="16">
        <f t="shared" si="18"/>
        <v>-482048.8900000006</v>
      </c>
      <c r="J74" s="16">
        <f t="shared" si="18"/>
        <v>-482048.8900000006</v>
      </c>
      <c r="K74" s="16">
        <f t="shared" si="18"/>
        <v>-482048.8900000006</v>
      </c>
      <c r="L74" s="16">
        <f t="shared" si="18"/>
        <v>-482048.8900000006</v>
      </c>
      <c r="M74" s="16">
        <f t="shared" si="18"/>
        <v>-482048.8900000006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>
        <v>12112.349999999999</v>
      </c>
      <c r="I77" s="86"/>
      <c r="J77" s="85">
        <v>562010.51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January 2019
</oddFooter>
  </headerFooter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92D050"/>
    <pageSetUpPr fitToPage="1"/>
  </sheetPr>
  <dimension ref="A1:Z85"/>
  <sheetViews>
    <sheetView showGridLines="0" zoomScale="90" zoomScaleNormal="90" workbookViewId="0"/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132</v>
      </c>
      <c r="E1" s="6"/>
      <c r="F1" s="6"/>
      <c r="J1" s="6"/>
      <c r="K1" s="6"/>
      <c r="N1" s="3"/>
    </row>
    <row r="2" spans="1:16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6" s="5" customFormat="1">
      <c r="B3" s="94">
        <v>43648</v>
      </c>
      <c r="C3" s="95">
        <v>43679</v>
      </c>
      <c r="D3" s="95">
        <v>43710</v>
      </c>
      <c r="E3" s="94">
        <v>43740</v>
      </c>
      <c r="F3" s="94">
        <v>43771</v>
      </c>
      <c r="G3" s="95">
        <v>43801</v>
      </c>
      <c r="H3" s="94">
        <v>43832</v>
      </c>
      <c r="I3" s="94">
        <v>43863</v>
      </c>
      <c r="J3" s="94">
        <v>43892</v>
      </c>
      <c r="K3" s="94">
        <v>43923</v>
      </c>
      <c r="L3" s="94">
        <v>43953</v>
      </c>
      <c r="M3" s="94">
        <v>43984</v>
      </c>
      <c r="N3" s="94" t="s">
        <v>133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t="13.5" hidden="1" customHeight="1">
      <c r="A5" s="6" t="s">
        <v>28</v>
      </c>
      <c r="B5" s="49">
        <v>1506911</v>
      </c>
      <c r="C5" s="53">
        <v>4218296</v>
      </c>
      <c r="D5" s="53">
        <v>4008767</v>
      </c>
      <c r="E5" s="53">
        <v>3723428</v>
      </c>
      <c r="F5" s="53">
        <v>2637007</v>
      </c>
      <c r="G5" s="53">
        <v>1983421</v>
      </c>
      <c r="H5" s="53">
        <v>3653867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36372910.125760004</v>
      </c>
      <c r="O5" s="29"/>
    </row>
    <row r="6" spans="1:16" s="6" customFormat="1" ht="12.75" hidden="1" customHeight="1">
      <c r="A6" s="6" t="s">
        <v>29</v>
      </c>
      <c r="B6" s="49">
        <v>122669</v>
      </c>
      <c r="C6" s="53">
        <v>65308</v>
      </c>
      <c r="D6" s="53">
        <v>368424</v>
      </c>
      <c r="E6" s="53">
        <v>265657</v>
      </c>
      <c r="F6" s="53">
        <v>90828</v>
      </c>
      <c r="G6" s="53">
        <v>46005</v>
      </c>
      <c r="H6" s="53">
        <v>118231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1735174</v>
      </c>
      <c r="O6" s="29"/>
    </row>
    <row r="7" spans="1:16" s="6" customFormat="1" ht="12.75" hidden="1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t="12.75" hidden="1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2029426</v>
      </c>
      <c r="H9" s="12">
        <f t="shared" si="0"/>
        <v>3772098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38108084.125760004</v>
      </c>
      <c r="O9" s="29"/>
      <c r="P9" s="29">
        <f>+N9</f>
        <v>38108084.125760004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>
        <v>3197</v>
      </c>
      <c r="H11" s="7">
        <v>367</v>
      </c>
      <c r="I11" s="7"/>
      <c r="J11" s="7"/>
      <c r="K11" s="7"/>
      <c r="L11" s="7"/>
      <c r="M11" s="7"/>
      <c r="N11" s="7">
        <f>SUM(B11:M11)</f>
        <v>6391.4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2032623</v>
      </c>
      <c r="H13" s="14">
        <f t="shared" si="1"/>
        <v>3772465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38114475.525760002</v>
      </c>
      <c r="O13" s="29"/>
    </row>
    <row r="14" spans="1:16" s="6" customFormat="1" ht="21" hidden="1" customHeight="1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t="17.25" hidden="1" customHeigh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t="12" hidden="1" customHeight="1">
      <c r="A16" s="6" t="s">
        <v>34</v>
      </c>
      <c r="B16" s="49">
        <v>789538</v>
      </c>
      <c r="C16" s="53">
        <v>2542832</v>
      </c>
      <c r="D16" s="53">
        <v>1670912</v>
      </c>
      <c r="E16" s="53">
        <v>1241006</v>
      </c>
      <c r="F16" s="53">
        <v>943426</v>
      </c>
      <c r="G16" s="53">
        <v>694088</v>
      </c>
      <c r="H16" s="53">
        <v>1773539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15331426.28156</v>
      </c>
      <c r="O16" s="29"/>
      <c r="P16" s="7">
        <f>-N16</f>
        <v>-15331426.28156</v>
      </c>
    </row>
    <row r="17" spans="1:16" s="6" customFormat="1" ht="20.25" hidden="1" customHeigh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t="26.25" hidden="1" customHeigh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t="12" hidden="1" customHeigh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 ht="13.5" thickTop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694088</v>
      </c>
      <c r="H20" s="12">
        <f t="shared" si="2"/>
        <v>1773539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15331426.28156</v>
      </c>
      <c r="O20" s="29"/>
    </row>
    <row r="21" spans="1:16" s="6" customFormat="1" ht="13.5" hidden="1" customHeigh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t="17.25" hidden="1" customHeigh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 hidden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2337855</v>
      </c>
      <c r="E23" s="7">
        <f t="shared" si="3"/>
        <v>2482422</v>
      </c>
      <c r="F23" s="7">
        <f t="shared" si="3"/>
        <v>1693581</v>
      </c>
      <c r="G23" s="7">
        <f t="shared" si="3"/>
        <v>1289333</v>
      </c>
      <c r="H23" s="7">
        <f t="shared" si="3"/>
        <v>1880328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21041483.844200004</v>
      </c>
      <c r="O23" s="29"/>
    </row>
    <row r="24" spans="1:16" s="6" customFormat="1" hidden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368424</v>
      </c>
      <c r="E24" s="7">
        <f t="shared" si="3"/>
        <v>265657</v>
      </c>
      <c r="F24" s="7">
        <f t="shared" si="3"/>
        <v>90828</v>
      </c>
      <c r="G24" s="7">
        <f t="shared" si="3"/>
        <v>46005</v>
      </c>
      <c r="H24" s="7">
        <f t="shared" si="3"/>
        <v>118231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1735174</v>
      </c>
      <c r="O24" s="29"/>
    </row>
    <row r="25" spans="1:16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1335338</v>
      </c>
      <c r="H27" s="12">
        <f>SUM(H23:H26)</f>
        <v>1998559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22776657.844200004</v>
      </c>
      <c r="O27" s="29"/>
      <c r="P27" s="29">
        <f>+N27</f>
        <v>22776657.844200004</v>
      </c>
    </row>
    <row r="28" spans="1:16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0.65798802222894548</v>
      </c>
      <c r="H28" s="73">
        <f t="shared" si="5"/>
        <v>0.52982690269446875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0.59768572382266827</v>
      </c>
    </row>
    <row r="29" spans="1:16" s="6" customFormat="1" ht="27" hidden="1" customHeigh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 hidden="1">
      <c r="A30" s="6" t="s">
        <v>93</v>
      </c>
      <c r="B30" s="49">
        <v>599577</v>
      </c>
      <c r="C30" s="53">
        <v>671079</v>
      </c>
      <c r="D30" s="53">
        <v>793811</v>
      </c>
      <c r="E30" s="53">
        <v>957117</v>
      </c>
      <c r="F30" s="53">
        <v>689782</v>
      </c>
      <c r="G30" s="53">
        <v>611497</v>
      </c>
      <c r="H30" s="53">
        <v>797690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8746657.7261316292</v>
      </c>
      <c r="O30" s="29"/>
    </row>
    <row r="31" spans="1:16" s="6" customFormat="1" hidden="1">
      <c r="A31" s="6" t="s">
        <v>42</v>
      </c>
      <c r="B31" s="49">
        <v>243836</v>
      </c>
      <c r="C31" s="53">
        <v>217946</v>
      </c>
      <c r="D31" s="53">
        <v>239113</v>
      </c>
      <c r="E31" s="53">
        <v>257850</v>
      </c>
      <c r="F31" s="53">
        <v>223271</v>
      </c>
      <c r="G31" s="53">
        <v>225464</v>
      </c>
      <c r="H31" s="53">
        <v>230373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2712836.4393763151</v>
      </c>
      <c r="O31" s="29"/>
    </row>
    <row r="32" spans="1:16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t="13.5" hidden="1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836961</v>
      </c>
      <c r="H34" s="12">
        <f t="shared" si="6"/>
        <v>1028063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11459494.165507944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t="18" hidden="1" customHeigh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t="12.75" hidden="1" customHeight="1">
      <c r="A37" s="6" t="s">
        <v>45</v>
      </c>
      <c r="B37" s="53">
        <v>1312659</v>
      </c>
      <c r="C37" s="53">
        <v>1350844</v>
      </c>
      <c r="D37" s="53">
        <v>1621977</v>
      </c>
      <c r="E37" s="53">
        <v>1862721</v>
      </c>
      <c r="F37" s="53">
        <v>1464546</v>
      </c>
      <c r="G37" s="66">
        <v>1373998</v>
      </c>
      <c r="H37" s="66">
        <v>1519146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18107889.528176554</v>
      </c>
      <c r="O37" s="29"/>
    </row>
    <row r="38" spans="1:16" s="6" customFormat="1" ht="12.75" hidden="1" customHeight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-1032924</v>
      </c>
      <c r="E38" s="7">
        <f t="shared" si="7"/>
        <v>-1214967</v>
      </c>
      <c r="F38" s="7">
        <f t="shared" si="7"/>
        <v>-913053</v>
      </c>
      <c r="G38" s="7">
        <f t="shared" si="7"/>
        <v>-836961</v>
      </c>
      <c r="H38" s="7">
        <f>-H34</f>
        <v>-1028063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-11459494.165507942</v>
      </c>
      <c r="O38" s="29"/>
    </row>
    <row r="39" spans="1:16" s="6" customFormat="1" ht="12.75" hidden="1" customHeight="1">
      <c r="A39" s="6" t="s">
        <v>47</v>
      </c>
      <c r="B39" s="72">
        <v>-77862</v>
      </c>
      <c r="C39" s="72">
        <v>-77862</v>
      </c>
      <c r="D39" s="72">
        <v>-77862</v>
      </c>
      <c r="E39" s="72">
        <v>-77862</v>
      </c>
      <c r="F39" s="72">
        <v>-77862</v>
      </c>
      <c r="G39" s="72">
        <v>-79350</v>
      </c>
      <c r="H39" s="72">
        <v>-79350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-975475</v>
      </c>
      <c r="O39" s="88"/>
      <c r="P39" s="42"/>
    </row>
    <row r="40" spans="1:16" s="6" customFormat="1" ht="12.75" hidden="1" customHeight="1">
      <c r="A40" s="6" t="s">
        <v>124</v>
      </c>
      <c r="B40" s="53">
        <v>-8600</v>
      </c>
      <c r="C40" s="53">
        <v>-8600</v>
      </c>
      <c r="D40" s="53">
        <v>-8600</v>
      </c>
      <c r="E40" s="53">
        <v>-8600</v>
      </c>
      <c r="F40" s="53">
        <v>-8600</v>
      </c>
      <c r="G40" s="53">
        <v>-8600</v>
      </c>
      <c r="H40" s="53">
        <v>-8600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-104665</v>
      </c>
      <c r="O40" s="88"/>
      <c r="P40" s="58"/>
    </row>
    <row r="41" spans="1:16" s="6" customFormat="1" ht="12.75" hidden="1" customHeight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-1223540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439037</v>
      </c>
      <c r="H42" s="12">
        <f t="shared" si="8"/>
        <v>398883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5424855.3626686111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t="18" hidden="1" customHeight="1">
      <c r="A44" s="13" t="s">
        <v>50</v>
      </c>
      <c r="B44" s="53">
        <v>313331</v>
      </c>
      <c r="C44" s="53">
        <v>400498</v>
      </c>
      <c r="D44" s="53">
        <v>331729</v>
      </c>
      <c r="E44" s="53">
        <v>309099</v>
      </c>
      <c r="F44" s="53">
        <v>349633</v>
      </c>
      <c r="G44" s="53">
        <v>248256</v>
      </c>
      <c r="H44" s="53">
        <v>313763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4303313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248256</v>
      </c>
      <c r="H46" s="12">
        <f t="shared" si="9"/>
        <v>313763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4303313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2218342</v>
      </c>
      <c r="H48" s="19">
        <f t="shared" si="10"/>
        <v>3514248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36519088.809736557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-185719</v>
      </c>
      <c r="H50" s="12">
        <f>+H13-H48</f>
        <v>258217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1595386.7160234461</v>
      </c>
      <c r="O50" s="7"/>
      <c r="P50" s="25">
        <f>+N50</f>
        <v>1595386.7160234461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371846.71602344606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29828</v>
      </c>
      <c r="H53" s="23">
        <v>16962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372057.48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-13668</v>
      </c>
      <c r="F56" s="7">
        <v>-12737</v>
      </c>
      <c r="G56" s="7">
        <v>-77693</v>
      </c>
      <c r="H56" s="7">
        <f>-12580-367</f>
        <v>-12947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-280990</v>
      </c>
      <c r="O56" s="7"/>
    </row>
    <row r="57" spans="1:26" s="6" customFormat="1">
      <c r="A57" s="6" t="s">
        <v>134</v>
      </c>
      <c r="B57" s="22">
        <v>-29008</v>
      </c>
      <c r="C57" s="22">
        <v>209614</v>
      </c>
      <c r="D57" s="22">
        <v>-83076</v>
      </c>
      <c r="E57" s="22">
        <v>-215833</v>
      </c>
      <c r="F57" s="22">
        <v>-198902</v>
      </c>
      <c r="G57" s="22">
        <v>-207006</v>
      </c>
      <c r="H57" s="22">
        <v>115087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-534124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-121639</v>
      </c>
      <c r="G58" s="19">
        <f t="shared" si="12"/>
        <v>-254871</v>
      </c>
      <c r="H58" s="19">
        <f>SUM(H53:H57)</f>
        <v>119102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72800.479999999981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3113506.52</v>
      </c>
      <c r="F61" s="19">
        <f>+F58+F48</f>
        <v>2545254</v>
      </c>
      <c r="G61" s="19">
        <f t="shared" si="13"/>
        <v>1963471</v>
      </c>
      <c r="H61" s="19">
        <f t="shared" si="13"/>
        <v>3633350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36591889.289736554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875351.48</v>
      </c>
      <c r="F62" s="14">
        <f>+F13-F61</f>
        <v>182806</v>
      </c>
      <c r="G62" s="14">
        <f t="shared" si="14"/>
        <v>69152</v>
      </c>
      <c r="H62" s="14">
        <f t="shared" si="14"/>
        <v>139115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1522586.2360234484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487455.92000000039</v>
      </c>
      <c r="F63" s="12">
        <f t="shared" si="15"/>
        <v>670261.92000000039</v>
      </c>
      <c r="G63" s="12">
        <f t="shared" si="15"/>
        <v>739413.92000000039</v>
      </c>
      <c r="H63" s="12">
        <f t="shared" si="15"/>
        <v>878528.92000000039</v>
      </c>
      <c r="I63" s="12">
        <f t="shared" si="15"/>
        <v>1377936.8202224276</v>
      </c>
      <c r="J63" s="12">
        <f t="shared" si="15"/>
        <v>2034048.5703217341</v>
      </c>
      <c r="K63" s="12">
        <f t="shared" si="15"/>
        <v>2165174.8967246907</v>
      </c>
      <c r="L63" s="12">
        <f t="shared" si="15"/>
        <v>2404537.8750596</v>
      </c>
      <c r="M63" s="12">
        <f t="shared" si="15"/>
        <v>1522586.2360234461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14086402.92</v>
      </c>
      <c r="F64" s="12">
        <f>+$B$60+F63</f>
        <v>14269208.92</v>
      </c>
      <c r="G64" s="12">
        <f t="shared" si="16"/>
        <v>14338360.92</v>
      </c>
      <c r="H64" s="12">
        <f t="shared" si="16"/>
        <v>14477475.92</v>
      </c>
      <c r="I64" s="12">
        <f t="shared" si="16"/>
        <v>14976883.820222428</v>
      </c>
      <c r="J64" s="12">
        <f t="shared" si="16"/>
        <v>15632995.570321735</v>
      </c>
      <c r="K64" s="12">
        <f t="shared" si="16"/>
        <v>15764121.89672469</v>
      </c>
      <c r="L64" s="12">
        <f t="shared" si="16"/>
        <v>16003484.875059601</v>
      </c>
      <c r="M64" s="12">
        <f t="shared" si="16"/>
        <v>15121533.236023447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126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30">
        <v>854641.48144806735</v>
      </c>
      <c r="E67" s="30">
        <v>550109.68371886434</v>
      </c>
      <c r="F67" s="30">
        <v>-58453.035503471736</v>
      </c>
      <c r="G67" s="30">
        <v>-6981.7485968954861</v>
      </c>
      <c r="H67" s="30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32">
        <f t="shared" ref="D68:M68" si="17">+C68+D67</f>
        <v>-510844.457135248</v>
      </c>
      <c r="E68" s="32">
        <f t="shared" si="17"/>
        <v>39265.226583616342</v>
      </c>
      <c r="F68" s="32">
        <f t="shared" si="17"/>
        <v>-19187.808919855393</v>
      </c>
      <c r="G68" s="32">
        <f t="shared" si="17"/>
        <v>-26169.55751675088</v>
      </c>
      <c r="H68" s="3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12398.508551932871</v>
      </c>
      <c r="E72" s="31">
        <f t="shared" si="18"/>
        <v>325241.79628113564</v>
      </c>
      <c r="F72" s="31">
        <f t="shared" si="18"/>
        <v>241259.03550347174</v>
      </c>
      <c r="G72" s="31">
        <f t="shared" si="18"/>
        <v>76133.748596895486</v>
      </c>
      <c r="H72" s="31">
        <f t="shared" si="18"/>
        <v>-29409.427410655655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122948.89713524841</v>
      </c>
      <c r="E73" s="31">
        <f t="shared" si="18"/>
        <v>448190.69341638405</v>
      </c>
      <c r="F73" s="31">
        <f t="shared" si="18"/>
        <v>689449.72891985578</v>
      </c>
      <c r="G73" s="31">
        <f t="shared" si="18"/>
        <v>765583.47751675127</v>
      </c>
      <c r="H73" s="31">
        <f t="shared" si="18"/>
        <v>736174.05010609562</v>
      </c>
      <c r="I73" s="16">
        <f t="shared" si="18"/>
        <v>736174.05010609562</v>
      </c>
      <c r="J73" s="16">
        <f t="shared" si="18"/>
        <v>736174.05010609562</v>
      </c>
      <c r="K73" s="16">
        <f t="shared" si="18"/>
        <v>736174.05010609562</v>
      </c>
      <c r="L73" s="16">
        <f t="shared" si="18"/>
        <v>736174.05010609562</v>
      </c>
      <c r="M73" s="16">
        <f t="shared" si="18"/>
        <v>736174.05010609562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-449688.55000000075</v>
      </c>
      <c r="D74" s="16">
        <f t="shared" si="18"/>
        <v>-730803.55999999866</v>
      </c>
      <c r="E74" s="16">
        <f t="shared" si="18"/>
        <v>-438608.08000000007</v>
      </c>
      <c r="F74" s="16">
        <f t="shared" si="18"/>
        <v>-129950.08000000007</v>
      </c>
      <c r="G74" s="16">
        <f t="shared" si="18"/>
        <v>-23108.080000000075</v>
      </c>
      <c r="H74" s="16">
        <f t="shared" si="18"/>
        <v>15337.919999999925</v>
      </c>
      <c r="I74" s="16">
        <f t="shared" si="18"/>
        <v>-267672.17977757193</v>
      </c>
      <c r="J74" s="16">
        <f t="shared" si="18"/>
        <v>53097.570321734995</v>
      </c>
      <c r="K74" s="16">
        <f t="shared" si="18"/>
        <v>-184219.10327531025</v>
      </c>
      <c r="L74" s="16">
        <f t="shared" si="18"/>
        <v>-55077.124940399081</v>
      </c>
      <c r="M74" s="16">
        <f t="shared" si="18"/>
        <v>122551.23602344655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5">
      <c r="A77" s="1"/>
      <c r="B77" s="4"/>
      <c r="C77" s="8"/>
      <c r="D77" s="8"/>
      <c r="E77" s="8"/>
      <c r="F77" s="8"/>
      <c r="G77" s="96"/>
      <c r="H77" s="98"/>
      <c r="I77" s="99"/>
      <c r="J77" s="98"/>
      <c r="K77" s="5"/>
      <c r="L77" s="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AR96"/>
  <sheetViews>
    <sheetView showGridLines="0" workbookViewId="0">
      <pane xSplit="1" ySplit="3" topLeftCell="B52" activePane="bottomRight" state="frozen"/>
      <selection pane="topRight" activeCell="B72" sqref="B72"/>
      <selection pane="bottomLeft" activeCell="B72" sqref="B72"/>
      <selection pane="bottomRight" activeCell="D92" sqref="D9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83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2491408.6501843799</v>
      </c>
      <c r="G5" s="53">
        <v>2443225.8391503901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36263559.377367124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68608.629526434102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1463556.9996425521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2560017.2797108139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37727116.377009675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/>
      <c r="G11" s="7"/>
      <c r="H11" s="7"/>
      <c r="I11" s="7"/>
      <c r="J11" s="7"/>
      <c r="K11" s="7"/>
      <c r="L11" s="7"/>
      <c r="M11" s="7"/>
      <c r="N11" s="7">
        <f>SUM(B11:M11)</f>
        <v>16604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2560017.2797108139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37743720.377009675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920442.29592504795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16676134.036724122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920442.29592504795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16676134.036724122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1570966.3542593319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19587425.340642996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68608.629526434102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1463556.9996425521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1639574.9837857659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21050982.340285547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592548.56023265596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7317621.7828975711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194628.20504591099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2459951.402551929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787176.76527856698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9777573.1854494996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1397109.5265258201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16318736.881759096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-787176.76527856698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-9777573.1854494996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-84889.941666666593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514379.15291391994</v>
      </c>
      <c r="G42" s="12">
        <f t="shared" si="9"/>
        <v>522503.14439086901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5440593.2429762632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309928.67264446814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4249890.5424008258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-5000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-70000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304928.67264446814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4179890.5424008258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2526926.8867620029</v>
      </c>
      <c r="G48" s="19">
        <f t="shared" si="11"/>
        <v>2694465.9449283639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36074191.007550716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33090.392948810942</v>
      </c>
      <c r="G50" s="12">
        <f t="shared" si="12"/>
        <v>-170702.61557580205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1308509.9727922943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186840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1886500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-425000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v>-8000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-118501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-381015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298840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1690296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2825766.8867620029</v>
      </c>
      <c r="G61" s="19">
        <f t="shared" si="14"/>
        <v>2913465.9449283639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37764487.007550716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14">
        <f t="shared" si="15"/>
        <v>-265749.60705118906</v>
      </c>
      <c r="G62" s="14">
        <f t="shared" si="15"/>
        <v>-389702.61557580205</v>
      </c>
      <c r="H62" s="14">
        <f t="shared" si="15"/>
        <v>-14360.90837025363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-20766.630541041493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12">
        <f t="shared" si="16"/>
        <v>147238.05961547676</v>
      </c>
      <c r="G63" s="12">
        <f t="shared" si="16"/>
        <v>-242464.55596032529</v>
      </c>
      <c r="H63" s="12">
        <f t="shared" si="16"/>
        <v>-256825.46433057892</v>
      </c>
      <c r="I63" s="12">
        <f t="shared" si="16"/>
        <v>-52944.868867790559</v>
      </c>
      <c r="J63" s="12">
        <f t="shared" si="16"/>
        <v>257971.40650321799</v>
      </c>
      <c r="K63" s="12">
        <f t="shared" si="16"/>
        <v>441530.51669291151</v>
      </c>
      <c r="L63" s="12">
        <f t="shared" si="16"/>
        <v>895878.3063943272</v>
      </c>
      <c r="M63" s="12">
        <f t="shared" si="16"/>
        <v>-381786.02720770589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11137733.059615476</v>
      </c>
      <c r="G64" s="12">
        <f t="shared" si="17"/>
        <v>10748030.444039674</v>
      </c>
      <c r="H64" s="12">
        <f t="shared" si="17"/>
        <v>10733669.535669422</v>
      </c>
      <c r="I64" s="12">
        <f t="shared" si="17"/>
        <v>10937550.13113221</v>
      </c>
      <c r="J64" s="12">
        <f t="shared" si="17"/>
        <v>11248466.406503217</v>
      </c>
      <c r="K64" s="12">
        <f t="shared" si="17"/>
        <v>11432025.516692912</v>
      </c>
      <c r="L64" s="12">
        <f t="shared" si="17"/>
        <v>11886373.306394327</v>
      </c>
      <c r="M64" s="12">
        <f t="shared" si="17"/>
        <v>10608708.972792294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0</v>
      </c>
      <c r="G72" s="16">
        <f t="shared" si="18"/>
        <v>0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-20766.630541041493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-589239.26197246625</v>
      </c>
      <c r="G73" s="16">
        <f t="shared" si="18"/>
        <v>-589239.26197246625</v>
      </c>
      <c r="H73" s="16">
        <f t="shared" si="18"/>
        <v>-589239.26197246625</v>
      </c>
      <c r="I73" s="16">
        <f t="shared" si="18"/>
        <v>-589239.26197246625</v>
      </c>
      <c r="J73" s="16">
        <f t="shared" si="18"/>
        <v>-589239.26197246625</v>
      </c>
      <c r="K73" s="16">
        <f t="shared" si="18"/>
        <v>-589239.26197246625</v>
      </c>
      <c r="L73" s="16">
        <f t="shared" si="18"/>
        <v>-589239.26197246625</v>
      </c>
      <c r="M73" s="16">
        <f t="shared" si="18"/>
        <v>-589239.26197246625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-589239.26197246648</v>
      </c>
      <c r="G74" s="16">
        <f t="shared" si="18"/>
        <v>-589239.26197246648</v>
      </c>
      <c r="H74" s="16">
        <f t="shared" si="18"/>
        <v>-589239.26197246648</v>
      </c>
      <c r="I74" s="16">
        <f t="shared" si="18"/>
        <v>-589239.26197246648</v>
      </c>
      <c r="J74" s="16">
        <f t="shared" si="18"/>
        <v>-589239.26197246648</v>
      </c>
      <c r="K74" s="16">
        <f t="shared" si="18"/>
        <v>-589239.26197246648</v>
      </c>
      <c r="L74" s="16">
        <f t="shared" si="18"/>
        <v>-589239.26197246648</v>
      </c>
      <c r="M74" s="16">
        <f t="shared" si="18"/>
        <v>-589239.26197246648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771500</v>
      </c>
      <c r="G84" s="7">
        <f>SUM($B53:G53)</f>
        <v>973500</v>
      </c>
      <c r="H84" s="7">
        <f>SUM(B53:H53)</f>
        <v>1170500</v>
      </c>
      <c r="I84" s="7">
        <f>SUM(B53:I53)</f>
        <v>1312500</v>
      </c>
      <c r="J84" s="7">
        <f>SUM(B53:J53)</f>
        <v>1431500</v>
      </c>
      <c r="K84" s="7">
        <f>SUM(B53:K53)</f>
        <v>1431500</v>
      </c>
      <c r="L84" s="7">
        <f>SUM(B53:L53)</f>
        <v>1431500</v>
      </c>
      <c r="M84" s="7">
        <f>SUM(B53:M53)</f>
        <v>1886500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-458305</v>
      </c>
      <c r="G85" s="7">
        <f t="shared" si="20"/>
        <v>-458305</v>
      </c>
      <c r="H85" s="7">
        <f t="shared" ref="H85:M85" si="21">+H83-H84</f>
        <v>-458305</v>
      </c>
      <c r="I85" s="7">
        <f t="shared" si="21"/>
        <v>-458305</v>
      </c>
      <c r="J85" s="7">
        <f t="shared" si="21"/>
        <v>-458305</v>
      </c>
      <c r="K85" s="7">
        <f t="shared" si="21"/>
        <v>-458305</v>
      </c>
      <c r="L85" s="7">
        <f t="shared" si="21"/>
        <v>-458305</v>
      </c>
      <c r="M85" s="7">
        <f t="shared" si="21"/>
        <v>-458305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33000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499516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264516</v>
      </c>
      <c r="G88" s="40">
        <f t="shared" si="23"/>
        <v>297516</v>
      </c>
      <c r="H88" s="35">
        <f t="shared" si="23"/>
        <v>330516</v>
      </c>
      <c r="I88" s="40">
        <f t="shared" si="23"/>
        <v>363516</v>
      </c>
      <c r="J88" s="40">
        <f t="shared" si="23"/>
        <v>397516</v>
      </c>
      <c r="K88" s="40">
        <f t="shared" si="23"/>
        <v>431516</v>
      </c>
      <c r="L88" s="35">
        <f t="shared" si="23"/>
        <v>465516</v>
      </c>
      <c r="M88" s="35">
        <f t="shared" si="23"/>
        <v>499516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October 2016</oddFooter>
  </headerFooter>
  <legacy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92D050"/>
    <pageSetUpPr fitToPage="1"/>
  </sheetPr>
  <dimension ref="A1:Z85"/>
  <sheetViews>
    <sheetView showGridLines="0" zoomScale="90" zoomScaleNormal="90" workbookViewId="0">
      <selection activeCell="B52" sqref="B52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131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90">
        <v>43679</v>
      </c>
      <c r="D3" s="90">
        <v>43710</v>
      </c>
      <c r="E3" s="11">
        <v>43740</v>
      </c>
      <c r="F3" s="11">
        <v>43771</v>
      </c>
      <c r="G3" s="90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t="13.5" hidden="1" customHeight="1">
      <c r="A5" s="6" t="s">
        <v>28</v>
      </c>
      <c r="B5" s="49">
        <v>1506911</v>
      </c>
      <c r="C5" s="53">
        <v>4218296</v>
      </c>
      <c r="D5" s="53">
        <v>4008767</v>
      </c>
      <c r="E5" s="53">
        <v>3723428</v>
      </c>
      <c r="F5" s="53">
        <v>2637007</v>
      </c>
      <c r="G5" s="53">
        <v>1983421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36681429.530709997</v>
      </c>
      <c r="O5" s="29"/>
    </row>
    <row r="6" spans="1:16" s="6" customFormat="1" hidden="1">
      <c r="A6" s="6" t="s">
        <v>29</v>
      </c>
      <c r="B6" s="49">
        <v>122669</v>
      </c>
      <c r="C6" s="53">
        <v>65308</v>
      </c>
      <c r="D6" s="53">
        <v>368424</v>
      </c>
      <c r="E6" s="53">
        <v>265657</v>
      </c>
      <c r="F6" s="53">
        <v>90828</v>
      </c>
      <c r="G6" s="53">
        <v>46005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1734672</v>
      </c>
      <c r="O6" s="29"/>
    </row>
    <row r="7" spans="1:16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2029426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38416101.530709997</v>
      </c>
      <c r="O9" s="29"/>
      <c r="P9" s="29">
        <f>+N9</f>
        <v>38416101.530709997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>
        <v>3197</v>
      </c>
      <c r="H11" s="7"/>
      <c r="I11" s="7"/>
      <c r="J11" s="7"/>
      <c r="K11" s="7"/>
      <c r="L11" s="7"/>
      <c r="M11" s="7"/>
      <c r="N11" s="7">
        <f>SUM(B11:M11)</f>
        <v>6024.4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2032623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38422125.930709995</v>
      </c>
      <c r="O13" s="29"/>
    </row>
    <row r="14" spans="1:16" s="6" customFormat="1" ht="21" hidden="1" customHeight="1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t="17.25" hidden="1" customHeigh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t="12" hidden="1" customHeight="1">
      <c r="A16" s="6" t="s">
        <v>34</v>
      </c>
      <c r="B16" s="49">
        <v>789538</v>
      </c>
      <c r="C16" s="53">
        <v>2542832</v>
      </c>
      <c r="D16" s="53">
        <v>1670912</v>
      </c>
      <c r="E16" s="53">
        <v>1241006</v>
      </c>
      <c r="F16" s="53">
        <v>943426</v>
      </c>
      <c r="G16" s="53">
        <v>694088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15753978.31715</v>
      </c>
      <c r="O16" s="29"/>
      <c r="P16" s="7">
        <f>-N16</f>
        <v>-15753978.31715</v>
      </c>
    </row>
    <row r="17" spans="1:16" s="6" customFormat="1" ht="20.25" hidden="1" customHeigh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t="26.25" hidden="1" customHeigh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t="12" hidden="1" customHeigh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 ht="13.5" thickTop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694088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15753978.31715</v>
      </c>
      <c r="O20" s="29"/>
    </row>
    <row r="21" spans="1:16" s="6" customFormat="1" ht="13.5" hidden="1" customHeigh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t="17.25" hidden="1" customHeigh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 hidden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2337855</v>
      </c>
      <c r="E23" s="7">
        <f t="shared" si="3"/>
        <v>2482422</v>
      </c>
      <c r="F23" s="7">
        <f t="shared" si="3"/>
        <v>1693581</v>
      </c>
      <c r="G23" s="7">
        <f t="shared" si="3"/>
        <v>1289333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20927451.213560004</v>
      </c>
      <c r="O23" s="29"/>
    </row>
    <row r="24" spans="1:16" s="6" customFormat="1" hidden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368424</v>
      </c>
      <c r="E24" s="7">
        <f t="shared" si="3"/>
        <v>265657</v>
      </c>
      <c r="F24" s="7">
        <f t="shared" si="3"/>
        <v>90828</v>
      </c>
      <c r="G24" s="7">
        <f t="shared" si="3"/>
        <v>46005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1734672</v>
      </c>
      <c r="O24" s="29"/>
    </row>
    <row r="25" spans="1:16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1335338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22662123.213560004</v>
      </c>
      <c r="O27" s="29"/>
      <c r="P27" s="29">
        <f>+N27</f>
        <v>22662123.213560004</v>
      </c>
    </row>
    <row r="28" spans="1:16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0.65798802222894548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0.58991210223254442</v>
      </c>
    </row>
    <row r="29" spans="1:16" s="6" customFormat="1" ht="27" hidden="1" customHeigh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 hidden="1">
      <c r="A30" s="6" t="s">
        <v>93</v>
      </c>
      <c r="B30" s="49">
        <v>599577</v>
      </c>
      <c r="C30" s="53">
        <v>671079</v>
      </c>
      <c r="D30" s="53">
        <v>793811</v>
      </c>
      <c r="E30" s="53">
        <v>957117</v>
      </c>
      <c r="F30" s="53">
        <v>689782</v>
      </c>
      <c r="G30" s="53">
        <v>611497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8691659.0177195705</v>
      </c>
      <c r="O30" s="29"/>
    </row>
    <row r="31" spans="1:16" s="6" customFormat="1" hidden="1">
      <c r="A31" s="6" t="s">
        <v>42</v>
      </c>
      <c r="B31" s="49">
        <v>243836</v>
      </c>
      <c r="C31" s="53">
        <v>217946</v>
      </c>
      <c r="D31" s="53">
        <v>239113</v>
      </c>
      <c r="E31" s="53">
        <v>257850</v>
      </c>
      <c r="F31" s="53">
        <v>223271</v>
      </c>
      <c r="G31" s="53">
        <v>225464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2706349.5897377185</v>
      </c>
      <c r="O31" s="29"/>
    </row>
    <row r="32" spans="1:16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t="13.5" hidden="1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836961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11398008.607457289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t="18" hidden="1" customHeigh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1312659</v>
      </c>
      <c r="C37" s="53">
        <v>1350844</v>
      </c>
      <c r="D37" s="53">
        <v>1621977</v>
      </c>
      <c r="E37" s="53">
        <v>1862721</v>
      </c>
      <c r="F37" s="53">
        <v>1464546</v>
      </c>
      <c r="G37" s="66">
        <v>1373998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18062605.470125899</v>
      </c>
      <c r="O37" s="29"/>
    </row>
    <row r="38" spans="1:16" s="6" customFormat="1" hidden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-1032924</v>
      </c>
      <c r="E38" s="7">
        <f t="shared" si="7"/>
        <v>-1214967</v>
      </c>
      <c r="F38" s="7">
        <f t="shared" si="7"/>
        <v>-913053</v>
      </c>
      <c r="G38" s="7">
        <f t="shared" si="7"/>
        <v>-836961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-11398008.607457288</v>
      </c>
      <c r="O38" s="29"/>
    </row>
    <row r="39" spans="1:16" s="6" customFormat="1" hidden="1">
      <c r="A39" s="6" t="s">
        <v>47</v>
      </c>
      <c r="B39" s="72">
        <v>-77862</v>
      </c>
      <c r="C39" s="72">
        <v>-77862</v>
      </c>
      <c r="D39" s="72">
        <v>-77862</v>
      </c>
      <c r="E39" s="72">
        <v>-77862</v>
      </c>
      <c r="F39" s="72">
        <v>-77862</v>
      </c>
      <c r="G39" s="72">
        <v>-79350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-981618</v>
      </c>
      <c r="O39" s="88"/>
      <c r="P39" s="42"/>
    </row>
    <row r="40" spans="1:16" s="6" customFormat="1" hidden="1">
      <c r="A40" s="6" t="s">
        <v>124</v>
      </c>
      <c r="B40" s="53">
        <v>-8600</v>
      </c>
      <c r="C40" s="53">
        <v>-8600</v>
      </c>
      <c r="D40" s="53">
        <v>-8600</v>
      </c>
      <c r="E40" s="53">
        <v>-8600</v>
      </c>
      <c r="F40" s="53">
        <v>-8600</v>
      </c>
      <c r="G40" s="53">
        <v>-8600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-104958</v>
      </c>
      <c r="O40" s="88"/>
      <c r="P40" s="58"/>
    </row>
    <row r="41" spans="1:16" s="6" customFormat="1" hidden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-1229976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439037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5434620.8626686111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t="18" hidden="1" customHeight="1">
      <c r="A44" s="13" t="s">
        <v>50</v>
      </c>
      <c r="B44" s="53">
        <v>313331</v>
      </c>
      <c r="C44" s="53">
        <v>400498</v>
      </c>
      <c r="D44" s="53">
        <v>331729</v>
      </c>
      <c r="E44" s="53">
        <v>309099</v>
      </c>
      <c r="F44" s="53">
        <v>349633</v>
      </c>
      <c r="G44" s="53">
        <v>248256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4369824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248256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4369824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2218342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36956431.787275903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-185719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1465694.1434341017</v>
      </c>
      <c r="O50" s="7"/>
      <c r="P50" s="25">
        <f>+N50</f>
        <v>1465694.1434341017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235718.14343410172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29828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365095.48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-13668</v>
      </c>
      <c r="F56" s="7">
        <v>-12737</v>
      </c>
      <c r="G56" s="7">
        <v>-77693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-293043</v>
      </c>
      <c r="O56" s="7"/>
    </row>
    <row r="57" spans="1:26" s="6" customFormat="1">
      <c r="A57" s="6" t="s">
        <v>59</v>
      </c>
      <c r="B57" s="22">
        <v>-29008</v>
      </c>
      <c r="C57" s="22">
        <v>209614</v>
      </c>
      <c r="D57" s="22">
        <v>-83076</v>
      </c>
      <c r="E57" s="22">
        <v>-215833</v>
      </c>
      <c r="F57" s="22">
        <v>-198902</v>
      </c>
      <c r="G57" s="22">
        <v>-207006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-674211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-121639</v>
      </c>
      <c r="G58" s="19">
        <f t="shared" si="12"/>
        <v>-254871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-86301.520000000019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3113506.52</v>
      </c>
      <c r="F61" s="19">
        <f>+F58+F48</f>
        <v>2545254</v>
      </c>
      <c r="G61" s="19">
        <f t="shared" si="13"/>
        <v>1963471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36870130.2672759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875351.48</v>
      </c>
      <c r="F62" s="14">
        <f>+F13-F61</f>
        <v>182806</v>
      </c>
      <c r="G62" s="14">
        <f t="shared" si="14"/>
        <v>69152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1551995.6634340957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487455.92000000039</v>
      </c>
      <c r="F63" s="12">
        <f t="shared" si="15"/>
        <v>670261.92000000039</v>
      </c>
      <c r="G63" s="12">
        <f t="shared" si="15"/>
        <v>739413.92000000039</v>
      </c>
      <c r="H63" s="12">
        <f t="shared" si="15"/>
        <v>907938.34741065605</v>
      </c>
      <c r="I63" s="12">
        <f t="shared" si="15"/>
        <v>1407346.2476330833</v>
      </c>
      <c r="J63" s="12">
        <f t="shared" si="15"/>
        <v>2063457.9977323897</v>
      </c>
      <c r="K63" s="12">
        <f t="shared" si="15"/>
        <v>2194584.3241353463</v>
      </c>
      <c r="L63" s="12">
        <f t="shared" si="15"/>
        <v>2433947.3024702556</v>
      </c>
      <c r="M63" s="12">
        <f t="shared" si="15"/>
        <v>1551995.6634341017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14086402.92</v>
      </c>
      <c r="F64" s="12">
        <f>+$B$60+F63</f>
        <v>14269208.92</v>
      </c>
      <c r="G64" s="12">
        <f t="shared" si="16"/>
        <v>14338360.92</v>
      </c>
      <c r="H64" s="12">
        <f t="shared" si="16"/>
        <v>14506885.347410657</v>
      </c>
      <c r="I64" s="12">
        <f t="shared" si="16"/>
        <v>15006293.247633083</v>
      </c>
      <c r="J64" s="12">
        <f t="shared" si="16"/>
        <v>15662404.99773239</v>
      </c>
      <c r="K64" s="12">
        <f t="shared" si="16"/>
        <v>15793531.324135346</v>
      </c>
      <c r="L64" s="12">
        <f t="shared" si="16"/>
        <v>16032894.302470256</v>
      </c>
      <c r="M64" s="12">
        <f t="shared" si="16"/>
        <v>15150942.663434101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126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30">
        <v>854641.48144806735</v>
      </c>
      <c r="E67" s="30">
        <v>550109.68371886434</v>
      </c>
      <c r="F67" s="30">
        <v>-58453.035503471736</v>
      </c>
      <c r="G67" s="30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32">
        <f t="shared" ref="D68:M68" si="17">+C68+D67</f>
        <v>-510844.457135248</v>
      </c>
      <c r="E68" s="32">
        <f t="shared" si="17"/>
        <v>39265.226583616342</v>
      </c>
      <c r="F68" s="32">
        <f t="shared" si="17"/>
        <v>-19187.808919855393</v>
      </c>
      <c r="G68" s="3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12398.508551932871</v>
      </c>
      <c r="E72" s="31">
        <f t="shared" si="18"/>
        <v>325241.79628113564</v>
      </c>
      <c r="F72" s="31">
        <f t="shared" si="18"/>
        <v>241259.03550347174</v>
      </c>
      <c r="G72" s="31">
        <f t="shared" si="18"/>
        <v>76133.748596895486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122948.89713524841</v>
      </c>
      <c r="E73" s="31">
        <f t="shared" si="18"/>
        <v>448190.69341638405</v>
      </c>
      <c r="F73" s="31">
        <f t="shared" si="18"/>
        <v>689449.72891985578</v>
      </c>
      <c r="G73" s="31">
        <f t="shared" si="18"/>
        <v>765583.47751675127</v>
      </c>
      <c r="H73" s="16">
        <f t="shared" si="18"/>
        <v>765583.47751675127</v>
      </c>
      <c r="I73" s="16">
        <f t="shared" si="18"/>
        <v>765583.47751675127</v>
      </c>
      <c r="J73" s="16">
        <f t="shared" si="18"/>
        <v>765583.47751675127</v>
      </c>
      <c r="K73" s="16">
        <f t="shared" si="18"/>
        <v>765583.47751675127</v>
      </c>
      <c r="L73" s="16">
        <f t="shared" si="18"/>
        <v>765583.47751675127</v>
      </c>
      <c r="M73" s="16">
        <f t="shared" si="18"/>
        <v>765583.47751675127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-449688.55000000075</v>
      </c>
      <c r="D74" s="16">
        <f t="shared" si="18"/>
        <v>-730803.55999999866</v>
      </c>
      <c r="E74" s="16">
        <f t="shared" si="18"/>
        <v>-438608.08000000007</v>
      </c>
      <c r="F74" s="16">
        <f t="shared" si="18"/>
        <v>-129950.08000000007</v>
      </c>
      <c r="G74" s="16">
        <f t="shared" si="18"/>
        <v>-23108.080000000075</v>
      </c>
      <c r="H74" s="16">
        <f t="shared" si="18"/>
        <v>44747.347410656512</v>
      </c>
      <c r="I74" s="16">
        <f t="shared" si="18"/>
        <v>-238262.75236691721</v>
      </c>
      <c r="J74" s="16">
        <f t="shared" si="18"/>
        <v>82506.997732389718</v>
      </c>
      <c r="K74" s="16">
        <f t="shared" si="18"/>
        <v>-154809.67586465366</v>
      </c>
      <c r="L74" s="16">
        <f t="shared" si="18"/>
        <v>-25667.697529744357</v>
      </c>
      <c r="M74" s="16">
        <f t="shared" si="18"/>
        <v>151960.66343410127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-75350</v>
      </c>
    </row>
    <row r="85" spans="6:8">
      <c r="F85" s="2">
        <f>SUM(B57:F57)</f>
        <v>-317205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FY2019/2020
December 2019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R96"/>
  <sheetViews>
    <sheetView showGridLines="0" workbookViewId="0">
      <pane xSplit="1" ySplit="3" topLeftCell="B52" activePane="bottomRight" state="frozen"/>
      <selection pane="topRight" activeCell="B72" sqref="B72"/>
      <selection pane="bottomLeft" activeCell="B72" sqref="B72"/>
      <selection pane="bottomRight" activeCell="A44" sqref="A44:XFD45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84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2443225.8391503901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36357318.727182746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1445076.3701161181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37802395.097298861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/>
      <c r="H11" s="7"/>
      <c r="I11" s="7"/>
      <c r="J11" s="7"/>
      <c r="K11" s="7"/>
      <c r="L11" s="7"/>
      <c r="M11" s="7"/>
      <c r="N11" s="7">
        <f>SUM(B11:M11)</f>
        <v>16694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37819089.097298861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16622323.740799075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16622323.740799075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19734994.986383669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1445076.3701161181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21180071.356499787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7302982.2226649141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2458735.197506018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9761717.420170933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16446044.355233276</v>
      </c>
      <c r="O37" s="53"/>
      <c r="P37" s="62"/>
    </row>
    <row r="38" spans="1:44" s="6" customFormat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-9761717.420170933</v>
      </c>
    </row>
    <row r="39" spans="1:44" s="6" customFormat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522503.14439086901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5583756.4817290101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4233077.8697563577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-75000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4158077.8697563577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2694465.9449283639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36125875.512455374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-170702.61557580205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1320171.2465101504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1700470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-116187.39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-357415.56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1520179.05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2913465.9449283639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37646054.562455371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14">
        <f t="shared" si="15"/>
        <v>-389702.61557580205</v>
      </c>
      <c r="H62" s="14">
        <f t="shared" si="15"/>
        <v>-14360.90837025363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173034.53484348953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12">
        <f t="shared" si="16"/>
        <v>-60686.33224246907</v>
      </c>
      <c r="H63" s="12">
        <f t="shared" si="16"/>
        <v>-75047.2406127227</v>
      </c>
      <c r="I63" s="12">
        <f t="shared" si="16"/>
        <v>128833.35485006566</v>
      </c>
      <c r="J63" s="12">
        <f t="shared" si="16"/>
        <v>439749.63022107421</v>
      </c>
      <c r="K63" s="12">
        <f t="shared" si="16"/>
        <v>623308.74041076773</v>
      </c>
      <c r="L63" s="12">
        <f t="shared" si="16"/>
        <v>1077656.5301121834</v>
      </c>
      <c r="M63" s="12">
        <f t="shared" si="16"/>
        <v>-200007.80348984967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10929808.667757532</v>
      </c>
      <c r="H64" s="12">
        <f t="shared" si="17"/>
        <v>10915447.759387277</v>
      </c>
      <c r="I64" s="12">
        <f t="shared" si="17"/>
        <v>11119328.354850065</v>
      </c>
      <c r="J64" s="12">
        <f t="shared" si="17"/>
        <v>11430244.630221074</v>
      </c>
      <c r="K64" s="12">
        <f t="shared" si="17"/>
        <v>11613803.740410767</v>
      </c>
      <c r="L64" s="12">
        <f t="shared" si="17"/>
        <v>12068151.530112183</v>
      </c>
      <c r="M64" s="12">
        <f t="shared" si="17"/>
        <v>10790487.196510151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0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173034.53484348953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-407461.03825461003</v>
      </c>
      <c r="H73" s="16">
        <f t="shared" si="18"/>
        <v>-407461.03825461003</v>
      </c>
      <c r="I73" s="16">
        <f t="shared" si="18"/>
        <v>-407461.03825461003</v>
      </c>
      <c r="J73" s="16">
        <f t="shared" si="18"/>
        <v>-407461.03825461003</v>
      </c>
      <c r="K73" s="16">
        <f t="shared" si="18"/>
        <v>-407461.03825461003</v>
      </c>
      <c r="L73" s="16">
        <f t="shared" si="18"/>
        <v>-407461.03825461003</v>
      </c>
      <c r="M73" s="16">
        <f t="shared" si="18"/>
        <v>-407461.03825461003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-407461.03825460933</v>
      </c>
      <c r="H74" s="16">
        <f t="shared" si="18"/>
        <v>-407461.03825461119</v>
      </c>
      <c r="I74" s="16">
        <f t="shared" si="18"/>
        <v>-407461.03825461119</v>
      </c>
      <c r="J74" s="16">
        <f t="shared" si="18"/>
        <v>-407461.03825460933</v>
      </c>
      <c r="K74" s="16">
        <f t="shared" si="18"/>
        <v>-407461.03825461119</v>
      </c>
      <c r="L74" s="16">
        <f t="shared" si="18"/>
        <v>-407461.03825461119</v>
      </c>
      <c r="M74" s="16">
        <f t="shared" si="18"/>
        <v>-407461.03825460933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787470</v>
      </c>
      <c r="H84" s="7">
        <f>SUM(B53:H53)</f>
        <v>984470</v>
      </c>
      <c r="I84" s="7">
        <f>SUM(B53:I53)</f>
        <v>1126470</v>
      </c>
      <c r="J84" s="7">
        <f>SUM(B53:J53)</f>
        <v>1245470</v>
      </c>
      <c r="K84" s="7">
        <f>SUM(B53:K53)</f>
        <v>1245470</v>
      </c>
      <c r="L84" s="7">
        <f>SUM(B53:L53)</f>
        <v>1245470</v>
      </c>
      <c r="M84" s="7">
        <f>SUM(B53:M53)</f>
        <v>1700470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-272275</v>
      </c>
      <c r="H85" s="7">
        <f t="shared" ref="H85:M85" si="21">+H83-H84</f>
        <v>-272275</v>
      </c>
      <c r="I85" s="7">
        <f t="shared" si="21"/>
        <v>-272275</v>
      </c>
      <c r="J85" s="7">
        <f t="shared" si="21"/>
        <v>-272275</v>
      </c>
      <c r="K85" s="7">
        <f t="shared" si="21"/>
        <v>-272275</v>
      </c>
      <c r="L85" s="7">
        <f t="shared" si="21"/>
        <v>-272275</v>
      </c>
      <c r="M85" s="7">
        <f t="shared" si="21"/>
        <v>-272275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473602.95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271602.95</v>
      </c>
      <c r="H88" s="35">
        <f t="shared" si="23"/>
        <v>304602.95</v>
      </c>
      <c r="I88" s="40">
        <f t="shared" si="23"/>
        <v>337602.95</v>
      </c>
      <c r="J88" s="40">
        <f t="shared" si="23"/>
        <v>371602.95</v>
      </c>
      <c r="K88" s="40">
        <f t="shared" si="23"/>
        <v>405602.95</v>
      </c>
      <c r="L88" s="35">
        <f t="shared" si="23"/>
        <v>439602.95</v>
      </c>
      <c r="M88" s="35">
        <f t="shared" si="23"/>
        <v>473602.95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November 2016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AR96"/>
  <sheetViews>
    <sheetView showGridLines="0" workbookViewId="0">
      <pane xSplit="1" ySplit="3" topLeftCell="B21" activePane="bottomRight" state="frozen"/>
      <selection pane="topRight" activeCell="B72" sqref="B72"/>
      <selection pane="bottomLeft" activeCell="B72" sqref="B72"/>
      <selection pane="bottomRight" activeCell="A2" sqref="A2:G64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85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36357357.888032347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1465453.8799139464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37822811.767946295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/>
      <c r="I11" s="7"/>
      <c r="J11" s="7"/>
      <c r="K11" s="7"/>
      <c r="L11" s="7"/>
      <c r="M11" s="7"/>
      <c r="N11" s="7">
        <f>SUM(B11:M11)</f>
        <v>19691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37842502.767946295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16545633.112984946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16545633.112984946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19811724.775047407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1465453.8799139464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21277178.654961351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7286065.3840122595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2433254.5960797751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9719319.9800920337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16324241.142430175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-9719319.9800920356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5504350.7090048064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4071669.1371118892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-80000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3991669.1371118892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35760972.939193673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1696464.5287526194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1565422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-190327.39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-321199.56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1347207.0499999998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37108179.98919367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14">
        <f t="shared" si="15"/>
        <v>-14360.90837025363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734322.77875262499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12">
        <f t="shared" si="16"/>
        <v>474218.04162974632</v>
      </c>
      <c r="I63" s="12">
        <f t="shared" si="16"/>
        <v>678098.63709253469</v>
      </c>
      <c r="J63" s="12">
        <f t="shared" si="16"/>
        <v>989014.91246354324</v>
      </c>
      <c r="K63" s="12">
        <f t="shared" si="16"/>
        <v>1172574.0226532368</v>
      </c>
      <c r="L63" s="12">
        <f t="shared" si="16"/>
        <v>1626921.8123546524</v>
      </c>
      <c r="M63" s="12">
        <f t="shared" si="16"/>
        <v>349257.47875261935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11464713.041629747</v>
      </c>
      <c r="I64" s="12">
        <f t="shared" si="17"/>
        <v>11668593.637092534</v>
      </c>
      <c r="J64" s="12">
        <f t="shared" si="17"/>
        <v>11979509.912463544</v>
      </c>
      <c r="K64" s="12">
        <f t="shared" si="17"/>
        <v>12163069.022653237</v>
      </c>
      <c r="L64" s="12">
        <f t="shared" si="17"/>
        <v>12617416.812354652</v>
      </c>
      <c r="M64" s="12">
        <f t="shared" si="17"/>
        <v>11339752.478752619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734322.77875262499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141804.24398785899</v>
      </c>
      <c r="I73" s="16">
        <f t="shared" si="18"/>
        <v>141804.24398785899</v>
      </c>
      <c r="J73" s="16">
        <f t="shared" si="18"/>
        <v>141804.24398785899</v>
      </c>
      <c r="K73" s="16">
        <f t="shared" si="18"/>
        <v>141804.24398785899</v>
      </c>
      <c r="L73" s="16">
        <f t="shared" si="18"/>
        <v>141804.24398785899</v>
      </c>
      <c r="M73" s="16">
        <f t="shared" si="18"/>
        <v>141804.24398785899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141804.2439878583</v>
      </c>
      <c r="I74" s="16">
        <f t="shared" si="18"/>
        <v>141804.2439878583</v>
      </c>
      <c r="J74" s="16">
        <f t="shared" si="18"/>
        <v>141804.24398786016</v>
      </c>
      <c r="K74" s="16">
        <f t="shared" si="18"/>
        <v>141804.2439878583</v>
      </c>
      <c r="L74" s="16">
        <f t="shared" si="18"/>
        <v>141804.2439878583</v>
      </c>
      <c r="M74" s="16">
        <f t="shared" si="18"/>
        <v>141804.2439878583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849422</v>
      </c>
      <c r="I84" s="7">
        <f>SUM(B53:I53)</f>
        <v>991422</v>
      </c>
      <c r="J84" s="7">
        <f>SUM(B53:J53)</f>
        <v>1110422</v>
      </c>
      <c r="K84" s="7">
        <f>SUM(B53:K53)</f>
        <v>1110422</v>
      </c>
      <c r="L84" s="7">
        <f>SUM(B53:L53)</f>
        <v>1110422</v>
      </c>
      <c r="M84" s="7">
        <f>SUM(B53:M53)</f>
        <v>1565422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-137227</v>
      </c>
      <c r="I85" s="7">
        <f t="shared" si="21"/>
        <v>-137227</v>
      </c>
      <c r="J85" s="7">
        <f t="shared" si="21"/>
        <v>-137227</v>
      </c>
      <c r="K85" s="7">
        <f t="shared" si="21"/>
        <v>-137227</v>
      </c>
      <c r="L85" s="7">
        <f t="shared" si="21"/>
        <v>-137227</v>
      </c>
      <c r="M85" s="7">
        <f t="shared" si="21"/>
        <v>-137227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511526.95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>
        <f t="shared" si="23"/>
        <v>342526.95</v>
      </c>
      <c r="I88" s="40">
        <f t="shared" si="23"/>
        <v>375526.95</v>
      </c>
      <c r="J88" s="40">
        <f t="shared" si="23"/>
        <v>409526.95</v>
      </c>
      <c r="K88" s="40">
        <f t="shared" si="23"/>
        <v>443526.95</v>
      </c>
      <c r="L88" s="35">
        <f t="shared" si="23"/>
        <v>477526.95</v>
      </c>
      <c r="M88" s="35">
        <f t="shared" si="23"/>
        <v>511526.95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December 2016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C54A97FE9ED438D248D43949F7C13" ma:contentTypeVersion="7" ma:contentTypeDescription="Create a new document." ma:contentTypeScope="" ma:versionID="5e274574e3b5b54ded529acc6f11769a">
  <xsd:schema xmlns:xsd="http://www.w3.org/2001/XMLSchema" xmlns:xs="http://www.w3.org/2001/XMLSchema" xmlns:p="http://schemas.microsoft.com/office/2006/metadata/properties" xmlns:ns3="762caf36-b0c2-49b4-ab14-ff4bceb8c0ae" targetNamespace="http://schemas.microsoft.com/office/2006/metadata/properties" ma:root="true" ma:fieldsID="95afb0fff55d0cbcdfb77ace4b1c315f" ns3:_="">
    <xsd:import namespace="762caf36-b0c2-49b4-ab14-ff4bceb8c0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caf36-b0c2-49b4-ab14-ff4bceb8c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FFC2B1-875A-4AD3-AD83-48F0DCA7CD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14298C-D83A-4426-AC49-9957799C9E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62caf36-b0c2-49b4-ab14-ff4bceb8c0a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13DD7C-0B80-438F-A624-A24DDD48C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caf36-b0c2-49b4-ab14-ff4bceb8c0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70</vt:i4>
      </vt:variant>
      <vt:variant>
        <vt:lpstr>Named Ranges</vt:lpstr>
      </vt:variant>
      <vt:variant>
        <vt:i4>336</vt:i4>
      </vt:variant>
    </vt:vector>
  </HeadingPairs>
  <TitlesOfParts>
    <vt:vector size="406" baseType="lpstr">
      <vt:lpstr>Instructions</vt:lpstr>
      <vt:lpstr>June 2016 Post-audit</vt:lpstr>
      <vt:lpstr>FY2016-17 Budget</vt:lpstr>
      <vt:lpstr>July 2016</vt:lpstr>
      <vt:lpstr>Aug 2016</vt:lpstr>
      <vt:lpstr>Sept 2016</vt:lpstr>
      <vt:lpstr>Oct 2016</vt:lpstr>
      <vt:lpstr>Nov 2016</vt:lpstr>
      <vt:lpstr>Dec 2016</vt:lpstr>
      <vt:lpstr>Jan 2017</vt:lpstr>
      <vt:lpstr>Feb 2017</vt:lpstr>
      <vt:lpstr>Mar 2017</vt:lpstr>
      <vt:lpstr>April 2017</vt:lpstr>
      <vt:lpstr>May 2017</vt:lpstr>
      <vt:lpstr>June 2017 Pre-Audit</vt:lpstr>
      <vt:lpstr>June 2017 Post-Audit</vt:lpstr>
      <vt:lpstr>FY 2017-18 Budget</vt:lpstr>
      <vt:lpstr>July 2017</vt:lpstr>
      <vt:lpstr>Aug 2017</vt:lpstr>
      <vt:lpstr>Sept 2017</vt:lpstr>
      <vt:lpstr>Oct 2017</vt:lpstr>
      <vt:lpstr>Nov 2017</vt:lpstr>
      <vt:lpstr>Dec 2017</vt:lpstr>
      <vt:lpstr>Jan 2018</vt:lpstr>
      <vt:lpstr>Feb 2018</vt:lpstr>
      <vt:lpstr>Mar  2018</vt:lpstr>
      <vt:lpstr>Apr 2018</vt:lpstr>
      <vt:lpstr>May 2018</vt:lpstr>
      <vt:lpstr>June 2018 Preaudit</vt:lpstr>
      <vt:lpstr>June 2018 Post-audit</vt:lpstr>
      <vt:lpstr>FY 2018-2019 Budget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March 2019</vt:lpstr>
      <vt:lpstr>April 2019</vt:lpstr>
      <vt:lpstr>Budget FY 2019-20</vt:lpstr>
      <vt:lpstr>July 2019</vt:lpstr>
      <vt:lpstr>Aug 2019</vt:lpstr>
      <vt:lpstr>Sept 2019</vt:lpstr>
      <vt:lpstr>Oct 2019</vt:lpstr>
      <vt:lpstr>Nov 2019</vt:lpstr>
      <vt:lpstr>Aug 2021</vt:lpstr>
      <vt:lpstr>July 2021</vt:lpstr>
      <vt:lpstr>FY 21-22 Budget</vt:lpstr>
      <vt:lpstr>June 2021 Final</vt:lpstr>
      <vt:lpstr>June 2021 Pre-Audit</vt:lpstr>
      <vt:lpstr>May 2021</vt:lpstr>
      <vt:lpstr>Apr 2021</vt:lpstr>
      <vt:lpstr>Mar 2021</vt:lpstr>
      <vt:lpstr>Feb 2021</vt:lpstr>
      <vt:lpstr>Jan 2021</vt:lpstr>
      <vt:lpstr>Dec 2020</vt:lpstr>
      <vt:lpstr>Nov 2020</vt:lpstr>
      <vt:lpstr>Oct 2020</vt:lpstr>
      <vt:lpstr>Sep 2020</vt:lpstr>
      <vt:lpstr>Aug 2020</vt:lpstr>
      <vt:lpstr>July 2020</vt:lpstr>
      <vt:lpstr>FY20-21 BUDGET</vt:lpstr>
      <vt:lpstr>June 2020 Pre-Audit</vt:lpstr>
      <vt:lpstr>May 2020</vt:lpstr>
      <vt:lpstr>Mar 2020</vt:lpstr>
      <vt:lpstr>Feb 2020</vt:lpstr>
      <vt:lpstr>February 2019</vt:lpstr>
      <vt:lpstr>Jan 2020</vt:lpstr>
      <vt:lpstr>Dec 2019</vt:lpstr>
      <vt:lpstr>'Apr 2021'!OSRRefD19_0x_1</vt:lpstr>
      <vt:lpstr>'Aug 2020'!OSRRefD19_0x_1</vt:lpstr>
      <vt:lpstr>'Aug 2021'!OSRRefD19_0x_1</vt:lpstr>
      <vt:lpstr>'Dec 2020'!OSRRefD19_0x_1</vt:lpstr>
      <vt:lpstr>'Feb 2021'!OSRRefD19_0x_1</vt:lpstr>
      <vt:lpstr>'FY 21-22 Budget'!OSRRefD19_0x_1</vt:lpstr>
      <vt:lpstr>'FY20-21 BUDGET'!OSRRefD19_0x_1</vt:lpstr>
      <vt:lpstr>'Jan 2021'!OSRRefD19_0x_1</vt:lpstr>
      <vt:lpstr>'July 2020'!OSRRefD19_0x_1</vt:lpstr>
      <vt:lpstr>'July 2021'!OSRRefD19_0x_1</vt:lpstr>
      <vt:lpstr>'June 2021 Final'!OSRRefD19_0x_1</vt:lpstr>
      <vt:lpstr>'June 2021 Pre-Audit'!OSRRefD19_0x_1</vt:lpstr>
      <vt:lpstr>'Mar 2021'!OSRRefD19_0x_1</vt:lpstr>
      <vt:lpstr>'May 2021'!OSRRefD19_0x_1</vt:lpstr>
      <vt:lpstr>'Nov 2020'!OSRRefD19_0x_1</vt:lpstr>
      <vt:lpstr>'Oct 2020'!OSRRefD19_0x_1</vt:lpstr>
      <vt:lpstr>'Sep 2020'!OSRRefD19_0x_1</vt:lpstr>
      <vt:lpstr>'Apr 2021'!OSRRefD19_0x_10</vt:lpstr>
      <vt:lpstr>'Aug 2020'!OSRRefD19_0x_10</vt:lpstr>
      <vt:lpstr>'Aug 2021'!OSRRefD19_0x_10</vt:lpstr>
      <vt:lpstr>'Dec 2020'!OSRRefD19_0x_10</vt:lpstr>
      <vt:lpstr>'Feb 2021'!OSRRefD19_0x_10</vt:lpstr>
      <vt:lpstr>'FY 21-22 Budget'!OSRRefD19_0x_10</vt:lpstr>
      <vt:lpstr>'FY20-21 BUDGET'!OSRRefD19_0x_10</vt:lpstr>
      <vt:lpstr>'Jan 2021'!OSRRefD19_0x_10</vt:lpstr>
      <vt:lpstr>'July 2020'!OSRRefD19_0x_10</vt:lpstr>
      <vt:lpstr>'July 2021'!OSRRefD19_0x_10</vt:lpstr>
      <vt:lpstr>'June 2021 Final'!OSRRefD19_0x_10</vt:lpstr>
      <vt:lpstr>'June 2021 Pre-Audit'!OSRRefD19_0x_10</vt:lpstr>
      <vt:lpstr>'Mar 2021'!OSRRefD19_0x_10</vt:lpstr>
      <vt:lpstr>'May 2021'!OSRRefD19_0x_10</vt:lpstr>
      <vt:lpstr>'Nov 2020'!OSRRefD19_0x_10</vt:lpstr>
      <vt:lpstr>'Oct 2020'!OSRRefD19_0x_10</vt:lpstr>
      <vt:lpstr>'Sep 2020'!OSRRefD19_0x_10</vt:lpstr>
      <vt:lpstr>'Apr 2021'!OSRRefD19_0x_11</vt:lpstr>
      <vt:lpstr>'Aug 2020'!OSRRefD19_0x_11</vt:lpstr>
      <vt:lpstr>'Aug 2021'!OSRRefD19_0x_11</vt:lpstr>
      <vt:lpstr>'Dec 2020'!OSRRefD19_0x_11</vt:lpstr>
      <vt:lpstr>'Feb 2021'!OSRRefD19_0x_11</vt:lpstr>
      <vt:lpstr>'FY 21-22 Budget'!OSRRefD19_0x_11</vt:lpstr>
      <vt:lpstr>'FY20-21 BUDGET'!OSRRefD19_0x_11</vt:lpstr>
      <vt:lpstr>'Jan 2021'!OSRRefD19_0x_11</vt:lpstr>
      <vt:lpstr>'July 2020'!OSRRefD19_0x_11</vt:lpstr>
      <vt:lpstr>'July 2021'!OSRRefD19_0x_11</vt:lpstr>
      <vt:lpstr>'June 2021 Final'!OSRRefD19_0x_11</vt:lpstr>
      <vt:lpstr>'June 2021 Pre-Audit'!OSRRefD19_0x_11</vt:lpstr>
      <vt:lpstr>'Mar 2021'!OSRRefD19_0x_11</vt:lpstr>
      <vt:lpstr>'May 2021'!OSRRefD19_0x_11</vt:lpstr>
      <vt:lpstr>'Nov 2020'!OSRRefD19_0x_11</vt:lpstr>
      <vt:lpstr>'Oct 2020'!OSRRefD19_0x_11</vt:lpstr>
      <vt:lpstr>'Sep 2020'!OSRRefD19_0x_11</vt:lpstr>
      <vt:lpstr>'Apr 2021'!OSRRefD19_0x_2</vt:lpstr>
      <vt:lpstr>'Aug 2020'!OSRRefD19_0x_2</vt:lpstr>
      <vt:lpstr>'Aug 2021'!OSRRefD19_0x_2</vt:lpstr>
      <vt:lpstr>'Dec 2020'!OSRRefD19_0x_2</vt:lpstr>
      <vt:lpstr>'Feb 2021'!OSRRefD19_0x_2</vt:lpstr>
      <vt:lpstr>'FY 21-22 Budget'!OSRRefD19_0x_2</vt:lpstr>
      <vt:lpstr>'FY20-21 BUDGET'!OSRRefD19_0x_2</vt:lpstr>
      <vt:lpstr>'Jan 2021'!OSRRefD19_0x_2</vt:lpstr>
      <vt:lpstr>'July 2020'!OSRRefD19_0x_2</vt:lpstr>
      <vt:lpstr>'July 2021'!OSRRefD19_0x_2</vt:lpstr>
      <vt:lpstr>'June 2021 Final'!OSRRefD19_0x_2</vt:lpstr>
      <vt:lpstr>'June 2021 Pre-Audit'!OSRRefD19_0x_2</vt:lpstr>
      <vt:lpstr>'Mar 2021'!OSRRefD19_0x_2</vt:lpstr>
      <vt:lpstr>'May 2021'!OSRRefD19_0x_2</vt:lpstr>
      <vt:lpstr>'Nov 2020'!OSRRefD19_0x_2</vt:lpstr>
      <vt:lpstr>'Oct 2020'!OSRRefD19_0x_2</vt:lpstr>
      <vt:lpstr>'Sep 2020'!OSRRefD19_0x_2</vt:lpstr>
      <vt:lpstr>'Apr 2021'!OSRRefD19_0x_3</vt:lpstr>
      <vt:lpstr>'Aug 2020'!OSRRefD19_0x_3</vt:lpstr>
      <vt:lpstr>'Aug 2021'!OSRRefD19_0x_3</vt:lpstr>
      <vt:lpstr>'Dec 2020'!OSRRefD19_0x_3</vt:lpstr>
      <vt:lpstr>'Feb 2021'!OSRRefD19_0x_3</vt:lpstr>
      <vt:lpstr>'FY 21-22 Budget'!OSRRefD19_0x_3</vt:lpstr>
      <vt:lpstr>'FY20-21 BUDGET'!OSRRefD19_0x_3</vt:lpstr>
      <vt:lpstr>'Jan 2021'!OSRRefD19_0x_3</vt:lpstr>
      <vt:lpstr>'July 2020'!OSRRefD19_0x_3</vt:lpstr>
      <vt:lpstr>'July 2021'!OSRRefD19_0x_3</vt:lpstr>
      <vt:lpstr>'June 2021 Final'!OSRRefD19_0x_3</vt:lpstr>
      <vt:lpstr>'June 2021 Pre-Audit'!OSRRefD19_0x_3</vt:lpstr>
      <vt:lpstr>'Mar 2021'!OSRRefD19_0x_3</vt:lpstr>
      <vt:lpstr>'May 2021'!OSRRefD19_0x_3</vt:lpstr>
      <vt:lpstr>'Nov 2020'!OSRRefD19_0x_3</vt:lpstr>
      <vt:lpstr>'Oct 2020'!OSRRefD19_0x_3</vt:lpstr>
      <vt:lpstr>'Sep 2020'!OSRRefD19_0x_3</vt:lpstr>
      <vt:lpstr>'Apr 2021'!OSRRefD19_0x_4</vt:lpstr>
      <vt:lpstr>'Aug 2020'!OSRRefD19_0x_4</vt:lpstr>
      <vt:lpstr>'Aug 2021'!OSRRefD19_0x_4</vt:lpstr>
      <vt:lpstr>'Dec 2020'!OSRRefD19_0x_4</vt:lpstr>
      <vt:lpstr>'Feb 2021'!OSRRefD19_0x_4</vt:lpstr>
      <vt:lpstr>'FY 21-22 Budget'!OSRRefD19_0x_4</vt:lpstr>
      <vt:lpstr>'FY20-21 BUDGET'!OSRRefD19_0x_4</vt:lpstr>
      <vt:lpstr>'Jan 2021'!OSRRefD19_0x_4</vt:lpstr>
      <vt:lpstr>'July 2020'!OSRRefD19_0x_4</vt:lpstr>
      <vt:lpstr>'July 2021'!OSRRefD19_0x_4</vt:lpstr>
      <vt:lpstr>'June 2021 Final'!OSRRefD19_0x_4</vt:lpstr>
      <vt:lpstr>'June 2021 Pre-Audit'!OSRRefD19_0x_4</vt:lpstr>
      <vt:lpstr>'Mar 2021'!OSRRefD19_0x_4</vt:lpstr>
      <vt:lpstr>'May 2021'!OSRRefD19_0x_4</vt:lpstr>
      <vt:lpstr>'Nov 2020'!OSRRefD19_0x_4</vt:lpstr>
      <vt:lpstr>'Oct 2020'!OSRRefD19_0x_4</vt:lpstr>
      <vt:lpstr>'Sep 2020'!OSRRefD19_0x_4</vt:lpstr>
      <vt:lpstr>'Apr 2021'!OSRRefD19_0x_5</vt:lpstr>
      <vt:lpstr>'Aug 2020'!OSRRefD19_0x_5</vt:lpstr>
      <vt:lpstr>'Aug 2021'!OSRRefD19_0x_5</vt:lpstr>
      <vt:lpstr>'Dec 2020'!OSRRefD19_0x_5</vt:lpstr>
      <vt:lpstr>'Feb 2021'!OSRRefD19_0x_5</vt:lpstr>
      <vt:lpstr>'FY 21-22 Budget'!OSRRefD19_0x_5</vt:lpstr>
      <vt:lpstr>'FY20-21 BUDGET'!OSRRefD19_0x_5</vt:lpstr>
      <vt:lpstr>'Jan 2021'!OSRRefD19_0x_5</vt:lpstr>
      <vt:lpstr>'July 2020'!OSRRefD19_0x_5</vt:lpstr>
      <vt:lpstr>'July 2021'!OSRRefD19_0x_5</vt:lpstr>
      <vt:lpstr>'June 2021 Final'!OSRRefD19_0x_5</vt:lpstr>
      <vt:lpstr>'June 2021 Pre-Audit'!OSRRefD19_0x_5</vt:lpstr>
      <vt:lpstr>'Mar 2021'!OSRRefD19_0x_5</vt:lpstr>
      <vt:lpstr>'May 2021'!OSRRefD19_0x_5</vt:lpstr>
      <vt:lpstr>'Nov 2020'!OSRRefD19_0x_5</vt:lpstr>
      <vt:lpstr>'Oct 2020'!OSRRefD19_0x_5</vt:lpstr>
      <vt:lpstr>'Sep 2020'!OSRRefD19_0x_5</vt:lpstr>
      <vt:lpstr>'Apr 2021'!OSRRefD19_0x_6</vt:lpstr>
      <vt:lpstr>'Aug 2020'!OSRRefD19_0x_6</vt:lpstr>
      <vt:lpstr>'Aug 2021'!OSRRefD19_0x_6</vt:lpstr>
      <vt:lpstr>'Dec 2020'!OSRRefD19_0x_6</vt:lpstr>
      <vt:lpstr>'Feb 2021'!OSRRefD19_0x_6</vt:lpstr>
      <vt:lpstr>'FY 21-22 Budget'!OSRRefD19_0x_6</vt:lpstr>
      <vt:lpstr>'FY20-21 BUDGET'!OSRRefD19_0x_6</vt:lpstr>
      <vt:lpstr>'Jan 2021'!OSRRefD19_0x_6</vt:lpstr>
      <vt:lpstr>'July 2020'!OSRRefD19_0x_6</vt:lpstr>
      <vt:lpstr>'July 2021'!OSRRefD19_0x_6</vt:lpstr>
      <vt:lpstr>'June 2021 Final'!OSRRefD19_0x_6</vt:lpstr>
      <vt:lpstr>'June 2021 Pre-Audit'!OSRRefD19_0x_6</vt:lpstr>
      <vt:lpstr>'Mar 2021'!OSRRefD19_0x_6</vt:lpstr>
      <vt:lpstr>'May 2021'!OSRRefD19_0x_6</vt:lpstr>
      <vt:lpstr>'Nov 2020'!OSRRefD19_0x_6</vt:lpstr>
      <vt:lpstr>'Oct 2020'!OSRRefD19_0x_6</vt:lpstr>
      <vt:lpstr>'Sep 2020'!OSRRefD19_0x_6</vt:lpstr>
      <vt:lpstr>'Apr 2021'!OSRRefD19_0x_7</vt:lpstr>
      <vt:lpstr>'Aug 2020'!OSRRefD19_0x_7</vt:lpstr>
      <vt:lpstr>'Aug 2021'!OSRRefD19_0x_7</vt:lpstr>
      <vt:lpstr>'Dec 2020'!OSRRefD19_0x_7</vt:lpstr>
      <vt:lpstr>'Feb 2021'!OSRRefD19_0x_7</vt:lpstr>
      <vt:lpstr>'FY 21-22 Budget'!OSRRefD19_0x_7</vt:lpstr>
      <vt:lpstr>'FY20-21 BUDGET'!OSRRefD19_0x_7</vt:lpstr>
      <vt:lpstr>'Jan 2021'!OSRRefD19_0x_7</vt:lpstr>
      <vt:lpstr>'July 2020'!OSRRefD19_0x_7</vt:lpstr>
      <vt:lpstr>'July 2021'!OSRRefD19_0x_7</vt:lpstr>
      <vt:lpstr>'June 2021 Final'!OSRRefD19_0x_7</vt:lpstr>
      <vt:lpstr>'June 2021 Pre-Audit'!OSRRefD19_0x_7</vt:lpstr>
      <vt:lpstr>'Mar 2021'!OSRRefD19_0x_7</vt:lpstr>
      <vt:lpstr>'May 2021'!OSRRefD19_0x_7</vt:lpstr>
      <vt:lpstr>'Nov 2020'!OSRRefD19_0x_7</vt:lpstr>
      <vt:lpstr>'Oct 2020'!OSRRefD19_0x_7</vt:lpstr>
      <vt:lpstr>'Sep 2020'!OSRRefD19_0x_7</vt:lpstr>
      <vt:lpstr>'Apr 2021'!OSRRefD19_0x_8</vt:lpstr>
      <vt:lpstr>'Aug 2020'!OSRRefD19_0x_8</vt:lpstr>
      <vt:lpstr>'Aug 2021'!OSRRefD19_0x_8</vt:lpstr>
      <vt:lpstr>'Dec 2020'!OSRRefD19_0x_8</vt:lpstr>
      <vt:lpstr>'Feb 2021'!OSRRefD19_0x_8</vt:lpstr>
      <vt:lpstr>'FY 21-22 Budget'!OSRRefD19_0x_8</vt:lpstr>
      <vt:lpstr>'FY20-21 BUDGET'!OSRRefD19_0x_8</vt:lpstr>
      <vt:lpstr>'Jan 2021'!OSRRefD19_0x_8</vt:lpstr>
      <vt:lpstr>'July 2020'!OSRRefD19_0x_8</vt:lpstr>
      <vt:lpstr>'July 2021'!OSRRefD19_0x_8</vt:lpstr>
      <vt:lpstr>'June 2021 Final'!OSRRefD19_0x_8</vt:lpstr>
      <vt:lpstr>'June 2021 Pre-Audit'!OSRRefD19_0x_8</vt:lpstr>
      <vt:lpstr>'Mar 2021'!OSRRefD19_0x_8</vt:lpstr>
      <vt:lpstr>'May 2021'!OSRRefD19_0x_8</vt:lpstr>
      <vt:lpstr>'Nov 2020'!OSRRefD19_0x_8</vt:lpstr>
      <vt:lpstr>'Oct 2020'!OSRRefD19_0x_8</vt:lpstr>
      <vt:lpstr>'Sep 2020'!OSRRefD19_0x_8</vt:lpstr>
      <vt:lpstr>'Apr 2021'!OSRRefD19_0x_9</vt:lpstr>
      <vt:lpstr>'Aug 2020'!OSRRefD19_0x_9</vt:lpstr>
      <vt:lpstr>'Aug 2021'!OSRRefD19_0x_9</vt:lpstr>
      <vt:lpstr>'Dec 2020'!OSRRefD19_0x_9</vt:lpstr>
      <vt:lpstr>'Feb 2021'!OSRRefD19_0x_9</vt:lpstr>
      <vt:lpstr>'FY 21-22 Budget'!OSRRefD19_0x_9</vt:lpstr>
      <vt:lpstr>'FY20-21 BUDGET'!OSRRefD19_0x_9</vt:lpstr>
      <vt:lpstr>'Jan 2021'!OSRRefD19_0x_9</vt:lpstr>
      <vt:lpstr>'July 2020'!OSRRefD19_0x_9</vt:lpstr>
      <vt:lpstr>'July 2021'!OSRRefD19_0x_9</vt:lpstr>
      <vt:lpstr>'June 2021 Final'!OSRRefD19_0x_9</vt:lpstr>
      <vt:lpstr>'June 2021 Pre-Audit'!OSRRefD19_0x_9</vt:lpstr>
      <vt:lpstr>'Mar 2021'!OSRRefD19_0x_9</vt:lpstr>
      <vt:lpstr>'May 2021'!OSRRefD19_0x_9</vt:lpstr>
      <vt:lpstr>'Nov 2020'!OSRRefD19_0x_9</vt:lpstr>
      <vt:lpstr>'Oct 2020'!OSRRefD19_0x_9</vt:lpstr>
      <vt:lpstr>'Sep 2020'!OSRRefD19_0x_9</vt:lpstr>
      <vt:lpstr>'Apr 2021'!OSRRefD29_0x</vt:lpstr>
      <vt:lpstr>'April 2019'!OSRRefD29_0x</vt:lpstr>
      <vt:lpstr>'Aug 2019'!OSRRefD29_0x</vt:lpstr>
      <vt:lpstr>'Aug 2020'!OSRRefD29_0x</vt:lpstr>
      <vt:lpstr>'Aug 2021'!OSRRefD29_0x</vt:lpstr>
      <vt:lpstr>'August 2018'!OSRRefD29_0x</vt:lpstr>
      <vt:lpstr>'Budget FY 2019-20'!OSRRefD29_0x</vt:lpstr>
      <vt:lpstr>'Dec 2019'!OSRRefD29_0x</vt:lpstr>
      <vt:lpstr>'Dec 2020'!OSRRefD29_0x</vt:lpstr>
      <vt:lpstr>'December 2018'!OSRRefD29_0x</vt:lpstr>
      <vt:lpstr>'Feb 2020'!OSRRefD29_0x</vt:lpstr>
      <vt:lpstr>'Feb 2021'!OSRRefD29_0x</vt:lpstr>
      <vt:lpstr>'February 2019'!OSRRefD29_0x</vt:lpstr>
      <vt:lpstr>'FY 2018-2019 Budget'!OSRRefD29_0x</vt:lpstr>
      <vt:lpstr>'FY 21-22 Budget'!OSRRefD29_0x</vt:lpstr>
      <vt:lpstr>'FY20-21 BUDGET'!OSRRefD29_0x</vt:lpstr>
      <vt:lpstr>'Jan 2020'!OSRRefD29_0x</vt:lpstr>
      <vt:lpstr>'Jan 2021'!OSRRefD29_0x</vt:lpstr>
      <vt:lpstr>'January 2019'!OSRRefD29_0x</vt:lpstr>
      <vt:lpstr>'July 2018'!OSRRefD29_0x</vt:lpstr>
      <vt:lpstr>'July 2019'!OSRRefD29_0x</vt:lpstr>
      <vt:lpstr>'July 2020'!OSRRefD29_0x</vt:lpstr>
      <vt:lpstr>'July 2021'!OSRRefD29_0x</vt:lpstr>
      <vt:lpstr>'June 2020 Pre-Audit'!OSRRefD29_0x</vt:lpstr>
      <vt:lpstr>'June 2021 Final'!OSRRefD29_0x</vt:lpstr>
      <vt:lpstr>'June 2021 Pre-Audit'!OSRRefD29_0x</vt:lpstr>
      <vt:lpstr>'Mar 2020'!OSRRefD29_0x</vt:lpstr>
      <vt:lpstr>'Mar 2021'!OSRRefD29_0x</vt:lpstr>
      <vt:lpstr>'March 2019'!OSRRefD29_0x</vt:lpstr>
      <vt:lpstr>'May 2020'!OSRRefD29_0x</vt:lpstr>
      <vt:lpstr>'May 2021'!OSRRefD29_0x</vt:lpstr>
      <vt:lpstr>'Nov 2019'!OSRRefD29_0x</vt:lpstr>
      <vt:lpstr>'Nov 2020'!OSRRefD29_0x</vt:lpstr>
      <vt:lpstr>'November 2018'!OSRRefD29_0x</vt:lpstr>
      <vt:lpstr>'Oct 2019'!OSRRefD29_0x</vt:lpstr>
      <vt:lpstr>'Oct 2020'!OSRRefD29_0x</vt:lpstr>
      <vt:lpstr>'October 2018'!OSRRefD29_0x</vt:lpstr>
      <vt:lpstr>'Sep 2020'!OSRRefD29_0x</vt:lpstr>
      <vt:lpstr>'Sept 2019'!OSRRefD29_0x</vt:lpstr>
      <vt:lpstr>'September 2018'!OSRRefD29_0x</vt:lpstr>
      <vt:lpstr>'Apr 2021'!OSRRefD30_0x</vt:lpstr>
      <vt:lpstr>'April 2019'!OSRRefD30_0x</vt:lpstr>
      <vt:lpstr>'Aug 2019'!OSRRefD30_0x</vt:lpstr>
      <vt:lpstr>'Aug 2020'!OSRRefD30_0x</vt:lpstr>
      <vt:lpstr>'Aug 2021'!OSRRefD30_0x</vt:lpstr>
      <vt:lpstr>'August 2018'!OSRRefD30_0x</vt:lpstr>
      <vt:lpstr>'Budget FY 2019-20'!OSRRefD30_0x</vt:lpstr>
      <vt:lpstr>'Dec 2019'!OSRRefD30_0x</vt:lpstr>
      <vt:lpstr>'Dec 2020'!OSRRefD30_0x</vt:lpstr>
      <vt:lpstr>'December 2018'!OSRRefD30_0x</vt:lpstr>
      <vt:lpstr>'Feb 2020'!OSRRefD30_0x</vt:lpstr>
      <vt:lpstr>'Feb 2021'!OSRRefD30_0x</vt:lpstr>
      <vt:lpstr>'February 2019'!OSRRefD30_0x</vt:lpstr>
      <vt:lpstr>'FY 2018-2019 Budget'!OSRRefD30_0x</vt:lpstr>
      <vt:lpstr>'FY 21-22 Budget'!OSRRefD30_0x</vt:lpstr>
      <vt:lpstr>'FY20-21 BUDGET'!OSRRefD30_0x</vt:lpstr>
      <vt:lpstr>'Jan 2020'!OSRRefD30_0x</vt:lpstr>
      <vt:lpstr>'Jan 2021'!OSRRefD30_0x</vt:lpstr>
      <vt:lpstr>'January 2019'!OSRRefD30_0x</vt:lpstr>
      <vt:lpstr>'July 2018'!OSRRefD30_0x</vt:lpstr>
      <vt:lpstr>'July 2019'!OSRRefD30_0x</vt:lpstr>
      <vt:lpstr>'July 2020'!OSRRefD30_0x</vt:lpstr>
      <vt:lpstr>'July 2021'!OSRRefD30_0x</vt:lpstr>
      <vt:lpstr>'June 2020 Pre-Audit'!OSRRefD30_0x</vt:lpstr>
      <vt:lpstr>'June 2021 Final'!OSRRefD30_0x</vt:lpstr>
      <vt:lpstr>'June 2021 Pre-Audit'!OSRRefD30_0x</vt:lpstr>
      <vt:lpstr>'Mar 2020'!OSRRefD30_0x</vt:lpstr>
      <vt:lpstr>'Mar 2021'!OSRRefD30_0x</vt:lpstr>
      <vt:lpstr>'March 2019'!OSRRefD30_0x</vt:lpstr>
      <vt:lpstr>'May 2020'!OSRRefD30_0x</vt:lpstr>
      <vt:lpstr>'May 2021'!OSRRefD30_0x</vt:lpstr>
      <vt:lpstr>'Nov 2019'!OSRRefD30_0x</vt:lpstr>
      <vt:lpstr>'Nov 2020'!OSRRefD30_0x</vt:lpstr>
      <vt:lpstr>'November 2018'!OSRRefD30_0x</vt:lpstr>
      <vt:lpstr>'Oct 2019'!OSRRefD30_0x</vt:lpstr>
      <vt:lpstr>'Oct 2020'!OSRRefD30_0x</vt:lpstr>
      <vt:lpstr>'October 2018'!OSRRefD30_0x</vt:lpstr>
      <vt:lpstr>'Sep 2020'!OSRRefD30_0x</vt:lpstr>
      <vt:lpstr>'Sept 2019'!OSRRefD30_0x</vt:lpstr>
      <vt:lpstr>'September 2018'!OSRRefD30_0x</vt:lpstr>
      <vt:lpstr>'Apr 2018'!Print_Area</vt:lpstr>
      <vt:lpstr>'Apr 2021'!Print_Area</vt:lpstr>
      <vt:lpstr>'April 2017'!Print_Area</vt:lpstr>
      <vt:lpstr>'April 2019'!Print_Area</vt:lpstr>
      <vt:lpstr>'Aug 2016'!Print_Area</vt:lpstr>
      <vt:lpstr>'Aug 2017'!Print_Area</vt:lpstr>
      <vt:lpstr>'Aug 2019'!Print_Area</vt:lpstr>
      <vt:lpstr>'Aug 2020'!Print_Area</vt:lpstr>
      <vt:lpstr>'Aug 2021'!Print_Area</vt:lpstr>
      <vt:lpstr>'August 2018'!Print_Area</vt:lpstr>
      <vt:lpstr>'Budget FY 2019-20'!Print_Area</vt:lpstr>
      <vt:lpstr>'Dec 2016'!Print_Area</vt:lpstr>
      <vt:lpstr>'Dec 2017'!Print_Area</vt:lpstr>
      <vt:lpstr>'Dec 2019'!Print_Area</vt:lpstr>
      <vt:lpstr>'Dec 2020'!Print_Area</vt:lpstr>
      <vt:lpstr>'December 2018'!Print_Area</vt:lpstr>
      <vt:lpstr>'Feb 2017'!Print_Area</vt:lpstr>
      <vt:lpstr>'Feb 2018'!Print_Area</vt:lpstr>
      <vt:lpstr>'Feb 2020'!Print_Area</vt:lpstr>
      <vt:lpstr>'Feb 2021'!Print_Area</vt:lpstr>
      <vt:lpstr>'February 2019'!Print_Area</vt:lpstr>
      <vt:lpstr>'FY 2017-18 Budget'!Print_Area</vt:lpstr>
      <vt:lpstr>'FY 2018-2019 Budget'!Print_Area</vt:lpstr>
      <vt:lpstr>'FY 21-22 Budget'!Print_Area</vt:lpstr>
      <vt:lpstr>'FY2016-17 Budget'!Print_Area</vt:lpstr>
      <vt:lpstr>'FY20-21 BUDGET'!Print_Area</vt:lpstr>
      <vt:lpstr>'Jan 2017'!Print_Area</vt:lpstr>
      <vt:lpstr>'Jan 2018'!Print_Area</vt:lpstr>
      <vt:lpstr>'Jan 2020'!Print_Area</vt:lpstr>
      <vt:lpstr>'Jan 2021'!Print_Area</vt:lpstr>
      <vt:lpstr>'January 2019'!Print_Area</vt:lpstr>
      <vt:lpstr>'July 2016'!Print_Area</vt:lpstr>
      <vt:lpstr>'July 2017'!Print_Area</vt:lpstr>
      <vt:lpstr>'July 2018'!Print_Area</vt:lpstr>
      <vt:lpstr>'July 2019'!Print_Area</vt:lpstr>
      <vt:lpstr>'July 2020'!Print_Area</vt:lpstr>
      <vt:lpstr>'July 2021'!Print_Area</vt:lpstr>
      <vt:lpstr>'June 2016 Post-audit'!Print_Area</vt:lpstr>
      <vt:lpstr>'June 2017 Post-Audit'!Print_Area</vt:lpstr>
      <vt:lpstr>'June 2017 Pre-Audit'!Print_Area</vt:lpstr>
      <vt:lpstr>'June 2018 Post-audit'!Print_Area</vt:lpstr>
      <vt:lpstr>'June 2018 Preaudit'!Print_Area</vt:lpstr>
      <vt:lpstr>'June 2020 Pre-Audit'!Print_Area</vt:lpstr>
      <vt:lpstr>'June 2021 Final'!Print_Area</vt:lpstr>
      <vt:lpstr>'June 2021 Pre-Audit'!Print_Area</vt:lpstr>
      <vt:lpstr>'Mar  2018'!Print_Area</vt:lpstr>
      <vt:lpstr>'Mar 2017'!Print_Area</vt:lpstr>
      <vt:lpstr>'Mar 2020'!Print_Area</vt:lpstr>
      <vt:lpstr>'Mar 2021'!Print_Area</vt:lpstr>
      <vt:lpstr>'March 2019'!Print_Area</vt:lpstr>
      <vt:lpstr>'May 2017'!Print_Area</vt:lpstr>
      <vt:lpstr>'May 2018'!Print_Area</vt:lpstr>
      <vt:lpstr>'May 2020'!Print_Area</vt:lpstr>
      <vt:lpstr>'May 2021'!Print_Area</vt:lpstr>
      <vt:lpstr>'Nov 2016'!Print_Area</vt:lpstr>
      <vt:lpstr>'Nov 2017'!Print_Area</vt:lpstr>
      <vt:lpstr>'Nov 2019'!Print_Area</vt:lpstr>
      <vt:lpstr>'Nov 2020'!Print_Area</vt:lpstr>
      <vt:lpstr>'November 2018'!Print_Area</vt:lpstr>
      <vt:lpstr>'Oct 2016'!Print_Area</vt:lpstr>
      <vt:lpstr>'Oct 2017'!Print_Area</vt:lpstr>
      <vt:lpstr>'Oct 2019'!Print_Area</vt:lpstr>
      <vt:lpstr>'Oct 2020'!Print_Area</vt:lpstr>
      <vt:lpstr>'October 2018'!Print_Area</vt:lpstr>
      <vt:lpstr>'Sep 2020'!Print_Area</vt:lpstr>
      <vt:lpstr>'Sept 2016'!Print_Area</vt:lpstr>
      <vt:lpstr>'Sept 2017'!Print_Area</vt:lpstr>
      <vt:lpstr>'Sept 2019'!Print_Area</vt:lpstr>
      <vt:lpstr>'September 2018'!Print_Area</vt:lpstr>
    </vt:vector>
  </TitlesOfParts>
  <Manager/>
  <Company>49er Shops,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Cora Ejercito</dc:creator>
  <cp:keywords/>
  <dc:description/>
  <cp:lastModifiedBy>Tom Collier</cp:lastModifiedBy>
  <cp:revision/>
  <cp:lastPrinted>2020-02-21T21:14:03Z</cp:lastPrinted>
  <dcterms:created xsi:type="dcterms:W3CDTF">2002-07-23T19:12:25Z</dcterms:created>
  <dcterms:modified xsi:type="dcterms:W3CDTF">2021-10-05T17:54:36Z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0x0101008F5C54A97FE9ED438D248D43949F7C13</vt:lpwstr>
  </property>
</Properties>
</file>