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omments6.xml" ContentType="application/vnd.openxmlformats-officedocument.spreadsheetml.comments+xml"/>
  <Override PartName="/xl/comments7.xml" ContentType="application/vnd.openxmlformats-officedocument.spreadsheetml.comments+xml"/>
  <Override PartName="/xl/comments8.xml" ContentType="application/vnd.openxmlformats-officedocument.spreadsheetml.comments+xml"/>
  <Override PartName="/xl/comments9.xml" ContentType="application/vnd.openxmlformats-officedocument.spreadsheetml.comments+xml"/>
  <Override PartName="/xl/comments10.xml" ContentType="application/vnd.openxmlformats-officedocument.spreadsheetml.comments+xml"/>
  <Override PartName="/xl/comments11.xml" ContentType="application/vnd.openxmlformats-officedocument.spreadsheetml.comments+xml"/>
  <Override PartName="/xl/comments12.xml" ContentType="application/vnd.openxmlformats-officedocument.spreadsheetml.comments+xml"/>
  <Override PartName="/xl/comments13.xml" ContentType="application/vnd.openxmlformats-officedocument.spreadsheetml.comments+xml"/>
  <Override PartName="/xl/comments14.xml" ContentType="application/vnd.openxmlformats-officedocument.spreadsheetml.comments+xml"/>
  <Override PartName="/xl/comments15.xml" ContentType="application/vnd.openxmlformats-officedocument.spreadsheetml.comments+xml"/>
  <Override PartName="/xl/comments16.xml" ContentType="application/vnd.openxmlformats-officedocument.spreadsheetml.comments+xml"/>
  <Override PartName="/xl/comments17.xml" ContentType="application/vnd.openxmlformats-officedocument.spreadsheetml.comments+xml"/>
  <Override PartName="/xl/comments18.xml" ContentType="application/vnd.openxmlformats-officedocument.spreadsheetml.comments+xml"/>
  <Override PartName="/xl/comments19.xml" ContentType="application/vnd.openxmlformats-officedocument.spreadsheetml.comments+xml"/>
  <Override PartName="/xl/comments20.xml" ContentType="application/vnd.openxmlformats-officedocument.spreadsheetml.comments+xml"/>
  <Override PartName="/xl/comments21.xml" ContentType="application/vnd.openxmlformats-officedocument.spreadsheetml.comments+xml"/>
  <Override PartName="/xl/comments22.xml" ContentType="application/vnd.openxmlformats-officedocument.spreadsheetml.comments+xml"/>
  <Override PartName="/xl/comments23.xml" ContentType="application/vnd.openxmlformats-officedocument.spreadsheetml.comments+xml"/>
  <Override PartName="/xl/comments24.xml" ContentType="application/vnd.openxmlformats-officedocument.spreadsheetml.comments+xml"/>
  <Override PartName="/xl/comments25.xml" ContentType="application/vnd.openxmlformats-officedocument.spreadsheetml.comments+xml"/>
  <Override PartName="/xl/comments26.xml" ContentType="application/vnd.openxmlformats-officedocument.spreadsheetml.comments+xml"/>
  <Override PartName="/xl/comments27.xml" ContentType="application/vnd.openxmlformats-officedocument.spreadsheetml.comments+xml"/>
  <Override PartName="/xl/comments28.xml" ContentType="application/vnd.openxmlformats-officedocument.spreadsheetml.comments+xml"/>
  <Override PartName="/xl/comments29.xml" ContentType="application/vnd.openxmlformats-officedocument.spreadsheetml.comments+xml"/>
  <Override PartName="/xl/comments30.xml" ContentType="application/vnd.openxmlformats-officedocument.spreadsheetml.comments+xml"/>
  <Override PartName="/xl/comments31.xml" ContentType="application/vnd.openxmlformats-officedocument.spreadsheetml.comments+xml"/>
  <Override PartName="/xl/comments32.xml" ContentType="application/vnd.openxmlformats-officedocument.spreadsheetml.comments+xml"/>
  <Override PartName="/xl/comments33.xml" ContentType="application/vnd.openxmlformats-officedocument.spreadsheetml.comments+xml"/>
  <Override PartName="/xl/comments34.xml" ContentType="application/vnd.openxmlformats-officedocument.spreadsheetml.comments+xml"/>
  <Override PartName="/xl/comments35.xml" ContentType="application/vnd.openxmlformats-officedocument.spreadsheetml.comments+xml"/>
  <Override PartName="/xl/comments36.xml" ContentType="application/vnd.openxmlformats-officedocument.spreadsheetml.comments+xml"/>
  <Override PartName="/xl/comments37.xml" ContentType="application/vnd.openxmlformats-officedocument.spreadsheetml.comments+xml"/>
  <Override PartName="/xl/comments38.xml" ContentType="application/vnd.openxmlformats-officedocument.spreadsheetml.comments+xml"/>
  <Override PartName="/xl/comments39.xml" ContentType="application/vnd.openxmlformats-officedocument.spreadsheetml.comments+xml"/>
  <Override PartName="/xl/comments40.xml" ContentType="application/vnd.openxmlformats-officedocument.spreadsheetml.comments+xml"/>
  <Override PartName="/xl/comments41.xml" ContentType="application/vnd.openxmlformats-officedocument.spreadsheetml.comments+xml"/>
  <Override PartName="/xl/comments42.xml" ContentType="application/vnd.openxmlformats-officedocument.spreadsheetml.comments+xml"/>
  <Override PartName="/xl/comments43.xml" ContentType="application/vnd.openxmlformats-officedocument.spreadsheetml.comments+xml"/>
  <Override PartName="/xl/comments44.xml" ContentType="application/vnd.openxmlformats-officedocument.spreadsheetml.comments+xml"/>
  <Override PartName="/xl/comments45.xml" ContentType="application/vnd.openxmlformats-officedocument.spreadsheetml.comments+xml"/>
  <Override PartName="/xl/comments46.xml" ContentType="application/vnd.openxmlformats-officedocument.spreadsheetml.comments+xml"/>
  <Override PartName="/xl/comments47.xml" ContentType="application/vnd.openxmlformats-officedocument.spreadsheetml.comments+xml"/>
  <Override PartName="/xl/comments48.xml" ContentType="application/vnd.openxmlformats-officedocument.spreadsheetml.comments+xml"/>
  <Override PartName="/xl/comments49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Accounting\Financial Statements\Operating Statements\FY 2019-2020\08 February\"/>
    </mc:Choice>
  </mc:AlternateContent>
  <bookViews>
    <workbookView xWindow="-105" yWindow="-105" windowWidth="23250" windowHeight="12570" tabRatio="763" firstSheet="46" activeTab="46"/>
  </bookViews>
  <sheets>
    <sheet name="Instructions" sheetId="59" state="hidden" r:id="rId1"/>
    <sheet name="June 2016 Post-audit" sheetId="180" state="hidden" r:id="rId2"/>
    <sheet name="FY2016-17 Budget" sheetId="181" state="hidden" r:id="rId3"/>
    <sheet name="July 2016" sheetId="182" state="hidden" r:id="rId4"/>
    <sheet name="Aug 2016" sheetId="183" state="hidden" r:id="rId5"/>
    <sheet name="Sept 2016" sheetId="184" state="hidden" r:id="rId6"/>
    <sheet name="Oct 2016" sheetId="185" state="hidden" r:id="rId7"/>
    <sheet name="Nov 2016" sheetId="186" state="hidden" r:id="rId8"/>
    <sheet name="Dec 2016" sheetId="187" state="hidden" r:id="rId9"/>
    <sheet name="Jan 2017" sheetId="188" state="hidden" r:id="rId10"/>
    <sheet name="Feb 2017" sheetId="189" state="hidden" r:id="rId11"/>
    <sheet name="Mar 2017" sheetId="190" state="hidden" r:id="rId12"/>
    <sheet name="April 2017" sheetId="191" state="hidden" r:id="rId13"/>
    <sheet name="May 2017" sheetId="193" state="hidden" r:id="rId14"/>
    <sheet name="June 2017 Pre-Audit" sheetId="194" state="hidden" r:id="rId15"/>
    <sheet name="June 2017 Post-Audit" sheetId="192" state="hidden" r:id="rId16"/>
    <sheet name="FY 2017-18 Budget" sheetId="195" state="hidden" r:id="rId17"/>
    <sheet name="July 2017" sheetId="196" state="hidden" r:id="rId18"/>
    <sheet name="Aug 2017" sheetId="197" state="hidden" r:id="rId19"/>
    <sheet name="Sept 2017" sheetId="198" state="hidden" r:id="rId20"/>
    <sheet name="Oct 2017" sheetId="199" state="hidden" r:id="rId21"/>
    <sheet name="Nov 2017" sheetId="200" state="hidden" r:id="rId22"/>
    <sheet name="Dec 2017" sheetId="201" state="hidden" r:id="rId23"/>
    <sheet name="Jan 2018" sheetId="202" state="hidden" r:id="rId24"/>
    <sheet name="Feb 2018" sheetId="203" state="hidden" r:id="rId25"/>
    <sheet name="Mar  2018" sheetId="204" state="hidden" r:id="rId26"/>
    <sheet name="Apr 2018" sheetId="205" state="hidden" r:id="rId27"/>
    <sheet name="May 2018" sheetId="206" state="hidden" r:id="rId28"/>
    <sheet name="June 2018 Preaudit" sheetId="207" state="hidden" r:id="rId29"/>
    <sheet name="June 2018 Post-audit" sheetId="208" state="hidden" r:id="rId30"/>
    <sheet name="FY 2018-2019 Budget" sheetId="209" state="hidden" r:id="rId31"/>
    <sheet name="July 2018" sheetId="211" state="hidden" r:id="rId32"/>
    <sheet name="August 2018" sheetId="212" state="hidden" r:id="rId33"/>
    <sheet name="September 2018" sheetId="213" state="hidden" r:id="rId34"/>
    <sheet name="October 2018" sheetId="214" state="hidden" r:id="rId35"/>
    <sheet name="November 2018" sheetId="215" state="hidden" r:id="rId36"/>
    <sheet name="December 2018" sheetId="216" state="hidden" r:id="rId37"/>
    <sheet name="January 2019" sheetId="217" state="hidden" r:id="rId38"/>
    <sheet name="March 2019" sheetId="219" state="hidden" r:id="rId39"/>
    <sheet name="April 2019" sheetId="220" state="hidden" r:id="rId40"/>
    <sheet name="Budget FY 2019-20" sheetId="221" state="hidden" r:id="rId41"/>
    <sheet name="July 2019" sheetId="222" state="hidden" r:id="rId42"/>
    <sheet name="Aug 2019" sheetId="223" state="hidden" r:id="rId43"/>
    <sheet name="Sept 2019" sheetId="224" state="hidden" r:id="rId44"/>
    <sheet name="Oct 2019" sheetId="225" state="hidden" r:id="rId45"/>
    <sheet name="Nov 2019" sheetId="226" state="hidden" r:id="rId46"/>
    <sheet name="Feb 2020" sheetId="229" r:id="rId47"/>
    <sheet name="February 2019" sheetId="218" state="hidden" r:id="rId48"/>
    <sheet name="Jan 2020" sheetId="228" state="hidden" r:id="rId49"/>
    <sheet name="Dec 2019" sheetId="227" state="hidden" r:id="rId50"/>
  </sheets>
  <definedNames>
    <definedName name="OSRRefD29_0x" localSheetId="39">'April 2019'!$D$25:$O$25</definedName>
    <definedName name="OSRRefD29_0x" localSheetId="42">'Aug 2019'!$D$25:$O$25</definedName>
    <definedName name="OSRRefD29_0x" localSheetId="32">'August 2018'!$D$25:$O$25</definedName>
    <definedName name="OSRRefD29_0x" localSheetId="40">'Budget FY 2019-20'!$D$25:$O$25</definedName>
    <definedName name="OSRRefD29_0x" localSheetId="49">'Dec 2019'!$D$25:$O$25</definedName>
    <definedName name="OSRRefD29_0x" localSheetId="36">'December 2018'!$D$25:$O$25</definedName>
    <definedName name="OSRRefD29_0x" localSheetId="46">'Feb 2020'!$D$25:$O$25</definedName>
    <definedName name="OSRRefD29_0x" localSheetId="47">'February 2019'!$D$25:$O$25</definedName>
    <definedName name="OSRRefD29_0x" localSheetId="30">'FY 2018-2019 Budget'!$D$25:$O$25</definedName>
    <definedName name="OSRRefD29_0x" localSheetId="48">'Jan 2020'!$D$25:$O$25</definedName>
    <definedName name="OSRRefD29_0x" localSheetId="37">'January 2019'!$D$25:$O$25</definedName>
    <definedName name="OSRRefD29_0x" localSheetId="31">'July 2018'!$D$25:$O$25</definedName>
    <definedName name="OSRRefD29_0x" localSheetId="41">'July 2019'!$D$25:$O$25</definedName>
    <definedName name="OSRRefD29_0x" localSheetId="38">'March 2019'!$D$25:$O$25</definedName>
    <definedName name="OSRRefD29_0x" localSheetId="45">'Nov 2019'!$D$25:$O$25</definedName>
    <definedName name="OSRRefD29_0x" localSheetId="35">'November 2018'!$D$25:$O$25</definedName>
    <definedName name="OSRRefD29_0x" localSheetId="44">'Oct 2019'!$D$25:$O$25</definedName>
    <definedName name="OSRRefD29_0x" localSheetId="34">'October 2018'!$D$25:$O$25</definedName>
    <definedName name="OSRRefD29_0x" localSheetId="43">'Sept 2019'!$D$25:$O$25</definedName>
    <definedName name="OSRRefD29_0x" localSheetId="33">'September 2018'!$D$25:$O$25</definedName>
    <definedName name="OSRRefD30_0x" localSheetId="39">'April 2019'!$D$26:$O$26</definedName>
    <definedName name="OSRRefD30_0x" localSheetId="42">'Aug 2019'!$D$26:$O$26</definedName>
    <definedName name="OSRRefD30_0x" localSheetId="32">'August 2018'!$D$26:$O$26</definedName>
    <definedName name="OSRRefD30_0x" localSheetId="40">'Budget FY 2019-20'!$D$26:$O$26</definedName>
    <definedName name="OSRRefD30_0x" localSheetId="49">'Dec 2019'!$D$26:$O$26</definedName>
    <definedName name="OSRRefD30_0x" localSheetId="36">'December 2018'!$D$26:$O$26</definedName>
    <definedName name="OSRRefD30_0x" localSheetId="46">'Feb 2020'!$D$26:$O$26</definedName>
    <definedName name="OSRRefD30_0x" localSheetId="47">'February 2019'!$D$26:$O$26</definedName>
    <definedName name="OSRRefD30_0x" localSheetId="30">'FY 2018-2019 Budget'!$D$26:$O$26</definedName>
    <definedName name="OSRRefD30_0x" localSheetId="48">'Jan 2020'!$D$26:$O$26</definedName>
    <definedName name="OSRRefD30_0x" localSheetId="37">'January 2019'!$D$26:$O$26</definedName>
    <definedName name="OSRRefD30_0x" localSheetId="31">'July 2018'!$D$26:$O$26</definedName>
    <definedName name="OSRRefD30_0x" localSheetId="41">'July 2019'!$D$26:$O$26</definedName>
    <definedName name="OSRRefD30_0x" localSheetId="38">'March 2019'!$D$26:$O$26</definedName>
    <definedName name="OSRRefD30_0x" localSheetId="45">'Nov 2019'!$D$26:$O$26</definedName>
    <definedName name="OSRRefD30_0x" localSheetId="35">'November 2018'!$D$26:$O$26</definedName>
    <definedName name="OSRRefD30_0x" localSheetId="44">'Oct 2019'!$D$26:$O$26</definedName>
    <definedName name="OSRRefD30_0x" localSheetId="34">'October 2018'!$D$26:$O$26</definedName>
    <definedName name="OSRRefD30_0x" localSheetId="43">'Sept 2019'!$D$26:$O$26</definedName>
    <definedName name="OSRRefD30_0x" localSheetId="33">'September 2018'!$D$26:$O$26</definedName>
    <definedName name="_xlnm.Print_Area" localSheetId="26">'Apr 2018'!$A$1:$N$64</definedName>
    <definedName name="_xlnm.Print_Area" localSheetId="12">'April 2017'!$A$1:$N$64</definedName>
    <definedName name="_xlnm.Print_Area" localSheetId="39">'April 2019'!$A$1:$N$64</definedName>
    <definedName name="_xlnm.Print_Area" localSheetId="4">'Aug 2016'!$A$1:$N$64</definedName>
    <definedName name="_xlnm.Print_Area" localSheetId="18">'Aug 2017'!$A$1:$N$64</definedName>
    <definedName name="_xlnm.Print_Area" localSheetId="42">'Aug 2019'!$A$1:$N$64</definedName>
    <definedName name="_xlnm.Print_Area" localSheetId="32">'August 2018'!$A$1:$N$64</definedName>
    <definedName name="_xlnm.Print_Area" localSheetId="40">'Budget FY 2019-20'!$A$1:$N$64</definedName>
    <definedName name="_xlnm.Print_Area" localSheetId="8">'Dec 2016'!$A$1:$N$64</definedName>
    <definedName name="_xlnm.Print_Area" localSheetId="22">'Dec 2017'!$A$1:$N$64</definedName>
    <definedName name="_xlnm.Print_Area" localSheetId="49">'Dec 2019'!$A$1:$N$64</definedName>
    <definedName name="_xlnm.Print_Area" localSheetId="36">'December 2018'!$A$1:$N$64</definedName>
    <definedName name="_xlnm.Print_Area" localSheetId="10">'Feb 2017'!$A$1:$N$64</definedName>
    <definedName name="_xlnm.Print_Area" localSheetId="24">'Feb 2018'!$A$1:$N$64</definedName>
    <definedName name="_xlnm.Print_Area" localSheetId="46">'Feb 2020'!$A$1:$N$64</definedName>
    <definedName name="_xlnm.Print_Area" localSheetId="47">'February 2019'!$A$1:$N$64</definedName>
    <definedName name="_xlnm.Print_Area" localSheetId="16">'FY 2017-18 Budget'!$A$1:$N$64</definedName>
    <definedName name="_xlnm.Print_Area" localSheetId="30">'FY 2018-2019 Budget'!$A$1:$N$64</definedName>
    <definedName name="_xlnm.Print_Area" localSheetId="2">'FY2016-17 Budget'!$A$1:$N$64</definedName>
    <definedName name="_xlnm.Print_Area" localSheetId="9">'Jan 2017'!$A$1:$N$64</definedName>
    <definedName name="_xlnm.Print_Area" localSheetId="23">'Jan 2018'!$A$1:$N$64</definedName>
    <definedName name="_xlnm.Print_Area" localSheetId="48">'Jan 2020'!$A$1:$N$64</definedName>
    <definedName name="_xlnm.Print_Area" localSheetId="37">'January 2019'!$A$1:$N$64</definedName>
    <definedName name="_xlnm.Print_Area" localSheetId="3">'July 2016'!$A$1:$N$64</definedName>
    <definedName name="_xlnm.Print_Area" localSheetId="17">'July 2017'!$A$1:$N$64</definedName>
    <definedName name="_xlnm.Print_Area" localSheetId="31">'July 2018'!$A$1:$N$64</definedName>
    <definedName name="_xlnm.Print_Area" localSheetId="41">'July 2019'!$A$1:$N$64</definedName>
    <definedName name="_xlnm.Print_Area" localSheetId="1">'June 2016 Post-audit'!$A$1:$N$63</definedName>
    <definedName name="_xlnm.Print_Area" localSheetId="15">'June 2017 Post-Audit'!$A$1:$N$64</definedName>
    <definedName name="_xlnm.Print_Area" localSheetId="14">'June 2017 Pre-Audit'!$A$1:$N$64</definedName>
    <definedName name="_xlnm.Print_Area" localSheetId="29">'June 2018 Post-audit'!$A$1:$N$64</definedName>
    <definedName name="_xlnm.Print_Area" localSheetId="28">'June 2018 Preaudit'!$A$1:$N$64</definedName>
    <definedName name="_xlnm.Print_Area" localSheetId="25">'Mar  2018'!$A$1:$N$64</definedName>
    <definedName name="_xlnm.Print_Area" localSheetId="11">'Mar 2017'!$A$1:$N$64</definedName>
    <definedName name="_xlnm.Print_Area" localSheetId="38">'March 2019'!$A$1:$N$64</definedName>
    <definedName name="_xlnm.Print_Area" localSheetId="13">'May 2017'!$A$1:$N$64</definedName>
    <definedName name="_xlnm.Print_Area" localSheetId="27">'May 2018'!$A$1:$N$64</definedName>
    <definedName name="_xlnm.Print_Area" localSheetId="7">'Nov 2016'!$A$1:$N$64</definedName>
    <definedName name="_xlnm.Print_Area" localSheetId="21">'Nov 2017'!$A$1:$N$64</definedName>
    <definedName name="_xlnm.Print_Area" localSheetId="45">'Nov 2019'!$A$1:$N$64</definedName>
    <definedName name="_xlnm.Print_Area" localSheetId="35">'November 2018'!$A$1:$N$64</definedName>
    <definedName name="_xlnm.Print_Area" localSheetId="6">'Oct 2016'!$A$1:$N$64</definedName>
    <definedName name="_xlnm.Print_Area" localSheetId="20">'Oct 2017'!$A$1:$N$64</definedName>
    <definedName name="_xlnm.Print_Area" localSheetId="44">'Oct 2019'!$A$1:$N$64</definedName>
    <definedName name="_xlnm.Print_Area" localSheetId="34">'October 2018'!$A$1:$N$64</definedName>
    <definedName name="_xlnm.Print_Area" localSheetId="5">'Sept 2016'!$A$1:$N$64</definedName>
    <definedName name="_xlnm.Print_Area" localSheetId="19">'Sept 2017'!$A$1:$N$64</definedName>
    <definedName name="_xlnm.Print_Area" localSheetId="43">'Sept 2019'!$A$1:$N$64</definedName>
    <definedName name="_xlnm.Print_Area" localSheetId="33">'September 2018'!$A$1:$N$64</definedName>
  </definedNames>
  <calcPr calcId="162913"/>
</workbook>
</file>

<file path=xl/calcChain.xml><?xml version="1.0" encoding="utf-8"?>
<calcChain xmlns="http://schemas.openxmlformats.org/spreadsheetml/2006/main">
  <c r="H56" i="229" l="1"/>
  <c r="I9" i="229" l="1"/>
  <c r="I20" i="229"/>
  <c r="N73" i="229" l="1"/>
  <c r="B68" i="229"/>
  <c r="C68" i="229" s="1"/>
  <c r="D68" i="229" s="1"/>
  <c r="E68" i="229" s="1"/>
  <c r="F68" i="229" s="1"/>
  <c r="G68" i="229" s="1"/>
  <c r="H68" i="229" s="1"/>
  <c r="I68" i="229" s="1"/>
  <c r="J68" i="229" s="1"/>
  <c r="K68" i="229" s="1"/>
  <c r="L68" i="229" s="1"/>
  <c r="M68" i="229" s="1"/>
  <c r="M58" i="229"/>
  <c r="L58" i="229"/>
  <c r="K58" i="229"/>
  <c r="J58" i="229"/>
  <c r="I58" i="229"/>
  <c r="H58" i="229"/>
  <c r="G58" i="229"/>
  <c r="F58" i="229"/>
  <c r="E58" i="229"/>
  <c r="D58" i="229"/>
  <c r="C58" i="229"/>
  <c r="B58" i="229"/>
  <c r="N57" i="229"/>
  <c r="N56" i="229"/>
  <c r="N55" i="229"/>
  <c r="N54" i="229"/>
  <c r="N53" i="229"/>
  <c r="M46" i="229"/>
  <c r="L46" i="229"/>
  <c r="K46" i="229"/>
  <c r="J46" i="229"/>
  <c r="I46" i="229"/>
  <c r="H46" i="229"/>
  <c r="G46" i="229"/>
  <c r="F46" i="229"/>
  <c r="E46" i="229"/>
  <c r="D46" i="229"/>
  <c r="C46" i="229"/>
  <c r="B46" i="229"/>
  <c r="N45" i="229"/>
  <c r="N44" i="229"/>
  <c r="N41" i="229"/>
  <c r="N40" i="229"/>
  <c r="N39" i="229"/>
  <c r="N37" i="229"/>
  <c r="M34" i="229"/>
  <c r="M38" i="229" s="1"/>
  <c r="M42" i="229" s="1"/>
  <c r="L34" i="229"/>
  <c r="L38" i="229" s="1"/>
  <c r="L42" i="229" s="1"/>
  <c r="K34" i="229"/>
  <c r="K38" i="229" s="1"/>
  <c r="K42" i="229" s="1"/>
  <c r="J34" i="229"/>
  <c r="J38" i="229" s="1"/>
  <c r="J42" i="229" s="1"/>
  <c r="I34" i="229"/>
  <c r="I38" i="229" s="1"/>
  <c r="I42" i="229" s="1"/>
  <c r="H34" i="229"/>
  <c r="H38" i="229" s="1"/>
  <c r="H42" i="229" s="1"/>
  <c r="G34" i="229"/>
  <c r="G38" i="229" s="1"/>
  <c r="G42" i="229" s="1"/>
  <c r="F34" i="229"/>
  <c r="F38" i="229" s="1"/>
  <c r="F42" i="229" s="1"/>
  <c r="E34" i="229"/>
  <c r="E38" i="229" s="1"/>
  <c r="E42" i="229" s="1"/>
  <c r="D34" i="229"/>
  <c r="D38" i="229" s="1"/>
  <c r="D42" i="229" s="1"/>
  <c r="C34" i="229"/>
  <c r="C38" i="229" s="1"/>
  <c r="C42" i="229" s="1"/>
  <c r="B34" i="229"/>
  <c r="B38" i="229" s="1"/>
  <c r="B42" i="229" s="1"/>
  <c r="N33" i="229"/>
  <c r="N32" i="229"/>
  <c r="N31" i="229"/>
  <c r="N30" i="229"/>
  <c r="M26" i="229"/>
  <c r="L26" i="229"/>
  <c r="K26" i="229"/>
  <c r="J26" i="229"/>
  <c r="I26" i="229"/>
  <c r="H26" i="229"/>
  <c r="G26" i="229"/>
  <c r="F26" i="229"/>
  <c r="E26" i="229"/>
  <c r="D26" i="229"/>
  <c r="C26" i="229"/>
  <c r="B26" i="229"/>
  <c r="M25" i="229"/>
  <c r="L25" i="229"/>
  <c r="K25" i="229"/>
  <c r="J25" i="229"/>
  <c r="I25" i="229"/>
  <c r="H25" i="229"/>
  <c r="G25" i="229"/>
  <c r="F25" i="229"/>
  <c r="E25" i="229"/>
  <c r="D25" i="229"/>
  <c r="C25" i="229"/>
  <c r="B25" i="229"/>
  <c r="M24" i="229"/>
  <c r="L24" i="229"/>
  <c r="K24" i="229"/>
  <c r="J24" i="229"/>
  <c r="I24" i="229"/>
  <c r="H24" i="229"/>
  <c r="G24" i="229"/>
  <c r="F24" i="229"/>
  <c r="E24" i="229"/>
  <c r="D24" i="229"/>
  <c r="C24" i="229"/>
  <c r="B24" i="229"/>
  <c r="M23" i="229"/>
  <c r="L23" i="229"/>
  <c r="K23" i="229"/>
  <c r="J23" i="229"/>
  <c r="I23" i="229"/>
  <c r="H23" i="229"/>
  <c r="G23" i="229"/>
  <c r="F23" i="229"/>
  <c r="F27" i="229" s="1"/>
  <c r="E23" i="229"/>
  <c r="D23" i="229"/>
  <c r="C23" i="229"/>
  <c r="C27" i="229" s="1"/>
  <c r="B23" i="229"/>
  <c r="B27" i="229" s="1"/>
  <c r="M20" i="229"/>
  <c r="L20" i="229"/>
  <c r="K20" i="229"/>
  <c r="J20" i="229"/>
  <c r="H20" i="229"/>
  <c r="G20" i="229"/>
  <c r="F20" i="229"/>
  <c r="E20" i="229"/>
  <c r="D20" i="229"/>
  <c r="C20" i="229"/>
  <c r="B20" i="229"/>
  <c r="N19" i="229"/>
  <c r="N17" i="229"/>
  <c r="N16" i="229"/>
  <c r="N20" i="229" s="1"/>
  <c r="I13" i="229"/>
  <c r="D13" i="229"/>
  <c r="N11" i="229"/>
  <c r="M9" i="229"/>
  <c r="M13" i="229" s="1"/>
  <c r="L9" i="229"/>
  <c r="L13" i="229" s="1"/>
  <c r="K9" i="229"/>
  <c r="K13" i="229" s="1"/>
  <c r="J9" i="229"/>
  <c r="J13" i="229" s="1"/>
  <c r="H9" i="229"/>
  <c r="H13" i="229" s="1"/>
  <c r="G9" i="229"/>
  <c r="G13" i="229" s="1"/>
  <c r="F9" i="229"/>
  <c r="F13" i="229" s="1"/>
  <c r="E9" i="229"/>
  <c r="E13" i="229" s="1"/>
  <c r="D9" i="229"/>
  <c r="C9" i="229"/>
  <c r="C13" i="229" s="1"/>
  <c r="B9" i="229"/>
  <c r="B13" i="229" s="1"/>
  <c r="N8" i="229"/>
  <c r="N7" i="229"/>
  <c r="N6" i="229"/>
  <c r="N5" i="229"/>
  <c r="N4" i="229"/>
  <c r="D27" i="229" l="1"/>
  <c r="D28" i="229" s="1"/>
  <c r="D48" i="229"/>
  <c r="D61" i="229" s="1"/>
  <c r="D62" i="229" s="1"/>
  <c r="D72" i="229" s="1"/>
  <c r="F28" i="229"/>
  <c r="M48" i="229"/>
  <c r="M61" i="229" s="1"/>
  <c r="M62" i="229" s="1"/>
  <c r="M72" i="229" s="1"/>
  <c r="B48" i="229"/>
  <c r="B50" i="229" s="1"/>
  <c r="K27" i="229"/>
  <c r="K28" i="229" s="1"/>
  <c r="C28" i="229"/>
  <c r="J27" i="229"/>
  <c r="J28" i="229" s="1"/>
  <c r="L48" i="229"/>
  <c r="L61" i="229" s="1"/>
  <c r="L62" i="229" s="1"/>
  <c r="L72" i="229" s="1"/>
  <c r="N58" i="229"/>
  <c r="I48" i="229"/>
  <c r="I50" i="229" s="1"/>
  <c r="N34" i="229"/>
  <c r="G27" i="229"/>
  <c r="G28" i="229" s="1"/>
  <c r="N46" i="229"/>
  <c r="P16" i="229"/>
  <c r="E48" i="229"/>
  <c r="E61" i="229" s="1"/>
  <c r="E62" i="229" s="1"/>
  <c r="E72" i="229" s="1"/>
  <c r="H27" i="229"/>
  <c r="H28" i="229" s="1"/>
  <c r="I27" i="229"/>
  <c r="I28" i="229" s="1"/>
  <c r="L27" i="229"/>
  <c r="L28" i="229" s="1"/>
  <c r="F48" i="229"/>
  <c r="F61" i="229" s="1"/>
  <c r="F62" i="229" s="1"/>
  <c r="F72" i="229" s="1"/>
  <c r="J48" i="229"/>
  <c r="J61" i="229" s="1"/>
  <c r="J62" i="229" s="1"/>
  <c r="J72" i="229" s="1"/>
  <c r="M27" i="229"/>
  <c r="M28" i="229" s="1"/>
  <c r="G48" i="229"/>
  <c r="G61" i="229" s="1"/>
  <c r="G62" i="229" s="1"/>
  <c r="G72" i="229" s="1"/>
  <c r="N9" i="229"/>
  <c r="P9" i="229" s="1"/>
  <c r="B28" i="229"/>
  <c r="N24" i="229"/>
  <c r="N25" i="229"/>
  <c r="N26" i="229"/>
  <c r="H48" i="229"/>
  <c r="H61" i="229" s="1"/>
  <c r="H62" i="229" s="1"/>
  <c r="H72" i="229" s="1"/>
  <c r="P41" i="229"/>
  <c r="C48" i="229"/>
  <c r="C50" i="229" s="1"/>
  <c r="E27" i="229"/>
  <c r="E28" i="229" s="1"/>
  <c r="K48" i="229"/>
  <c r="K61" i="229" s="1"/>
  <c r="K62" i="229" s="1"/>
  <c r="K72" i="229" s="1"/>
  <c r="N23" i="229"/>
  <c r="N38" i="229"/>
  <c r="N42" i="229" s="1"/>
  <c r="H56" i="228"/>
  <c r="N56" i="228"/>
  <c r="H46" i="228"/>
  <c r="N73" i="228"/>
  <c r="B68" i="228"/>
  <c r="C68" i="228" s="1"/>
  <c r="D68" i="228" s="1"/>
  <c r="E68" i="228" s="1"/>
  <c r="F68" i="228" s="1"/>
  <c r="G68" i="228" s="1"/>
  <c r="H68" i="228" s="1"/>
  <c r="I68" i="228" s="1"/>
  <c r="J68" i="228" s="1"/>
  <c r="K68" i="228" s="1"/>
  <c r="L68" i="228" s="1"/>
  <c r="M68" i="228" s="1"/>
  <c r="M58" i="228"/>
  <c r="L58" i="228"/>
  <c r="K58" i="228"/>
  <c r="J58" i="228"/>
  <c r="I58" i="228"/>
  <c r="H58" i="228"/>
  <c r="G58" i="228"/>
  <c r="F58" i="228"/>
  <c r="E58" i="228"/>
  <c r="D58" i="228"/>
  <c r="C58" i="228"/>
  <c r="B58" i="228"/>
  <c r="N57" i="228"/>
  <c r="N55" i="228"/>
  <c r="N54" i="228"/>
  <c r="N53" i="228"/>
  <c r="M46" i="228"/>
  <c r="L46" i="228"/>
  <c r="K46" i="228"/>
  <c r="J46" i="228"/>
  <c r="I46" i="228"/>
  <c r="G46" i="228"/>
  <c r="F46" i="228"/>
  <c r="E46" i="228"/>
  <c r="D46" i="228"/>
  <c r="C46" i="228"/>
  <c r="B46" i="228"/>
  <c r="N45" i="228"/>
  <c r="N44" i="228"/>
  <c r="N41" i="228"/>
  <c r="N40" i="228"/>
  <c r="N39" i="228"/>
  <c r="N37" i="228"/>
  <c r="M34" i="228"/>
  <c r="M38" i="228" s="1"/>
  <c r="M42" i="228" s="1"/>
  <c r="L34" i="228"/>
  <c r="L38" i="228" s="1"/>
  <c r="L42" i="228" s="1"/>
  <c r="K34" i="228"/>
  <c r="K38" i="228" s="1"/>
  <c r="K42" i="228" s="1"/>
  <c r="J34" i="228"/>
  <c r="J38" i="228" s="1"/>
  <c r="J42" i="228" s="1"/>
  <c r="I34" i="228"/>
  <c r="I38" i="228" s="1"/>
  <c r="I42" i="228" s="1"/>
  <c r="H34" i="228"/>
  <c r="H38" i="228" s="1"/>
  <c r="G34" i="228"/>
  <c r="G38" i="228" s="1"/>
  <c r="G42" i="228" s="1"/>
  <c r="F34" i="228"/>
  <c r="F38" i="228" s="1"/>
  <c r="F42" i="228" s="1"/>
  <c r="E34" i="228"/>
  <c r="E38" i="228" s="1"/>
  <c r="E42" i="228" s="1"/>
  <c r="D34" i="228"/>
  <c r="D38" i="228" s="1"/>
  <c r="D42" i="228" s="1"/>
  <c r="C34" i="228"/>
  <c r="C38" i="228" s="1"/>
  <c r="C42" i="228" s="1"/>
  <c r="B34" i="228"/>
  <c r="B38" i="228" s="1"/>
  <c r="N33" i="228"/>
  <c r="N32" i="228"/>
  <c r="N31" i="228"/>
  <c r="N30" i="228"/>
  <c r="M26" i="228"/>
  <c r="L26" i="228"/>
  <c r="K26" i="228"/>
  <c r="J26" i="228"/>
  <c r="I26" i="228"/>
  <c r="H26" i="228"/>
  <c r="G26" i="228"/>
  <c r="F26" i="228"/>
  <c r="E26" i="228"/>
  <c r="D26" i="228"/>
  <c r="C26" i="228"/>
  <c r="B26" i="228"/>
  <c r="M25" i="228"/>
  <c r="L25" i="228"/>
  <c r="K25" i="228"/>
  <c r="J25" i="228"/>
  <c r="I25" i="228"/>
  <c r="H25" i="228"/>
  <c r="G25" i="228"/>
  <c r="F25" i="228"/>
  <c r="E25" i="228"/>
  <c r="D25" i="228"/>
  <c r="C25" i="228"/>
  <c r="B25" i="228"/>
  <c r="M24" i="228"/>
  <c r="L24" i="228"/>
  <c r="K24" i="228"/>
  <c r="J24" i="228"/>
  <c r="I24" i="228"/>
  <c r="H24" i="228"/>
  <c r="G24" i="228"/>
  <c r="F24" i="228"/>
  <c r="E24" i="228"/>
  <c r="D24" i="228"/>
  <c r="C24" i="228"/>
  <c r="B24" i="228"/>
  <c r="M23" i="228"/>
  <c r="L23" i="228"/>
  <c r="K23" i="228"/>
  <c r="J23" i="228"/>
  <c r="I23" i="228"/>
  <c r="H23" i="228"/>
  <c r="H27" i="228" s="1"/>
  <c r="G23" i="228"/>
  <c r="G27" i="228" s="1"/>
  <c r="F23" i="228"/>
  <c r="E23" i="228"/>
  <c r="E27" i="228" s="1"/>
  <c r="D23" i="228"/>
  <c r="C23" i="228"/>
  <c r="B23" i="228"/>
  <c r="M20" i="228"/>
  <c r="L20" i="228"/>
  <c r="K20" i="228"/>
  <c r="J20" i="228"/>
  <c r="I20" i="228"/>
  <c r="H20" i="228"/>
  <c r="G20" i="228"/>
  <c r="F20" i="228"/>
  <c r="E20" i="228"/>
  <c r="D20" i="228"/>
  <c r="C20" i="228"/>
  <c r="B20" i="228"/>
  <c r="N19" i="228"/>
  <c r="N17" i="228"/>
  <c r="N16" i="228"/>
  <c r="P16" i="228" s="1"/>
  <c r="N11" i="228"/>
  <c r="M9" i="228"/>
  <c r="M13" i="228" s="1"/>
  <c r="L9" i="228"/>
  <c r="L13" i="228" s="1"/>
  <c r="K9" i="228"/>
  <c r="K13" i="228" s="1"/>
  <c r="J9" i="228"/>
  <c r="J13" i="228" s="1"/>
  <c r="I9" i="228"/>
  <c r="I13" i="228" s="1"/>
  <c r="H9" i="228"/>
  <c r="H13" i="228" s="1"/>
  <c r="G9" i="228"/>
  <c r="G13" i="228" s="1"/>
  <c r="F9" i="228"/>
  <c r="F13" i="228" s="1"/>
  <c r="E9" i="228"/>
  <c r="E13" i="228" s="1"/>
  <c r="D9" i="228"/>
  <c r="D13" i="228" s="1"/>
  <c r="C9" i="228"/>
  <c r="C13" i="228" s="1"/>
  <c r="B9" i="228"/>
  <c r="B13" i="228" s="1"/>
  <c r="N8" i="228"/>
  <c r="N7" i="228"/>
  <c r="N6" i="228"/>
  <c r="N5" i="228"/>
  <c r="N4" i="228"/>
  <c r="D50" i="229" l="1"/>
  <c r="L50" i="229"/>
  <c r="M50" i="229"/>
  <c r="B61" i="229"/>
  <c r="B62" i="229" s="1"/>
  <c r="B63" i="229" s="1"/>
  <c r="N13" i="229"/>
  <c r="H50" i="229"/>
  <c r="J50" i="229"/>
  <c r="F50" i="229"/>
  <c r="E50" i="229"/>
  <c r="N48" i="229"/>
  <c r="N61" i="229" s="1"/>
  <c r="N27" i="229"/>
  <c r="N28" i="229" s="1"/>
  <c r="I61" i="229"/>
  <c r="I62" i="229" s="1"/>
  <c r="C61" i="229"/>
  <c r="C62" i="229" s="1"/>
  <c r="C72" i="229" s="1"/>
  <c r="G50" i="229"/>
  <c r="K50" i="229"/>
  <c r="N58" i="228"/>
  <c r="H28" i="228"/>
  <c r="I48" i="228"/>
  <c r="I50" i="228" s="1"/>
  <c r="N46" i="228"/>
  <c r="E48" i="228"/>
  <c r="E61" i="228" s="1"/>
  <c r="E62" i="228" s="1"/>
  <c r="E72" i="228" s="1"/>
  <c r="H42" i="228"/>
  <c r="H48" i="228" s="1"/>
  <c r="H50" i="228" s="1"/>
  <c r="P41" i="228"/>
  <c r="J48" i="228"/>
  <c r="J50" i="228" s="1"/>
  <c r="N34" i="228"/>
  <c r="F27" i="228"/>
  <c r="F28" i="228" s="1"/>
  <c r="C48" i="228"/>
  <c r="C61" i="228" s="1"/>
  <c r="C62" i="228" s="1"/>
  <c r="C72" i="228" s="1"/>
  <c r="K27" i="228"/>
  <c r="K28" i="228" s="1"/>
  <c r="L27" i="228"/>
  <c r="L28" i="228" s="1"/>
  <c r="D27" i="228"/>
  <c r="D28" i="228" s="1"/>
  <c r="E28" i="228"/>
  <c r="G28" i="228"/>
  <c r="F48" i="228"/>
  <c r="F50" i="228" s="1"/>
  <c r="G48" i="228"/>
  <c r="G61" i="228" s="1"/>
  <c r="G62" i="228" s="1"/>
  <c r="G72" i="228" s="1"/>
  <c r="K48" i="228"/>
  <c r="K61" i="228" s="1"/>
  <c r="K62" i="228" s="1"/>
  <c r="K72" i="228" s="1"/>
  <c r="N20" i="228"/>
  <c r="J27" i="228"/>
  <c r="J28" i="228" s="1"/>
  <c r="M27" i="228"/>
  <c r="M28" i="228" s="1"/>
  <c r="N24" i="228"/>
  <c r="C27" i="228"/>
  <c r="C28" i="228" s="1"/>
  <c r="N26" i="228"/>
  <c r="N9" i="228"/>
  <c r="N13" i="228" s="1"/>
  <c r="N23" i="228"/>
  <c r="N25" i="228"/>
  <c r="I27" i="228"/>
  <c r="I28" i="228" s="1"/>
  <c r="M48" i="228"/>
  <c r="M61" i="228" s="1"/>
  <c r="M62" i="228" s="1"/>
  <c r="M72" i="228" s="1"/>
  <c r="L48" i="228"/>
  <c r="L61" i="228" s="1"/>
  <c r="L62" i="228" s="1"/>
  <c r="L72" i="228" s="1"/>
  <c r="D48" i="228"/>
  <c r="D61" i="228" s="1"/>
  <c r="D62" i="228" s="1"/>
  <c r="D72" i="228" s="1"/>
  <c r="B42" i="228"/>
  <c r="B48" i="228" s="1"/>
  <c r="N38" i="228"/>
  <c r="N42" i="228" s="1"/>
  <c r="B27" i="228"/>
  <c r="B28" i="228" s="1"/>
  <c r="F85" i="227"/>
  <c r="F84" i="227"/>
  <c r="N73" i="227"/>
  <c r="C68" i="227"/>
  <c r="D68" i="227" s="1"/>
  <c r="E68" i="227" s="1"/>
  <c r="F68" i="227" s="1"/>
  <c r="G68" i="227" s="1"/>
  <c r="H68" i="227" s="1"/>
  <c r="I68" i="227" s="1"/>
  <c r="J68" i="227" s="1"/>
  <c r="K68" i="227" s="1"/>
  <c r="L68" i="227" s="1"/>
  <c r="M68" i="227" s="1"/>
  <c r="B68" i="227"/>
  <c r="M58" i="227"/>
  <c r="L58" i="227"/>
  <c r="K58" i="227"/>
  <c r="J58" i="227"/>
  <c r="I58" i="227"/>
  <c r="H58" i="227"/>
  <c r="G58" i="227"/>
  <c r="F58" i="227"/>
  <c r="E58" i="227"/>
  <c r="D58" i="227"/>
  <c r="C58" i="227"/>
  <c r="B58" i="227"/>
  <c r="N57" i="227"/>
  <c r="N56" i="227"/>
  <c r="N55" i="227"/>
  <c r="N54" i="227"/>
  <c r="N53" i="227"/>
  <c r="M46" i="227"/>
  <c r="L46" i="227"/>
  <c r="K46" i="227"/>
  <c r="J46" i="227"/>
  <c r="I46" i="227"/>
  <c r="H46" i="227"/>
  <c r="G46" i="227"/>
  <c r="F46" i="227"/>
  <c r="E46" i="227"/>
  <c r="D46" i="227"/>
  <c r="C46" i="227"/>
  <c r="B46" i="227"/>
  <c r="N45" i="227"/>
  <c r="N44" i="227"/>
  <c r="N46" i="227" s="1"/>
  <c r="N41" i="227"/>
  <c r="N40" i="227"/>
  <c r="N39" i="227"/>
  <c r="N37" i="227"/>
  <c r="M34" i="227"/>
  <c r="M38" i="227" s="1"/>
  <c r="M42" i="227" s="1"/>
  <c r="L34" i="227"/>
  <c r="L38" i="227" s="1"/>
  <c r="L42" i="227" s="1"/>
  <c r="K34" i="227"/>
  <c r="K38" i="227" s="1"/>
  <c r="K42" i="227" s="1"/>
  <c r="J34" i="227"/>
  <c r="J38" i="227" s="1"/>
  <c r="J42" i="227" s="1"/>
  <c r="J48" i="227" s="1"/>
  <c r="J61" i="227" s="1"/>
  <c r="I34" i="227"/>
  <c r="I38" i="227" s="1"/>
  <c r="I42" i="227" s="1"/>
  <c r="H34" i="227"/>
  <c r="H38" i="227" s="1"/>
  <c r="H42" i="227" s="1"/>
  <c r="G34" i="227"/>
  <c r="G38" i="227" s="1"/>
  <c r="G42" i="227" s="1"/>
  <c r="F34" i="227"/>
  <c r="F38" i="227" s="1"/>
  <c r="F42" i="227" s="1"/>
  <c r="E34" i="227"/>
  <c r="E38" i="227" s="1"/>
  <c r="E42" i="227" s="1"/>
  <c r="D34" i="227"/>
  <c r="D38" i="227" s="1"/>
  <c r="D42" i="227" s="1"/>
  <c r="C34" i="227"/>
  <c r="C38" i="227" s="1"/>
  <c r="C42" i="227" s="1"/>
  <c r="B34" i="227"/>
  <c r="B38" i="227" s="1"/>
  <c r="B42" i="227" s="1"/>
  <c r="N33" i="227"/>
  <c r="N32" i="227"/>
  <c r="N31" i="227"/>
  <c r="N30" i="227"/>
  <c r="M26" i="227"/>
  <c r="L26" i="227"/>
  <c r="K26" i="227"/>
  <c r="J26" i="227"/>
  <c r="I26" i="227"/>
  <c r="H26" i="227"/>
  <c r="G26" i="227"/>
  <c r="F26" i="227"/>
  <c r="E26" i="227"/>
  <c r="D26" i="227"/>
  <c r="C26" i="227"/>
  <c r="B26" i="227"/>
  <c r="M25" i="227"/>
  <c r="L25" i="227"/>
  <c r="K25" i="227"/>
  <c r="J25" i="227"/>
  <c r="I25" i="227"/>
  <c r="H25" i="227"/>
  <c r="G25" i="227"/>
  <c r="F25" i="227"/>
  <c r="E25" i="227"/>
  <c r="D25" i="227"/>
  <c r="C25" i="227"/>
  <c r="B25" i="227"/>
  <c r="M24" i="227"/>
  <c r="L24" i="227"/>
  <c r="K24" i="227"/>
  <c r="J24" i="227"/>
  <c r="I24" i="227"/>
  <c r="H24" i="227"/>
  <c r="G24" i="227"/>
  <c r="F24" i="227"/>
  <c r="E24" i="227"/>
  <c r="D24" i="227"/>
  <c r="C24" i="227"/>
  <c r="B24" i="227"/>
  <c r="M23" i="227"/>
  <c r="L23" i="227"/>
  <c r="K23" i="227"/>
  <c r="K27" i="227" s="1"/>
  <c r="J23" i="227"/>
  <c r="J27" i="227" s="1"/>
  <c r="J28" i="227" s="1"/>
  <c r="I23" i="227"/>
  <c r="H23" i="227"/>
  <c r="H27" i="227" s="1"/>
  <c r="G23" i="227"/>
  <c r="F23" i="227"/>
  <c r="E23" i="227"/>
  <c r="E27" i="227" s="1"/>
  <c r="E28" i="227" s="1"/>
  <c r="D23" i="227"/>
  <c r="C23" i="227"/>
  <c r="B23" i="227"/>
  <c r="M20" i="227"/>
  <c r="L20" i="227"/>
  <c r="K20" i="227"/>
  <c r="J20" i="227"/>
  <c r="I20" i="227"/>
  <c r="I48" i="227" s="1"/>
  <c r="H20" i="227"/>
  <c r="G20" i="227"/>
  <c r="F20" i="227"/>
  <c r="E20" i="227"/>
  <c r="D20" i="227"/>
  <c r="C20" i="227"/>
  <c r="B20" i="227"/>
  <c r="N19" i="227"/>
  <c r="N17" i="227"/>
  <c r="N16" i="227"/>
  <c r="P16" i="227" s="1"/>
  <c r="J13" i="227"/>
  <c r="I13" i="227"/>
  <c r="N11" i="227"/>
  <c r="M9" i="227"/>
  <c r="M13" i="227" s="1"/>
  <c r="L9" i="227"/>
  <c r="L13" i="227" s="1"/>
  <c r="K9" i="227"/>
  <c r="K13" i="227" s="1"/>
  <c r="J9" i="227"/>
  <c r="I9" i="227"/>
  <c r="H9" i="227"/>
  <c r="H13" i="227" s="1"/>
  <c r="G9" i="227"/>
  <c r="G13" i="227" s="1"/>
  <c r="F9" i="227"/>
  <c r="F13" i="227" s="1"/>
  <c r="E9" i="227"/>
  <c r="E13" i="227" s="1"/>
  <c r="D9" i="227"/>
  <c r="D13" i="227" s="1"/>
  <c r="C9" i="227"/>
  <c r="C13" i="227" s="1"/>
  <c r="B9" i="227"/>
  <c r="B13" i="227" s="1"/>
  <c r="N8" i="227"/>
  <c r="N7" i="227"/>
  <c r="N6" i="227"/>
  <c r="N5" i="227"/>
  <c r="N4" i="227"/>
  <c r="B72" i="229" l="1"/>
  <c r="N62" i="229"/>
  <c r="N50" i="229"/>
  <c r="P50" i="229" s="1"/>
  <c r="P52" i="229" s="1"/>
  <c r="P27" i="229"/>
  <c r="I72" i="229"/>
  <c r="B73" i="229"/>
  <c r="B64" i="229"/>
  <c r="B74" i="229" s="1"/>
  <c r="C63" i="229"/>
  <c r="H61" i="228"/>
  <c r="H62" i="228" s="1"/>
  <c r="H72" i="228" s="1"/>
  <c r="C50" i="228"/>
  <c r="M50" i="228"/>
  <c r="J61" i="228"/>
  <c r="J62" i="228" s="1"/>
  <c r="J72" i="228" s="1"/>
  <c r="K50" i="228"/>
  <c r="I61" i="228"/>
  <c r="I62" i="228" s="1"/>
  <c r="I72" i="228" s="1"/>
  <c r="E50" i="228"/>
  <c r="G50" i="228"/>
  <c r="F61" i="228"/>
  <c r="F62" i="228" s="1"/>
  <c r="F72" i="228" s="1"/>
  <c r="P9" i="228"/>
  <c r="N48" i="228"/>
  <c r="N61" i="228" s="1"/>
  <c r="N62" i="228" s="1"/>
  <c r="N27" i="228"/>
  <c r="N28" i="228" s="1"/>
  <c r="B50" i="228"/>
  <c r="B61" i="228"/>
  <c r="B62" i="228" s="1"/>
  <c r="D50" i="228"/>
  <c r="L50" i="228"/>
  <c r="N58" i="227"/>
  <c r="H48" i="227"/>
  <c r="I61" i="227"/>
  <c r="I62" i="227" s="1"/>
  <c r="I72" i="227" s="1"/>
  <c r="P41" i="227"/>
  <c r="G48" i="227"/>
  <c r="G61" i="227" s="1"/>
  <c r="G62" i="227" s="1"/>
  <c r="G72" i="227" s="1"/>
  <c r="D27" i="227"/>
  <c r="D28" i="227" s="1"/>
  <c r="N20" i="227"/>
  <c r="F27" i="227"/>
  <c r="F28" i="227" s="1"/>
  <c r="I50" i="227"/>
  <c r="H61" i="227"/>
  <c r="H62" i="227" s="1"/>
  <c r="H72" i="227" s="1"/>
  <c r="C48" i="227"/>
  <c r="C50" i="227" s="1"/>
  <c r="E48" i="227"/>
  <c r="E50" i="227" s="1"/>
  <c r="F48" i="227"/>
  <c r="F50" i="227" s="1"/>
  <c r="L48" i="227"/>
  <c r="L61" i="227" s="1"/>
  <c r="L62" i="227" s="1"/>
  <c r="L72" i="227" s="1"/>
  <c r="N24" i="227"/>
  <c r="H28" i="227"/>
  <c r="I27" i="227"/>
  <c r="I28" i="227" s="1"/>
  <c r="C27" i="227"/>
  <c r="C28" i="227" s="1"/>
  <c r="N9" i="227"/>
  <c r="N13" i="227" s="1"/>
  <c r="L27" i="227"/>
  <c r="L28" i="227" s="1"/>
  <c r="M27" i="227"/>
  <c r="M28" i="227" s="1"/>
  <c r="N25" i="227"/>
  <c r="B27" i="227"/>
  <c r="B28" i="227" s="1"/>
  <c r="N26" i="227"/>
  <c r="K28" i="227"/>
  <c r="N34" i="227"/>
  <c r="G27" i="227"/>
  <c r="G28" i="227" s="1"/>
  <c r="N23" i="227"/>
  <c r="J50" i="227"/>
  <c r="H50" i="227"/>
  <c r="K48" i="227"/>
  <c r="K50" i="227" s="1"/>
  <c r="G50" i="227"/>
  <c r="M48" i="227"/>
  <c r="M61" i="227" s="1"/>
  <c r="M62" i="227" s="1"/>
  <c r="M72" i="227" s="1"/>
  <c r="B48" i="227"/>
  <c r="B61" i="227" s="1"/>
  <c r="B62" i="227" s="1"/>
  <c r="D48" i="227"/>
  <c r="D50" i="227" s="1"/>
  <c r="N38" i="227"/>
  <c r="N42" i="227" s="1"/>
  <c r="J62" i="227"/>
  <c r="J72" i="227" s="1"/>
  <c r="F9" i="226"/>
  <c r="D63" i="229" l="1"/>
  <c r="C73" i="229"/>
  <c r="C64" i="229"/>
  <c r="C74" i="229" s="1"/>
  <c r="P27" i="228"/>
  <c r="B72" i="228"/>
  <c r="B63" i="228"/>
  <c r="N50" i="228"/>
  <c r="P50" i="228" s="1"/>
  <c r="P52" i="228" s="1"/>
  <c r="E61" i="227"/>
  <c r="E62" i="227" s="1"/>
  <c r="E72" i="227" s="1"/>
  <c r="C61" i="227"/>
  <c r="C62" i="227" s="1"/>
  <c r="C72" i="227" s="1"/>
  <c r="L50" i="227"/>
  <c r="N48" i="227"/>
  <c r="N61" i="227" s="1"/>
  <c r="N62" i="227" s="1"/>
  <c r="F61" i="227"/>
  <c r="F62" i="227" s="1"/>
  <c r="F72" i="227" s="1"/>
  <c r="P9" i="227"/>
  <c r="N27" i="227"/>
  <c r="P27" i="227" s="1"/>
  <c r="B72" i="227"/>
  <c r="B63" i="227"/>
  <c r="K61" i="227"/>
  <c r="K62" i="227" s="1"/>
  <c r="K72" i="227" s="1"/>
  <c r="M50" i="227"/>
  <c r="D61" i="227"/>
  <c r="D62" i="227" s="1"/>
  <c r="D72" i="227" s="1"/>
  <c r="B50" i="227"/>
  <c r="F85" i="226"/>
  <c r="F84" i="226"/>
  <c r="N73" i="226"/>
  <c r="B68" i="226"/>
  <c r="C68" i="226" s="1"/>
  <c r="D68" i="226" s="1"/>
  <c r="E68" i="226" s="1"/>
  <c r="F68" i="226" s="1"/>
  <c r="G68" i="226" s="1"/>
  <c r="H68" i="226" s="1"/>
  <c r="I68" i="226" s="1"/>
  <c r="J68" i="226" s="1"/>
  <c r="K68" i="226" s="1"/>
  <c r="L68" i="226" s="1"/>
  <c r="M68" i="226" s="1"/>
  <c r="M58" i="226"/>
  <c r="L58" i="226"/>
  <c r="K58" i="226"/>
  <c r="J58" i="226"/>
  <c r="I58" i="226"/>
  <c r="H58" i="226"/>
  <c r="G58" i="226"/>
  <c r="F58" i="226"/>
  <c r="E58" i="226"/>
  <c r="D58" i="226"/>
  <c r="C58" i="226"/>
  <c r="B58" i="226"/>
  <c r="N57" i="226"/>
  <c r="N56" i="226"/>
  <c r="N55" i="226"/>
  <c r="N54" i="226"/>
  <c r="N53" i="226"/>
  <c r="M46" i="226"/>
  <c r="L46" i="226"/>
  <c r="K46" i="226"/>
  <c r="J46" i="226"/>
  <c r="I46" i="226"/>
  <c r="H46" i="226"/>
  <c r="G46" i="226"/>
  <c r="F46" i="226"/>
  <c r="E46" i="226"/>
  <c r="D46" i="226"/>
  <c r="C46" i="226"/>
  <c r="B46" i="226"/>
  <c r="N45" i="226"/>
  <c r="N44" i="226"/>
  <c r="N41" i="226"/>
  <c r="N40" i="226"/>
  <c r="N39" i="226"/>
  <c r="N37" i="226"/>
  <c r="M34" i="226"/>
  <c r="M38" i="226" s="1"/>
  <c r="M42" i="226" s="1"/>
  <c r="L34" i="226"/>
  <c r="L38" i="226" s="1"/>
  <c r="L42" i="226" s="1"/>
  <c r="K34" i="226"/>
  <c r="K38" i="226" s="1"/>
  <c r="K42" i="226" s="1"/>
  <c r="J34" i="226"/>
  <c r="J38" i="226" s="1"/>
  <c r="J42" i="226" s="1"/>
  <c r="I34" i="226"/>
  <c r="I38" i="226" s="1"/>
  <c r="I42" i="226" s="1"/>
  <c r="H34" i="226"/>
  <c r="H38" i="226" s="1"/>
  <c r="H42" i="226" s="1"/>
  <c r="G34" i="226"/>
  <c r="G38" i="226" s="1"/>
  <c r="G42" i="226" s="1"/>
  <c r="F34" i="226"/>
  <c r="F38" i="226" s="1"/>
  <c r="F42" i="226" s="1"/>
  <c r="E34" i="226"/>
  <c r="E38" i="226" s="1"/>
  <c r="E42" i="226" s="1"/>
  <c r="D34" i="226"/>
  <c r="D38" i="226" s="1"/>
  <c r="D42" i="226" s="1"/>
  <c r="C34" i="226"/>
  <c r="C38" i="226" s="1"/>
  <c r="C42" i="226" s="1"/>
  <c r="B34" i="226"/>
  <c r="B38" i="226" s="1"/>
  <c r="N33" i="226"/>
  <c r="N32" i="226"/>
  <c r="N31" i="226"/>
  <c r="N30" i="226"/>
  <c r="M26" i="226"/>
  <c r="L26" i="226"/>
  <c r="K26" i="226"/>
  <c r="J26" i="226"/>
  <c r="I26" i="226"/>
  <c r="H26" i="226"/>
  <c r="G26" i="226"/>
  <c r="F26" i="226"/>
  <c r="E26" i="226"/>
  <c r="D26" i="226"/>
  <c r="C26" i="226"/>
  <c r="B26" i="226"/>
  <c r="M25" i="226"/>
  <c r="L25" i="226"/>
  <c r="K25" i="226"/>
  <c r="J25" i="226"/>
  <c r="I25" i="226"/>
  <c r="H25" i="226"/>
  <c r="G25" i="226"/>
  <c r="F25" i="226"/>
  <c r="E25" i="226"/>
  <c r="D25" i="226"/>
  <c r="C25" i="226"/>
  <c r="B25" i="226"/>
  <c r="M24" i="226"/>
  <c r="L24" i="226"/>
  <c r="K24" i="226"/>
  <c r="J24" i="226"/>
  <c r="I24" i="226"/>
  <c r="H24" i="226"/>
  <c r="G24" i="226"/>
  <c r="F24" i="226"/>
  <c r="E24" i="226"/>
  <c r="D24" i="226"/>
  <c r="C24" i="226"/>
  <c r="B24" i="226"/>
  <c r="M23" i="226"/>
  <c r="L23" i="226"/>
  <c r="K23" i="226"/>
  <c r="J23" i="226"/>
  <c r="I23" i="226"/>
  <c r="H23" i="226"/>
  <c r="H27" i="226" s="1"/>
  <c r="G23" i="226"/>
  <c r="G27" i="226" s="1"/>
  <c r="F23" i="226"/>
  <c r="E23" i="226"/>
  <c r="E27" i="226" s="1"/>
  <c r="D23" i="226"/>
  <c r="C23" i="226"/>
  <c r="C27" i="226" s="1"/>
  <c r="B23" i="226"/>
  <c r="M20" i="226"/>
  <c r="L20" i="226"/>
  <c r="K20" i="226"/>
  <c r="J20" i="226"/>
  <c r="I20" i="226"/>
  <c r="H20" i="226"/>
  <c r="G20" i="226"/>
  <c r="F20" i="226"/>
  <c r="F48" i="226" s="1"/>
  <c r="E20" i="226"/>
  <c r="D20" i="226"/>
  <c r="C20" i="226"/>
  <c r="B20" i="226"/>
  <c r="N19" i="226"/>
  <c r="N17" i="226"/>
  <c r="N16" i="226"/>
  <c r="N11" i="226"/>
  <c r="M9" i="226"/>
  <c r="M13" i="226" s="1"/>
  <c r="L9" i="226"/>
  <c r="L13" i="226" s="1"/>
  <c r="K9" i="226"/>
  <c r="K13" i="226" s="1"/>
  <c r="J9" i="226"/>
  <c r="J13" i="226" s="1"/>
  <c r="I9" i="226"/>
  <c r="I13" i="226" s="1"/>
  <c r="H9" i="226"/>
  <c r="H13" i="226" s="1"/>
  <c r="G9" i="226"/>
  <c r="G13" i="226" s="1"/>
  <c r="F13" i="226"/>
  <c r="E9" i="226"/>
  <c r="E13" i="226" s="1"/>
  <c r="D9" i="226"/>
  <c r="D13" i="226" s="1"/>
  <c r="C9" i="226"/>
  <c r="C13" i="226" s="1"/>
  <c r="B9" i="226"/>
  <c r="B13" i="226" s="1"/>
  <c r="N8" i="226"/>
  <c r="N7" i="226"/>
  <c r="N6" i="226"/>
  <c r="N5" i="226"/>
  <c r="N4" i="226"/>
  <c r="D64" i="229" l="1"/>
  <c r="D74" i="229" s="1"/>
  <c r="E63" i="229"/>
  <c r="D73" i="229"/>
  <c r="C63" i="228"/>
  <c r="B73" i="228"/>
  <c r="B64" i="228"/>
  <c r="B74" i="228" s="1"/>
  <c r="N50" i="227"/>
  <c r="P50" i="227" s="1"/>
  <c r="P52" i="227" s="1"/>
  <c r="N28" i="227"/>
  <c r="C63" i="227"/>
  <c r="B73" i="227"/>
  <c r="B64" i="227"/>
  <c r="B74" i="227" s="1"/>
  <c r="N9" i="226"/>
  <c r="N13" i="226" s="1"/>
  <c r="N20" i="226"/>
  <c r="C28" i="226"/>
  <c r="G28" i="226"/>
  <c r="E28" i="226"/>
  <c r="H28" i="226"/>
  <c r="N58" i="226"/>
  <c r="F61" i="226"/>
  <c r="F62" i="226" s="1"/>
  <c r="F50" i="226"/>
  <c r="M48" i="226"/>
  <c r="M61" i="226" s="1"/>
  <c r="M62" i="226" s="1"/>
  <c r="M72" i="226" s="1"/>
  <c r="D48" i="226"/>
  <c r="D61" i="226" s="1"/>
  <c r="D62" i="226" s="1"/>
  <c r="D72" i="226" s="1"/>
  <c r="N34" i="226"/>
  <c r="N46" i="226"/>
  <c r="C48" i="226"/>
  <c r="C61" i="226" s="1"/>
  <c r="C62" i="226" s="1"/>
  <c r="C72" i="226" s="1"/>
  <c r="K48" i="226"/>
  <c r="K50" i="226" s="1"/>
  <c r="P41" i="226"/>
  <c r="L48" i="226"/>
  <c r="L61" i="226" s="1"/>
  <c r="L62" i="226" s="1"/>
  <c r="L72" i="226" s="1"/>
  <c r="E48" i="226"/>
  <c r="E61" i="226" s="1"/>
  <c r="E62" i="226" s="1"/>
  <c r="E72" i="226" s="1"/>
  <c r="K27" i="226"/>
  <c r="K28" i="226" s="1"/>
  <c r="M27" i="226"/>
  <c r="M28" i="226" s="1"/>
  <c r="D27" i="226"/>
  <c r="D28" i="226" s="1"/>
  <c r="N24" i="226"/>
  <c r="N26" i="226"/>
  <c r="I27" i="226"/>
  <c r="I28" i="226" s="1"/>
  <c r="F27" i="226"/>
  <c r="F28" i="226" s="1"/>
  <c r="J27" i="226"/>
  <c r="J28" i="226" s="1"/>
  <c r="L27" i="226"/>
  <c r="L28" i="226" s="1"/>
  <c r="N23" i="226"/>
  <c r="N25" i="226"/>
  <c r="G48" i="226"/>
  <c r="G61" i="226" s="1"/>
  <c r="G62" i="226" s="1"/>
  <c r="G72" i="226" s="1"/>
  <c r="H48" i="226"/>
  <c r="H50" i="226" s="1"/>
  <c r="N38" i="226"/>
  <c r="N42" i="226" s="1"/>
  <c r="I48" i="226"/>
  <c r="I50" i="226" s="1"/>
  <c r="J48" i="226"/>
  <c r="J61" i="226" s="1"/>
  <c r="J62" i="226" s="1"/>
  <c r="J72" i="226" s="1"/>
  <c r="B27" i="226"/>
  <c r="B28" i="226" s="1"/>
  <c r="B42" i="226"/>
  <c r="B48" i="226" s="1"/>
  <c r="P16" i="226"/>
  <c r="F85" i="225"/>
  <c r="F84" i="225"/>
  <c r="N73" i="225"/>
  <c r="C68" i="225"/>
  <c r="D68" i="225" s="1"/>
  <c r="E68" i="225" s="1"/>
  <c r="F68" i="225" s="1"/>
  <c r="G68" i="225" s="1"/>
  <c r="H68" i="225" s="1"/>
  <c r="I68" i="225" s="1"/>
  <c r="J68" i="225" s="1"/>
  <c r="K68" i="225" s="1"/>
  <c r="L68" i="225" s="1"/>
  <c r="M68" i="225" s="1"/>
  <c r="B68" i="225"/>
  <c r="M58" i="225"/>
  <c r="L58" i="225"/>
  <c r="K58" i="225"/>
  <c r="J58" i="225"/>
  <c r="I58" i="225"/>
  <c r="H58" i="225"/>
  <c r="G58" i="225"/>
  <c r="F58" i="225"/>
  <c r="E58" i="225"/>
  <c r="D58" i="225"/>
  <c r="C58" i="225"/>
  <c r="B58" i="225"/>
  <c r="N57" i="225"/>
  <c r="N56" i="225"/>
  <c r="N55" i="225"/>
  <c r="N54" i="225"/>
  <c r="N53" i="225"/>
  <c r="M46" i="225"/>
  <c r="L46" i="225"/>
  <c r="K46" i="225"/>
  <c r="J46" i="225"/>
  <c r="I46" i="225"/>
  <c r="H46" i="225"/>
  <c r="G46" i="225"/>
  <c r="F46" i="225"/>
  <c r="E46" i="225"/>
  <c r="D46" i="225"/>
  <c r="C46" i="225"/>
  <c r="B46" i="225"/>
  <c r="N45" i="225"/>
  <c r="N44" i="225"/>
  <c r="N46" i="225" s="1"/>
  <c r="N41" i="225"/>
  <c r="N40" i="225"/>
  <c r="N39" i="225"/>
  <c r="M38" i="225"/>
  <c r="M42" i="225" s="1"/>
  <c r="N37" i="225"/>
  <c r="M34" i="225"/>
  <c r="L34" i="225"/>
  <c r="L38" i="225" s="1"/>
  <c r="L42" i="225" s="1"/>
  <c r="K34" i="225"/>
  <c r="K38" i="225" s="1"/>
  <c r="K42" i="225" s="1"/>
  <c r="J34" i="225"/>
  <c r="J38" i="225" s="1"/>
  <c r="J42" i="225" s="1"/>
  <c r="I34" i="225"/>
  <c r="I38" i="225" s="1"/>
  <c r="I42" i="225" s="1"/>
  <c r="H34" i="225"/>
  <c r="H38" i="225" s="1"/>
  <c r="H42" i="225" s="1"/>
  <c r="G34" i="225"/>
  <c r="G38" i="225" s="1"/>
  <c r="G42" i="225" s="1"/>
  <c r="F34" i="225"/>
  <c r="F38" i="225" s="1"/>
  <c r="F42" i="225" s="1"/>
  <c r="E34" i="225"/>
  <c r="E38" i="225" s="1"/>
  <c r="E42" i="225" s="1"/>
  <c r="D34" i="225"/>
  <c r="D38" i="225" s="1"/>
  <c r="D42" i="225" s="1"/>
  <c r="C34" i="225"/>
  <c r="C38" i="225" s="1"/>
  <c r="C42" i="225" s="1"/>
  <c r="B34" i="225"/>
  <c r="B38" i="225" s="1"/>
  <c r="B42" i="225" s="1"/>
  <c r="N33" i="225"/>
  <c r="N32" i="225"/>
  <c r="N31" i="225"/>
  <c r="N30" i="225"/>
  <c r="M26" i="225"/>
  <c r="L26" i="225"/>
  <c r="K26" i="225"/>
  <c r="J26" i="225"/>
  <c r="I26" i="225"/>
  <c r="H26" i="225"/>
  <c r="G26" i="225"/>
  <c r="F26" i="225"/>
  <c r="E26" i="225"/>
  <c r="D26" i="225"/>
  <c r="C26" i="225"/>
  <c r="B26" i="225"/>
  <c r="M25" i="225"/>
  <c r="L25" i="225"/>
  <c r="K25" i="225"/>
  <c r="J25" i="225"/>
  <c r="I25" i="225"/>
  <c r="H25" i="225"/>
  <c r="G25" i="225"/>
  <c r="F25" i="225"/>
  <c r="E25" i="225"/>
  <c r="D25" i="225"/>
  <c r="C25" i="225"/>
  <c r="B25" i="225"/>
  <c r="M24" i="225"/>
  <c r="L24" i="225"/>
  <c r="K24" i="225"/>
  <c r="J24" i="225"/>
  <c r="I24" i="225"/>
  <c r="H24" i="225"/>
  <c r="G24" i="225"/>
  <c r="F24" i="225"/>
  <c r="E24" i="225"/>
  <c r="D24" i="225"/>
  <c r="C24" i="225"/>
  <c r="B24" i="225"/>
  <c r="M23" i="225"/>
  <c r="L23" i="225"/>
  <c r="K23" i="225"/>
  <c r="J23" i="225"/>
  <c r="I23" i="225"/>
  <c r="I27" i="225" s="1"/>
  <c r="H23" i="225"/>
  <c r="H27" i="225" s="1"/>
  <c r="G23" i="225"/>
  <c r="F23" i="225"/>
  <c r="F27" i="225" s="1"/>
  <c r="E23" i="225"/>
  <c r="D23" i="225"/>
  <c r="D27" i="225" s="1"/>
  <c r="C23" i="225"/>
  <c r="C27" i="225" s="1"/>
  <c r="B23" i="225"/>
  <c r="M20" i="225"/>
  <c r="L20" i="225"/>
  <c r="K20" i="225"/>
  <c r="J20" i="225"/>
  <c r="I20" i="225"/>
  <c r="H20" i="225"/>
  <c r="G20" i="225"/>
  <c r="F20" i="225"/>
  <c r="E20" i="225"/>
  <c r="D20" i="225"/>
  <c r="C20" i="225"/>
  <c r="B20" i="225"/>
  <c r="N19" i="225"/>
  <c r="N17" i="225"/>
  <c r="N16" i="225"/>
  <c r="N11" i="225"/>
  <c r="M9" i="225"/>
  <c r="M13" i="225" s="1"/>
  <c r="L9" i="225"/>
  <c r="L13" i="225" s="1"/>
  <c r="K9" i="225"/>
  <c r="K13" i="225" s="1"/>
  <c r="J9" i="225"/>
  <c r="J13" i="225" s="1"/>
  <c r="I9" i="225"/>
  <c r="I13" i="225" s="1"/>
  <c r="H9" i="225"/>
  <c r="H13" i="225" s="1"/>
  <c r="G9" i="225"/>
  <c r="G13" i="225" s="1"/>
  <c r="F9" i="225"/>
  <c r="F13" i="225" s="1"/>
  <c r="E9" i="225"/>
  <c r="E13" i="225" s="1"/>
  <c r="D9" i="225"/>
  <c r="D13" i="225" s="1"/>
  <c r="C9" i="225"/>
  <c r="C13" i="225" s="1"/>
  <c r="B9" i="225"/>
  <c r="B13" i="225" s="1"/>
  <c r="N8" i="225"/>
  <c r="N7" i="225"/>
  <c r="N6" i="225"/>
  <c r="N5" i="225"/>
  <c r="N4" i="225"/>
  <c r="F63" i="229" l="1"/>
  <c r="E73" i="229"/>
  <c r="E64" i="229"/>
  <c r="E74" i="229" s="1"/>
  <c r="D63" i="228"/>
  <c r="C73" i="228"/>
  <c r="C64" i="228"/>
  <c r="C74" i="228" s="1"/>
  <c r="D63" i="227"/>
  <c r="C73" i="227"/>
  <c r="C64" i="227"/>
  <c r="C74" i="227" s="1"/>
  <c r="P9" i="226"/>
  <c r="K27" i="225"/>
  <c r="K28" i="225" s="1"/>
  <c r="B27" i="225"/>
  <c r="N25" i="225"/>
  <c r="N48" i="226"/>
  <c r="N61" i="226" s="1"/>
  <c r="N62" i="226" s="1"/>
  <c r="D50" i="226"/>
  <c r="M50" i="226"/>
  <c r="L50" i="226"/>
  <c r="F72" i="226"/>
  <c r="K61" i="226"/>
  <c r="K62" i="226" s="1"/>
  <c r="K72" i="226" s="1"/>
  <c r="C50" i="226"/>
  <c r="E50" i="226"/>
  <c r="N27" i="226"/>
  <c r="N28" i="226" s="1"/>
  <c r="B50" i="226"/>
  <c r="B61" i="226"/>
  <c r="B62" i="226" s="1"/>
  <c r="I61" i="226"/>
  <c r="I62" i="226" s="1"/>
  <c r="I72" i="226" s="1"/>
  <c r="H61" i="226"/>
  <c r="H62" i="226" s="1"/>
  <c r="H72" i="226" s="1"/>
  <c r="J50" i="226"/>
  <c r="G50" i="226"/>
  <c r="N34" i="225"/>
  <c r="D48" i="225"/>
  <c r="D61" i="225" s="1"/>
  <c r="D62" i="225" s="1"/>
  <c r="D72" i="225" s="1"/>
  <c r="B48" i="225"/>
  <c r="B50" i="225" s="1"/>
  <c r="C48" i="225"/>
  <c r="C50" i="225" s="1"/>
  <c r="I48" i="225"/>
  <c r="I50" i="225" s="1"/>
  <c r="G27" i="225"/>
  <c r="G28" i="225" s="1"/>
  <c r="G48" i="225"/>
  <c r="G61" i="225" s="1"/>
  <c r="B28" i="225"/>
  <c r="N26" i="225"/>
  <c r="C28" i="225"/>
  <c r="J27" i="225"/>
  <c r="J28" i="225" s="1"/>
  <c r="D28" i="225"/>
  <c r="H28" i="225"/>
  <c r="E27" i="225"/>
  <c r="E28" i="225" s="1"/>
  <c r="N9" i="225"/>
  <c r="N13" i="225" s="1"/>
  <c r="F28" i="225"/>
  <c r="I28" i="225"/>
  <c r="N23" i="225"/>
  <c r="N58" i="225"/>
  <c r="E48" i="225"/>
  <c r="E61" i="225" s="1"/>
  <c r="E62" i="225" s="1"/>
  <c r="E72" i="225" s="1"/>
  <c r="N20" i="225"/>
  <c r="F48" i="225"/>
  <c r="F61" i="225" s="1"/>
  <c r="F62" i="225" s="1"/>
  <c r="F72" i="225" s="1"/>
  <c r="L27" i="225"/>
  <c r="L28" i="225" s="1"/>
  <c r="L48" i="225"/>
  <c r="L61" i="225" s="1"/>
  <c r="L62" i="225" s="1"/>
  <c r="L72" i="225" s="1"/>
  <c r="M48" i="225"/>
  <c r="M61" i="225" s="1"/>
  <c r="M62" i="225" s="1"/>
  <c r="M72" i="225" s="1"/>
  <c r="M27" i="225"/>
  <c r="M28" i="225" s="1"/>
  <c r="P41" i="225"/>
  <c r="J48" i="225"/>
  <c r="J61" i="225" s="1"/>
  <c r="J62" i="225" s="1"/>
  <c r="J72" i="225" s="1"/>
  <c r="K48" i="225"/>
  <c r="K61" i="225" s="1"/>
  <c r="K62" i="225" s="1"/>
  <c r="K72" i="225" s="1"/>
  <c r="H48" i="225"/>
  <c r="H50" i="225" s="1"/>
  <c r="G50" i="225"/>
  <c r="G62" i="225"/>
  <c r="G72" i="225" s="1"/>
  <c r="N24" i="225"/>
  <c r="N38" i="225"/>
  <c r="N42" i="225" s="1"/>
  <c r="P16" i="225"/>
  <c r="D9" i="224"/>
  <c r="G63" i="229" l="1"/>
  <c r="F73" i="229"/>
  <c r="F64" i="229"/>
  <c r="F74" i="229" s="1"/>
  <c r="D73" i="228"/>
  <c r="D64" i="228"/>
  <c r="D74" i="228" s="1"/>
  <c r="E63" i="228"/>
  <c r="D73" i="227"/>
  <c r="D64" i="227"/>
  <c r="D74" i="227" s="1"/>
  <c r="E63" i="227"/>
  <c r="P27" i="226"/>
  <c r="N50" i="226"/>
  <c r="P50" i="226" s="1"/>
  <c r="P52" i="226" s="1"/>
  <c r="B72" i="226"/>
  <c r="B63" i="226"/>
  <c r="C61" i="225"/>
  <c r="C62" i="225" s="1"/>
  <c r="C72" i="225" s="1"/>
  <c r="D50" i="225"/>
  <c r="B61" i="225"/>
  <c r="B62" i="225" s="1"/>
  <c r="B63" i="225" s="1"/>
  <c r="I61" i="225"/>
  <c r="I62" i="225" s="1"/>
  <c r="I72" i="225" s="1"/>
  <c r="J50" i="225"/>
  <c r="F50" i="225"/>
  <c r="N48" i="225"/>
  <c r="N61" i="225" s="1"/>
  <c r="N62" i="225" s="1"/>
  <c r="E50" i="225"/>
  <c r="N27" i="225"/>
  <c r="N28" i="225" s="1"/>
  <c r="P9" i="225"/>
  <c r="M50" i="225"/>
  <c r="L50" i="225"/>
  <c r="H61" i="225"/>
  <c r="H62" i="225" s="1"/>
  <c r="H72" i="225" s="1"/>
  <c r="K50" i="225"/>
  <c r="F85" i="224"/>
  <c r="F84" i="224"/>
  <c r="N73" i="224"/>
  <c r="B68" i="224"/>
  <c r="C68" i="224" s="1"/>
  <c r="D68" i="224" s="1"/>
  <c r="E68" i="224" s="1"/>
  <c r="F68" i="224" s="1"/>
  <c r="G68" i="224" s="1"/>
  <c r="H68" i="224" s="1"/>
  <c r="I68" i="224" s="1"/>
  <c r="J68" i="224" s="1"/>
  <c r="K68" i="224" s="1"/>
  <c r="L68" i="224" s="1"/>
  <c r="M68" i="224" s="1"/>
  <c r="M58" i="224"/>
  <c r="L58" i="224"/>
  <c r="K58" i="224"/>
  <c r="J58" i="224"/>
  <c r="I58" i="224"/>
  <c r="H58" i="224"/>
  <c r="G58" i="224"/>
  <c r="F58" i="224"/>
  <c r="E58" i="224"/>
  <c r="D58" i="224"/>
  <c r="C58" i="224"/>
  <c r="B58" i="224"/>
  <c r="N57" i="224"/>
  <c r="N56" i="224"/>
  <c r="N55" i="224"/>
  <c r="N54" i="224"/>
  <c r="N53" i="224"/>
  <c r="M46" i="224"/>
  <c r="L46" i="224"/>
  <c r="K46" i="224"/>
  <c r="J46" i="224"/>
  <c r="I46" i="224"/>
  <c r="H46" i="224"/>
  <c r="G46" i="224"/>
  <c r="F46" i="224"/>
  <c r="E46" i="224"/>
  <c r="D46" i="224"/>
  <c r="C46" i="224"/>
  <c r="B46" i="224"/>
  <c r="N45" i="224"/>
  <c r="N44" i="224"/>
  <c r="N41" i="224"/>
  <c r="N40" i="224"/>
  <c r="N39" i="224"/>
  <c r="N37" i="224"/>
  <c r="M34" i="224"/>
  <c r="M38" i="224" s="1"/>
  <c r="M42" i="224" s="1"/>
  <c r="L34" i="224"/>
  <c r="L38" i="224" s="1"/>
  <c r="L42" i="224" s="1"/>
  <c r="K34" i="224"/>
  <c r="K38" i="224" s="1"/>
  <c r="K42" i="224" s="1"/>
  <c r="J34" i="224"/>
  <c r="J38" i="224" s="1"/>
  <c r="J42" i="224" s="1"/>
  <c r="I34" i="224"/>
  <c r="I38" i="224" s="1"/>
  <c r="I42" i="224" s="1"/>
  <c r="H34" i="224"/>
  <c r="H38" i="224" s="1"/>
  <c r="H42" i="224" s="1"/>
  <c r="G34" i="224"/>
  <c r="G38" i="224" s="1"/>
  <c r="G42" i="224" s="1"/>
  <c r="F34" i="224"/>
  <c r="F38" i="224" s="1"/>
  <c r="F42" i="224" s="1"/>
  <c r="E34" i="224"/>
  <c r="E38" i="224" s="1"/>
  <c r="E42" i="224" s="1"/>
  <c r="D34" i="224"/>
  <c r="D38" i="224" s="1"/>
  <c r="D42" i="224" s="1"/>
  <c r="C34" i="224"/>
  <c r="C38" i="224" s="1"/>
  <c r="C42" i="224" s="1"/>
  <c r="B34" i="224"/>
  <c r="B38" i="224" s="1"/>
  <c r="B42" i="224" s="1"/>
  <c r="N33" i="224"/>
  <c r="N32" i="224"/>
  <c r="N31" i="224"/>
  <c r="N30" i="224"/>
  <c r="M26" i="224"/>
  <c r="L26" i="224"/>
  <c r="K26" i="224"/>
  <c r="J26" i="224"/>
  <c r="I26" i="224"/>
  <c r="H26" i="224"/>
  <c r="G26" i="224"/>
  <c r="F26" i="224"/>
  <c r="E26" i="224"/>
  <c r="D26" i="224"/>
  <c r="C26" i="224"/>
  <c r="B26" i="224"/>
  <c r="M25" i="224"/>
  <c r="L25" i="224"/>
  <c r="K25" i="224"/>
  <c r="J25" i="224"/>
  <c r="I25" i="224"/>
  <c r="H25" i="224"/>
  <c r="G25" i="224"/>
  <c r="F25" i="224"/>
  <c r="E25" i="224"/>
  <c r="D25" i="224"/>
  <c r="C25" i="224"/>
  <c r="B25" i="224"/>
  <c r="M24" i="224"/>
  <c r="L24" i="224"/>
  <c r="K24" i="224"/>
  <c r="J24" i="224"/>
  <c r="I24" i="224"/>
  <c r="H24" i="224"/>
  <c r="G24" i="224"/>
  <c r="F24" i="224"/>
  <c r="E24" i="224"/>
  <c r="D24" i="224"/>
  <c r="C24" i="224"/>
  <c r="B24" i="224"/>
  <c r="M23" i="224"/>
  <c r="L23" i="224"/>
  <c r="L27" i="224" s="1"/>
  <c r="K23" i="224"/>
  <c r="J23" i="224"/>
  <c r="I23" i="224"/>
  <c r="I27" i="224" s="1"/>
  <c r="H23" i="224"/>
  <c r="G23" i="224"/>
  <c r="G27" i="224" s="1"/>
  <c r="G28" i="224" s="1"/>
  <c r="F23" i="224"/>
  <c r="F27" i="224" s="1"/>
  <c r="E23" i="224"/>
  <c r="E27" i="224" s="1"/>
  <c r="D23" i="224"/>
  <c r="C23" i="224"/>
  <c r="C27" i="224" s="1"/>
  <c r="B23" i="224"/>
  <c r="M20" i="224"/>
  <c r="L20" i="224"/>
  <c r="L48" i="224" s="1"/>
  <c r="K20" i="224"/>
  <c r="J20" i="224"/>
  <c r="I20" i="224"/>
  <c r="H20" i="224"/>
  <c r="G20" i="224"/>
  <c r="F20" i="224"/>
  <c r="F48" i="224" s="1"/>
  <c r="E20" i="224"/>
  <c r="D20" i="224"/>
  <c r="C20" i="224"/>
  <c r="B20" i="224"/>
  <c r="N19" i="224"/>
  <c r="N17" i="224"/>
  <c r="N16" i="224"/>
  <c r="N20" i="224" s="1"/>
  <c r="N11" i="224"/>
  <c r="M9" i="224"/>
  <c r="M13" i="224" s="1"/>
  <c r="L9" i="224"/>
  <c r="L13" i="224" s="1"/>
  <c r="K9" i="224"/>
  <c r="K13" i="224" s="1"/>
  <c r="J9" i="224"/>
  <c r="J13" i="224" s="1"/>
  <c r="I9" i="224"/>
  <c r="I13" i="224" s="1"/>
  <c r="H9" i="224"/>
  <c r="H13" i="224" s="1"/>
  <c r="G9" i="224"/>
  <c r="G13" i="224" s="1"/>
  <c r="F9" i="224"/>
  <c r="F13" i="224" s="1"/>
  <c r="E9" i="224"/>
  <c r="E13" i="224" s="1"/>
  <c r="D13" i="224"/>
  <c r="C9" i="224"/>
  <c r="C13" i="224" s="1"/>
  <c r="B9" i="224"/>
  <c r="B13" i="224" s="1"/>
  <c r="N8" i="224"/>
  <c r="N7" i="224"/>
  <c r="N6" i="224"/>
  <c r="N5" i="224"/>
  <c r="N4" i="224"/>
  <c r="H63" i="229" l="1"/>
  <c r="I63" i="229" s="1"/>
  <c r="G73" i="229"/>
  <c r="G64" i="229"/>
  <c r="G74" i="229" s="1"/>
  <c r="F63" i="228"/>
  <c r="E73" i="228"/>
  <c r="E64" i="228"/>
  <c r="E74" i="228" s="1"/>
  <c r="E64" i="227"/>
  <c r="E74" i="227" s="1"/>
  <c r="F63" i="227"/>
  <c r="E73" i="227"/>
  <c r="N46" i="224"/>
  <c r="C63" i="226"/>
  <c r="B73" i="226"/>
  <c r="B64" i="226"/>
  <c r="B74" i="226" s="1"/>
  <c r="B72" i="225"/>
  <c r="N50" i="225"/>
  <c r="P50" i="225" s="1"/>
  <c r="P52" i="225" s="1"/>
  <c r="P27" i="225"/>
  <c r="C63" i="225"/>
  <c r="B73" i="225"/>
  <c r="B64" i="225"/>
  <c r="B74" i="225" s="1"/>
  <c r="G48" i="224"/>
  <c r="G61" i="224" s="1"/>
  <c r="G62" i="224" s="1"/>
  <c r="G72" i="224" s="1"/>
  <c r="K48" i="224"/>
  <c r="K61" i="224" s="1"/>
  <c r="K62" i="224" s="1"/>
  <c r="K72" i="224" s="1"/>
  <c r="E28" i="224"/>
  <c r="N58" i="224"/>
  <c r="P41" i="224"/>
  <c r="D48" i="224"/>
  <c r="D50" i="224" s="1"/>
  <c r="I28" i="224"/>
  <c r="L28" i="224"/>
  <c r="N24" i="224"/>
  <c r="C28" i="224"/>
  <c r="N9" i="224"/>
  <c r="F28" i="224"/>
  <c r="D27" i="224"/>
  <c r="D28" i="224" s="1"/>
  <c r="C48" i="224"/>
  <c r="C61" i="224" s="1"/>
  <c r="C62" i="224" s="1"/>
  <c r="C72" i="224" s="1"/>
  <c r="N25" i="224"/>
  <c r="N34" i="224"/>
  <c r="H27" i="224"/>
  <c r="H28" i="224" s="1"/>
  <c r="K27" i="224"/>
  <c r="K28" i="224" s="1"/>
  <c r="M48" i="224"/>
  <c r="M61" i="224" s="1"/>
  <c r="M62" i="224" s="1"/>
  <c r="M72" i="224" s="1"/>
  <c r="N26" i="224"/>
  <c r="J48" i="224"/>
  <c r="J61" i="224" s="1"/>
  <c r="J62" i="224" s="1"/>
  <c r="J72" i="224" s="1"/>
  <c r="J27" i="224"/>
  <c r="J28" i="224" s="1"/>
  <c r="E48" i="224"/>
  <c r="E61" i="224" s="1"/>
  <c r="E62" i="224" s="1"/>
  <c r="E72" i="224" s="1"/>
  <c r="N23" i="224"/>
  <c r="M27" i="224"/>
  <c r="M28" i="224" s="1"/>
  <c r="M50" i="224"/>
  <c r="F61" i="224"/>
  <c r="F62" i="224" s="1"/>
  <c r="F72" i="224" s="1"/>
  <c r="H48" i="224"/>
  <c r="H61" i="224" s="1"/>
  <c r="H62" i="224" s="1"/>
  <c r="H72" i="224" s="1"/>
  <c r="N13" i="224"/>
  <c r="P9" i="224"/>
  <c r="I48" i="224"/>
  <c r="I61" i="224" s="1"/>
  <c r="I62" i="224" s="1"/>
  <c r="I72" i="224" s="1"/>
  <c r="F50" i="224"/>
  <c r="L61" i="224"/>
  <c r="L62" i="224" s="1"/>
  <c r="L72" i="224" s="1"/>
  <c r="B48" i="224"/>
  <c r="B50" i="224" s="1"/>
  <c r="L50" i="224"/>
  <c r="N38" i="224"/>
  <c r="N42" i="224" s="1"/>
  <c r="E50" i="224"/>
  <c r="B27" i="224"/>
  <c r="B28" i="224" s="1"/>
  <c r="P16" i="224"/>
  <c r="F85" i="223"/>
  <c r="F84" i="223"/>
  <c r="N73" i="223"/>
  <c r="B68" i="223"/>
  <c r="C68" i="223" s="1"/>
  <c r="D68" i="223" s="1"/>
  <c r="E68" i="223" s="1"/>
  <c r="F68" i="223" s="1"/>
  <c r="G68" i="223" s="1"/>
  <c r="H68" i="223" s="1"/>
  <c r="I68" i="223" s="1"/>
  <c r="J68" i="223" s="1"/>
  <c r="K68" i="223" s="1"/>
  <c r="L68" i="223" s="1"/>
  <c r="M68" i="223" s="1"/>
  <c r="M58" i="223"/>
  <c r="L58" i="223"/>
  <c r="K58" i="223"/>
  <c r="J58" i="223"/>
  <c r="I58" i="223"/>
  <c r="H58" i="223"/>
  <c r="G58" i="223"/>
  <c r="F58" i="223"/>
  <c r="E58" i="223"/>
  <c r="D58" i="223"/>
  <c r="C58" i="223"/>
  <c r="B58" i="223"/>
  <c r="N57" i="223"/>
  <c r="N56" i="223"/>
  <c r="N55" i="223"/>
  <c r="N54" i="223"/>
  <c r="N53" i="223"/>
  <c r="M46" i="223"/>
  <c r="L46" i="223"/>
  <c r="K46" i="223"/>
  <c r="J46" i="223"/>
  <c r="I46" i="223"/>
  <c r="H46" i="223"/>
  <c r="G46" i="223"/>
  <c r="F46" i="223"/>
  <c r="E46" i="223"/>
  <c r="D46" i="223"/>
  <c r="C46" i="223"/>
  <c r="B46" i="223"/>
  <c r="N45" i="223"/>
  <c r="N44" i="223"/>
  <c r="N41" i="223"/>
  <c r="N40" i="223"/>
  <c r="N39" i="223"/>
  <c r="E38" i="223"/>
  <c r="E42" i="223" s="1"/>
  <c r="N37" i="223"/>
  <c r="M34" i="223"/>
  <c r="M38" i="223" s="1"/>
  <c r="M42" i="223" s="1"/>
  <c r="L34" i="223"/>
  <c r="L38" i="223" s="1"/>
  <c r="L42" i="223" s="1"/>
  <c r="K34" i="223"/>
  <c r="K38" i="223" s="1"/>
  <c r="K42" i="223" s="1"/>
  <c r="J34" i="223"/>
  <c r="J38" i="223" s="1"/>
  <c r="J42" i="223" s="1"/>
  <c r="I34" i="223"/>
  <c r="I38" i="223" s="1"/>
  <c r="I42" i="223" s="1"/>
  <c r="H34" i="223"/>
  <c r="H38" i="223" s="1"/>
  <c r="H42" i="223" s="1"/>
  <c r="G34" i="223"/>
  <c r="G38" i="223" s="1"/>
  <c r="G42" i="223" s="1"/>
  <c r="F34" i="223"/>
  <c r="F38" i="223" s="1"/>
  <c r="F42" i="223" s="1"/>
  <c r="E34" i="223"/>
  <c r="D34" i="223"/>
  <c r="D38" i="223" s="1"/>
  <c r="D42" i="223" s="1"/>
  <c r="D48" i="223" s="1"/>
  <c r="C34" i="223"/>
  <c r="C38" i="223" s="1"/>
  <c r="C42" i="223" s="1"/>
  <c r="B34" i="223"/>
  <c r="B38" i="223" s="1"/>
  <c r="N33" i="223"/>
  <c r="N32" i="223"/>
  <c r="N31" i="223"/>
  <c r="N30" i="223"/>
  <c r="M26" i="223"/>
  <c r="L26" i="223"/>
  <c r="K26" i="223"/>
  <c r="J26" i="223"/>
  <c r="I26" i="223"/>
  <c r="H26" i="223"/>
  <c r="G26" i="223"/>
  <c r="F26" i="223"/>
  <c r="E26" i="223"/>
  <c r="D26" i="223"/>
  <c r="C26" i="223"/>
  <c r="B26" i="223"/>
  <c r="M25" i="223"/>
  <c r="L25" i="223"/>
  <c r="K25" i="223"/>
  <c r="J25" i="223"/>
  <c r="I25" i="223"/>
  <c r="H25" i="223"/>
  <c r="G25" i="223"/>
  <c r="F25" i="223"/>
  <c r="E25" i="223"/>
  <c r="D25" i="223"/>
  <c r="C25" i="223"/>
  <c r="B25" i="223"/>
  <c r="M24" i="223"/>
  <c r="L24" i="223"/>
  <c r="K24" i="223"/>
  <c r="J24" i="223"/>
  <c r="I24" i="223"/>
  <c r="H24" i="223"/>
  <c r="G24" i="223"/>
  <c r="F24" i="223"/>
  <c r="E24" i="223"/>
  <c r="D24" i="223"/>
  <c r="C24" i="223"/>
  <c r="B24" i="223"/>
  <c r="M23" i="223"/>
  <c r="M27" i="223" s="1"/>
  <c r="L23" i="223"/>
  <c r="L27" i="223" s="1"/>
  <c r="K23" i="223"/>
  <c r="K27" i="223" s="1"/>
  <c r="J23" i="223"/>
  <c r="I23" i="223"/>
  <c r="H23" i="223"/>
  <c r="G23" i="223"/>
  <c r="F23" i="223"/>
  <c r="E23" i="223"/>
  <c r="D23" i="223"/>
  <c r="C23" i="223"/>
  <c r="B23" i="223"/>
  <c r="M20" i="223"/>
  <c r="L20" i="223"/>
  <c r="K20" i="223"/>
  <c r="J20" i="223"/>
  <c r="I20" i="223"/>
  <c r="H20" i="223"/>
  <c r="G20" i="223"/>
  <c r="F20" i="223"/>
  <c r="E20" i="223"/>
  <c r="D20" i="223"/>
  <c r="C20" i="223"/>
  <c r="B20" i="223"/>
  <c r="N19" i="223"/>
  <c r="N17" i="223"/>
  <c r="N16" i="223"/>
  <c r="N11" i="223"/>
  <c r="M9" i="223"/>
  <c r="M13" i="223" s="1"/>
  <c r="L9" i="223"/>
  <c r="L13" i="223" s="1"/>
  <c r="K9" i="223"/>
  <c r="K13" i="223" s="1"/>
  <c r="J9" i="223"/>
  <c r="J13" i="223" s="1"/>
  <c r="I9" i="223"/>
  <c r="I13" i="223" s="1"/>
  <c r="H9" i="223"/>
  <c r="H13" i="223" s="1"/>
  <c r="G9" i="223"/>
  <c r="G13" i="223" s="1"/>
  <c r="F9" i="223"/>
  <c r="F13" i="223" s="1"/>
  <c r="E9" i="223"/>
  <c r="E13" i="223" s="1"/>
  <c r="D9" i="223"/>
  <c r="D13" i="223" s="1"/>
  <c r="C9" i="223"/>
  <c r="C13" i="223" s="1"/>
  <c r="B9" i="223"/>
  <c r="B13" i="223" s="1"/>
  <c r="N8" i="223"/>
  <c r="N7" i="223"/>
  <c r="N6" i="223"/>
  <c r="N5" i="223"/>
  <c r="N4" i="223"/>
  <c r="H73" i="229" l="1"/>
  <c r="H64" i="229"/>
  <c r="H74" i="229" s="1"/>
  <c r="F64" i="228"/>
  <c r="F74" i="228" s="1"/>
  <c r="G63" i="228"/>
  <c r="F73" i="228"/>
  <c r="F64" i="227"/>
  <c r="F74" i="227" s="1"/>
  <c r="F73" i="227"/>
  <c r="G63" i="227"/>
  <c r="D61" i="224"/>
  <c r="D62" i="224" s="1"/>
  <c r="D72" i="224" s="1"/>
  <c r="C50" i="224"/>
  <c r="K50" i="224"/>
  <c r="D63" i="226"/>
  <c r="C73" i="226"/>
  <c r="C64" i="226"/>
  <c r="C74" i="226" s="1"/>
  <c r="D63" i="225"/>
  <c r="C73" i="225"/>
  <c r="C64" i="225"/>
  <c r="C74" i="225" s="1"/>
  <c r="G50" i="224"/>
  <c r="H50" i="224"/>
  <c r="B61" i="224"/>
  <c r="B62" i="224" s="1"/>
  <c r="B63" i="224" s="1"/>
  <c r="N48" i="224"/>
  <c r="N61" i="224" s="1"/>
  <c r="N62" i="224" s="1"/>
  <c r="N27" i="224"/>
  <c r="P27" i="224" s="1"/>
  <c r="J50" i="224"/>
  <c r="I50" i="224"/>
  <c r="N50" i="224" s="1"/>
  <c r="P50" i="224" s="1"/>
  <c r="P52" i="224" s="1"/>
  <c r="N46" i="223"/>
  <c r="G48" i="223"/>
  <c r="G50" i="223" s="1"/>
  <c r="L48" i="223"/>
  <c r="L61" i="223" s="1"/>
  <c r="L62" i="223" s="1"/>
  <c r="L72" i="223" s="1"/>
  <c r="I27" i="223"/>
  <c r="I28" i="223" s="1"/>
  <c r="M48" i="223"/>
  <c r="M61" i="223" s="1"/>
  <c r="B27" i="223"/>
  <c r="B28" i="223"/>
  <c r="J27" i="223"/>
  <c r="J28" i="223" s="1"/>
  <c r="N58" i="223"/>
  <c r="E48" i="223"/>
  <c r="E50" i="223" s="1"/>
  <c r="H48" i="223"/>
  <c r="H61" i="223" s="1"/>
  <c r="H62" i="223" s="1"/>
  <c r="H72" i="223" s="1"/>
  <c r="H27" i="223"/>
  <c r="H28" i="223" s="1"/>
  <c r="K48" i="223"/>
  <c r="C48" i="223"/>
  <c r="C61" i="223" s="1"/>
  <c r="C62" i="223" s="1"/>
  <c r="C72" i="223" s="1"/>
  <c r="M50" i="223"/>
  <c r="N20" i="223"/>
  <c r="E27" i="223"/>
  <c r="E28" i="223" s="1"/>
  <c r="D27" i="223"/>
  <c r="D28" i="223" s="1"/>
  <c r="D61" i="223"/>
  <c r="D62" i="223" s="1"/>
  <c r="D72" i="223" s="1"/>
  <c r="M28" i="223"/>
  <c r="N9" i="223"/>
  <c r="P9" i="223" s="1"/>
  <c r="K28" i="223"/>
  <c r="M62" i="223"/>
  <c r="M72" i="223" s="1"/>
  <c r="L28" i="223"/>
  <c r="N24" i="223"/>
  <c r="N25" i="223"/>
  <c r="N26" i="223"/>
  <c r="F27" i="223"/>
  <c r="F28" i="223" s="1"/>
  <c r="G27" i="223"/>
  <c r="G28" i="223" s="1"/>
  <c r="K50" i="223"/>
  <c r="P41" i="223"/>
  <c r="N34" i="223"/>
  <c r="N23" i="223"/>
  <c r="C27" i="223"/>
  <c r="C28" i="223" s="1"/>
  <c r="G61" i="223"/>
  <c r="G62" i="223" s="1"/>
  <c r="G72" i="223" s="1"/>
  <c r="I48" i="223"/>
  <c r="I61" i="223" s="1"/>
  <c r="I62" i="223" s="1"/>
  <c r="I72" i="223" s="1"/>
  <c r="J48" i="223"/>
  <c r="J61" i="223" s="1"/>
  <c r="J62" i="223" s="1"/>
  <c r="J72" i="223" s="1"/>
  <c r="B42" i="223"/>
  <c r="B48" i="223" s="1"/>
  <c r="B50" i="223" s="1"/>
  <c r="N38" i="223"/>
  <c r="N42" i="223" s="1"/>
  <c r="K61" i="223"/>
  <c r="K62" i="223" s="1"/>
  <c r="K72" i="223" s="1"/>
  <c r="D50" i="223"/>
  <c r="F48" i="223"/>
  <c r="F61" i="223" s="1"/>
  <c r="F62" i="223" s="1"/>
  <c r="F72" i="223" s="1"/>
  <c r="P16" i="223"/>
  <c r="J63" i="229" l="1"/>
  <c r="I73" i="229"/>
  <c r="I64" i="229"/>
  <c r="I74" i="229" s="1"/>
  <c r="G64" i="228"/>
  <c r="G74" i="228" s="1"/>
  <c r="H63" i="228"/>
  <c r="G73" i="228"/>
  <c r="H63" i="227"/>
  <c r="G73" i="227"/>
  <c r="G64" i="227"/>
  <c r="G74" i="227" s="1"/>
  <c r="B72" i="224"/>
  <c r="D73" i="226"/>
  <c r="D64" i="226"/>
  <c r="D74" i="226" s="1"/>
  <c r="E63" i="226"/>
  <c r="D73" i="225"/>
  <c r="D64" i="225"/>
  <c r="D74" i="225" s="1"/>
  <c r="E63" i="225"/>
  <c r="N28" i="224"/>
  <c r="C63" i="224"/>
  <c r="B73" i="224"/>
  <c r="B64" i="224"/>
  <c r="B74" i="224" s="1"/>
  <c r="C50" i="223"/>
  <c r="N48" i="223"/>
  <c r="N61" i="223" s="1"/>
  <c r="L50" i="223"/>
  <c r="H50" i="223"/>
  <c r="E61" i="223"/>
  <c r="E62" i="223" s="1"/>
  <c r="E72" i="223" s="1"/>
  <c r="I50" i="223"/>
  <c r="N13" i="223"/>
  <c r="N27" i="223"/>
  <c r="P27" i="223" s="1"/>
  <c r="F50" i="223"/>
  <c r="J50" i="223"/>
  <c r="B61" i="223"/>
  <c r="B62" i="223" s="1"/>
  <c r="J73" i="229" l="1"/>
  <c r="J64" i="229"/>
  <c r="J74" i="229" s="1"/>
  <c r="K63" i="229"/>
  <c r="I63" i="228"/>
  <c r="H73" i="228"/>
  <c r="H64" i="228"/>
  <c r="H74" i="228" s="1"/>
  <c r="I63" i="227"/>
  <c r="H73" i="227"/>
  <c r="H64" i="227"/>
  <c r="H74" i="227" s="1"/>
  <c r="E64" i="226"/>
  <c r="E74" i="226" s="1"/>
  <c r="F63" i="226"/>
  <c r="F64" i="226" s="1"/>
  <c r="E73" i="226"/>
  <c r="E64" i="225"/>
  <c r="E74" i="225" s="1"/>
  <c r="E73" i="225"/>
  <c r="F63" i="225"/>
  <c r="D63" i="224"/>
  <c r="C73" i="224"/>
  <c r="C64" i="224"/>
  <c r="C74" i="224" s="1"/>
  <c r="N62" i="223"/>
  <c r="N50" i="223"/>
  <c r="P50" i="223" s="1"/>
  <c r="P52" i="223" s="1"/>
  <c r="N28" i="223"/>
  <c r="B72" i="223"/>
  <c r="B63" i="223"/>
  <c r="L63" i="229" l="1"/>
  <c r="K73" i="229"/>
  <c r="K64" i="229"/>
  <c r="K74" i="229" s="1"/>
  <c r="J63" i="228"/>
  <c r="I73" i="228"/>
  <c r="I64" i="228"/>
  <c r="I74" i="228" s="1"/>
  <c r="J63" i="227"/>
  <c r="I73" i="227"/>
  <c r="I64" i="227"/>
  <c r="I74" i="227" s="1"/>
  <c r="G63" i="226"/>
  <c r="F73" i="226"/>
  <c r="F74" i="226"/>
  <c r="G63" i="225"/>
  <c r="F73" i="225"/>
  <c r="F64" i="225"/>
  <c r="F74" i="225" s="1"/>
  <c r="D73" i="224"/>
  <c r="D64" i="224"/>
  <c r="D74" i="224" s="1"/>
  <c r="E63" i="224"/>
  <c r="C63" i="223"/>
  <c r="B73" i="223"/>
  <c r="B64" i="223"/>
  <c r="B74" i="223" s="1"/>
  <c r="M63" i="229" l="1"/>
  <c r="L73" i="229"/>
  <c r="L64" i="229"/>
  <c r="L74" i="229" s="1"/>
  <c r="K63" i="228"/>
  <c r="J73" i="228"/>
  <c r="J64" i="228"/>
  <c r="J74" i="228" s="1"/>
  <c r="K63" i="227"/>
  <c r="J73" i="227"/>
  <c r="J64" i="227"/>
  <c r="J74" i="227" s="1"/>
  <c r="H63" i="226"/>
  <c r="G73" i="226"/>
  <c r="G64" i="226"/>
  <c r="G74" i="226" s="1"/>
  <c r="G64" i="225"/>
  <c r="G74" i="225" s="1"/>
  <c r="H63" i="225"/>
  <c r="G73" i="225"/>
  <c r="E64" i="224"/>
  <c r="E74" i="224" s="1"/>
  <c r="E73" i="224"/>
  <c r="F63" i="224"/>
  <c r="D63" i="223"/>
  <c r="C73" i="223"/>
  <c r="C64" i="223"/>
  <c r="C74" i="223" s="1"/>
  <c r="M73" i="229" l="1"/>
  <c r="M64" i="229"/>
  <c r="M74" i="229" s="1"/>
  <c r="L63" i="228"/>
  <c r="K73" i="228"/>
  <c r="K64" i="228"/>
  <c r="K74" i="228" s="1"/>
  <c r="L63" i="227"/>
  <c r="K73" i="227"/>
  <c r="K64" i="227"/>
  <c r="K74" i="227" s="1"/>
  <c r="I63" i="226"/>
  <c r="H73" i="226"/>
  <c r="H64" i="226"/>
  <c r="H74" i="226" s="1"/>
  <c r="I63" i="225"/>
  <c r="H73" i="225"/>
  <c r="H64" i="225"/>
  <c r="H74" i="225" s="1"/>
  <c r="G63" i="224"/>
  <c r="F73" i="224"/>
  <c r="F64" i="224"/>
  <c r="F74" i="224" s="1"/>
  <c r="D64" i="223"/>
  <c r="D74" i="223" s="1"/>
  <c r="E63" i="223"/>
  <c r="D73" i="223"/>
  <c r="M63" i="228" l="1"/>
  <c r="L73" i="228"/>
  <c r="L64" i="228"/>
  <c r="L74" i="228" s="1"/>
  <c r="M63" i="227"/>
  <c r="L73" i="227"/>
  <c r="L64" i="227"/>
  <c r="L74" i="227" s="1"/>
  <c r="J63" i="226"/>
  <c r="I73" i="226"/>
  <c r="I64" i="226"/>
  <c r="I74" i="226" s="1"/>
  <c r="I64" i="225"/>
  <c r="I74" i="225" s="1"/>
  <c r="I73" i="225"/>
  <c r="J63" i="225"/>
  <c r="H63" i="224"/>
  <c r="G73" i="224"/>
  <c r="G64" i="224"/>
  <c r="G74" i="224" s="1"/>
  <c r="F63" i="223"/>
  <c r="E73" i="223"/>
  <c r="E64" i="223"/>
  <c r="E74" i="223" s="1"/>
  <c r="M73" i="228" l="1"/>
  <c r="M64" i="228"/>
  <c r="M74" i="228" s="1"/>
  <c r="M73" i="227"/>
  <c r="M64" i="227"/>
  <c r="M74" i="227" s="1"/>
  <c r="K63" i="226"/>
  <c r="J73" i="226"/>
  <c r="J64" i="226"/>
  <c r="J74" i="226" s="1"/>
  <c r="K63" i="225"/>
  <c r="J73" i="225"/>
  <c r="J64" i="225"/>
  <c r="J74" i="225" s="1"/>
  <c r="I63" i="224"/>
  <c r="H73" i="224"/>
  <c r="H64" i="224"/>
  <c r="H74" i="224" s="1"/>
  <c r="G63" i="223"/>
  <c r="F73" i="223"/>
  <c r="F64" i="223"/>
  <c r="F74" i="223" s="1"/>
  <c r="F85" i="222"/>
  <c r="F84" i="222"/>
  <c r="N73" i="222"/>
  <c r="B68" i="222"/>
  <c r="C68" i="222" s="1"/>
  <c r="D68" i="222" s="1"/>
  <c r="E68" i="222" s="1"/>
  <c r="F68" i="222" s="1"/>
  <c r="G68" i="222" s="1"/>
  <c r="H68" i="222" s="1"/>
  <c r="I68" i="222" s="1"/>
  <c r="J68" i="222" s="1"/>
  <c r="K68" i="222" s="1"/>
  <c r="L68" i="222" s="1"/>
  <c r="M68" i="222" s="1"/>
  <c r="M58" i="222"/>
  <c r="L58" i="222"/>
  <c r="K58" i="222"/>
  <c r="J58" i="222"/>
  <c r="I58" i="222"/>
  <c r="H58" i="222"/>
  <c r="G58" i="222"/>
  <c r="F58" i="222"/>
  <c r="E58" i="222"/>
  <c r="D58" i="222"/>
  <c r="C58" i="222"/>
  <c r="B58" i="222"/>
  <c r="N57" i="222"/>
  <c r="N56" i="222"/>
  <c r="N55" i="222"/>
  <c r="N54" i="222"/>
  <c r="N53" i="222"/>
  <c r="M46" i="222"/>
  <c r="L46" i="222"/>
  <c r="K46" i="222"/>
  <c r="J46" i="222"/>
  <c r="I46" i="222"/>
  <c r="H46" i="222"/>
  <c r="G46" i="222"/>
  <c r="F46" i="222"/>
  <c r="E46" i="222"/>
  <c r="D46" i="222"/>
  <c r="C46" i="222"/>
  <c r="B46" i="222"/>
  <c r="N45" i="222"/>
  <c r="N44" i="222"/>
  <c r="N46" i="222" s="1"/>
  <c r="N41" i="222"/>
  <c r="N40" i="222"/>
  <c r="N39" i="222"/>
  <c r="N37" i="222"/>
  <c r="M34" i="222"/>
  <c r="M38" i="222" s="1"/>
  <c r="M42" i="222" s="1"/>
  <c r="L34" i="222"/>
  <c r="L38" i="222" s="1"/>
  <c r="L42" i="222" s="1"/>
  <c r="K34" i="222"/>
  <c r="K38" i="222" s="1"/>
  <c r="K42" i="222" s="1"/>
  <c r="J34" i="222"/>
  <c r="J38" i="222" s="1"/>
  <c r="J42" i="222" s="1"/>
  <c r="I34" i="222"/>
  <c r="I38" i="222" s="1"/>
  <c r="I42" i="222" s="1"/>
  <c r="H34" i="222"/>
  <c r="H38" i="222" s="1"/>
  <c r="H42" i="222" s="1"/>
  <c r="G34" i="222"/>
  <c r="G38" i="222" s="1"/>
  <c r="G42" i="222" s="1"/>
  <c r="F34" i="222"/>
  <c r="F38" i="222" s="1"/>
  <c r="F42" i="222" s="1"/>
  <c r="E34" i="222"/>
  <c r="E38" i="222" s="1"/>
  <c r="E42" i="222" s="1"/>
  <c r="D34" i="222"/>
  <c r="D38" i="222" s="1"/>
  <c r="D42" i="222" s="1"/>
  <c r="C34" i="222"/>
  <c r="C38" i="222" s="1"/>
  <c r="C42" i="222" s="1"/>
  <c r="B34" i="222"/>
  <c r="B38" i="222" s="1"/>
  <c r="B42" i="222" s="1"/>
  <c r="N33" i="222"/>
  <c r="N32" i="222"/>
  <c r="N31" i="222"/>
  <c r="N30" i="222"/>
  <c r="M26" i="222"/>
  <c r="L26" i="222"/>
  <c r="K26" i="222"/>
  <c r="J26" i="222"/>
  <c r="I26" i="222"/>
  <c r="H26" i="222"/>
  <c r="G26" i="222"/>
  <c r="F26" i="222"/>
  <c r="E26" i="222"/>
  <c r="D26" i="222"/>
  <c r="C26" i="222"/>
  <c r="B26" i="222"/>
  <c r="M25" i="222"/>
  <c r="L25" i="222"/>
  <c r="K25" i="222"/>
  <c r="J25" i="222"/>
  <c r="I25" i="222"/>
  <c r="H25" i="222"/>
  <c r="G25" i="222"/>
  <c r="F25" i="222"/>
  <c r="E25" i="222"/>
  <c r="D25" i="222"/>
  <c r="C25" i="222"/>
  <c r="B25" i="222"/>
  <c r="M24" i="222"/>
  <c r="L24" i="222"/>
  <c r="K24" i="222"/>
  <c r="J24" i="222"/>
  <c r="I24" i="222"/>
  <c r="H24" i="222"/>
  <c r="G24" i="222"/>
  <c r="F24" i="222"/>
  <c r="E24" i="222"/>
  <c r="D24" i="222"/>
  <c r="C24" i="222"/>
  <c r="B24" i="222"/>
  <c r="M23" i="222"/>
  <c r="M27" i="222" s="1"/>
  <c r="L23" i="222"/>
  <c r="L27" i="222" s="1"/>
  <c r="K23" i="222"/>
  <c r="K27" i="222" s="1"/>
  <c r="J23" i="222"/>
  <c r="I23" i="222"/>
  <c r="I27" i="222" s="1"/>
  <c r="H23" i="222"/>
  <c r="H27" i="222" s="1"/>
  <c r="G23" i="222"/>
  <c r="G27" i="222" s="1"/>
  <c r="F23" i="222"/>
  <c r="F27" i="222" s="1"/>
  <c r="E23" i="222"/>
  <c r="E27" i="222" s="1"/>
  <c r="D23" i="222"/>
  <c r="D27" i="222" s="1"/>
  <c r="C23" i="222"/>
  <c r="C27" i="222" s="1"/>
  <c r="B23" i="222"/>
  <c r="M20" i="222"/>
  <c r="L20" i="222"/>
  <c r="K20" i="222"/>
  <c r="J20" i="222"/>
  <c r="I20" i="222"/>
  <c r="H20" i="222"/>
  <c r="G20" i="222"/>
  <c r="F20" i="222"/>
  <c r="E20" i="222"/>
  <c r="D20" i="222"/>
  <c r="C20" i="222"/>
  <c r="B20" i="222"/>
  <c r="N19" i="222"/>
  <c r="N17" i="222"/>
  <c r="N16" i="222"/>
  <c r="P16" i="222" s="1"/>
  <c r="N11" i="222"/>
  <c r="M9" i="222"/>
  <c r="M13" i="222" s="1"/>
  <c r="L9" i="222"/>
  <c r="L13" i="222" s="1"/>
  <c r="K9" i="222"/>
  <c r="K13" i="222" s="1"/>
  <c r="J9" i="222"/>
  <c r="J13" i="222" s="1"/>
  <c r="I9" i="222"/>
  <c r="I13" i="222" s="1"/>
  <c r="H9" i="222"/>
  <c r="H13" i="222" s="1"/>
  <c r="G9" i="222"/>
  <c r="G13" i="222" s="1"/>
  <c r="F9" i="222"/>
  <c r="F13" i="222" s="1"/>
  <c r="E9" i="222"/>
  <c r="E13" i="222" s="1"/>
  <c r="D9" i="222"/>
  <c r="D13" i="222" s="1"/>
  <c r="C9" i="222"/>
  <c r="C13" i="222" s="1"/>
  <c r="B9" i="222"/>
  <c r="B13" i="222" s="1"/>
  <c r="N8" i="222"/>
  <c r="N7" i="222"/>
  <c r="N6" i="222"/>
  <c r="N5" i="222"/>
  <c r="N4" i="222"/>
  <c r="C48" i="222" l="1"/>
  <c r="L63" i="226"/>
  <c r="K73" i="226"/>
  <c r="K64" i="226"/>
  <c r="K74" i="226" s="1"/>
  <c r="L63" i="225"/>
  <c r="K73" i="225"/>
  <c r="K64" i="225"/>
  <c r="K74" i="225" s="1"/>
  <c r="J63" i="224"/>
  <c r="I73" i="224"/>
  <c r="I64" i="224"/>
  <c r="I74" i="224" s="1"/>
  <c r="H63" i="223"/>
  <c r="G73" i="223"/>
  <c r="G64" i="223"/>
  <c r="G74" i="223" s="1"/>
  <c r="K48" i="222"/>
  <c r="K61" i="222" s="1"/>
  <c r="K62" i="222" s="1"/>
  <c r="K72" i="222" s="1"/>
  <c r="C61" i="222"/>
  <c r="J27" i="222"/>
  <c r="J28" i="222" s="1"/>
  <c r="G48" i="222"/>
  <c r="G61" i="222" s="1"/>
  <c r="N34" i="222"/>
  <c r="N24" i="222"/>
  <c r="N25" i="222"/>
  <c r="N26" i="222"/>
  <c r="F28" i="222"/>
  <c r="P41" i="222"/>
  <c r="B27" i="222"/>
  <c r="B28" i="222" s="1"/>
  <c r="F48" i="222"/>
  <c r="F50" i="222" s="1"/>
  <c r="J48" i="222"/>
  <c r="N9" i="222"/>
  <c r="P9" i="222" s="1"/>
  <c r="C28" i="222"/>
  <c r="G28" i="222"/>
  <c r="K28" i="222"/>
  <c r="D48" i="222"/>
  <c r="D61" i="222" s="1"/>
  <c r="D62" i="222" s="1"/>
  <c r="D72" i="222" s="1"/>
  <c r="H48" i="222"/>
  <c r="H61" i="222" s="1"/>
  <c r="H62" i="222" s="1"/>
  <c r="H72" i="222" s="1"/>
  <c r="L48" i="222"/>
  <c r="L61" i="222" s="1"/>
  <c r="L62" i="222" s="1"/>
  <c r="L72" i="222" s="1"/>
  <c r="D28" i="222"/>
  <c r="H28" i="222"/>
  <c r="L28" i="222"/>
  <c r="B48" i="222"/>
  <c r="B50" i="222" s="1"/>
  <c r="E28" i="222"/>
  <c r="I28" i="222"/>
  <c r="M28" i="222"/>
  <c r="E48" i="222"/>
  <c r="E61" i="222" s="1"/>
  <c r="E62" i="222" s="1"/>
  <c r="E72" i="222" s="1"/>
  <c r="I48" i="222"/>
  <c r="I50" i="222" s="1"/>
  <c r="M48" i="222"/>
  <c r="M50" i="222" s="1"/>
  <c r="N58" i="222"/>
  <c r="J61" i="222"/>
  <c r="J62" i="222" s="1"/>
  <c r="J72" i="222" s="1"/>
  <c r="J50" i="222"/>
  <c r="G50" i="222"/>
  <c r="G62" i="222"/>
  <c r="G72" i="222" s="1"/>
  <c r="C50" i="222"/>
  <c r="C62" i="222"/>
  <c r="C72" i="222" s="1"/>
  <c r="D50" i="222"/>
  <c r="I61" i="222"/>
  <c r="I62" i="222" s="1"/>
  <c r="I72" i="222" s="1"/>
  <c r="N38" i="222"/>
  <c r="N42" i="222" s="1"/>
  <c r="N20" i="222"/>
  <c r="N23" i="222"/>
  <c r="N27" i="222" s="1"/>
  <c r="F85" i="221"/>
  <c r="F84" i="221"/>
  <c r="N73" i="221"/>
  <c r="B68" i="221"/>
  <c r="C68" i="221" s="1"/>
  <c r="D68" i="221" s="1"/>
  <c r="E68" i="221" s="1"/>
  <c r="F68" i="221" s="1"/>
  <c r="G68" i="221" s="1"/>
  <c r="H68" i="221" s="1"/>
  <c r="I68" i="221" s="1"/>
  <c r="J68" i="221" s="1"/>
  <c r="K68" i="221" s="1"/>
  <c r="L68" i="221" s="1"/>
  <c r="M68" i="221" s="1"/>
  <c r="M58" i="221"/>
  <c r="L58" i="221"/>
  <c r="K58" i="221"/>
  <c r="J58" i="221"/>
  <c r="I58" i="221"/>
  <c r="H58" i="221"/>
  <c r="G58" i="221"/>
  <c r="F58" i="221"/>
  <c r="E58" i="221"/>
  <c r="D58" i="221"/>
  <c r="C58" i="221"/>
  <c r="B58" i="221"/>
  <c r="N57" i="221"/>
  <c r="N56" i="221"/>
  <c r="N55" i="221"/>
  <c r="N54" i="221"/>
  <c r="N53" i="221"/>
  <c r="M46" i="221"/>
  <c r="L46" i="221"/>
  <c r="K46" i="221"/>
  <c r="J46" i="221"/>
  <c r="I46" i="221"/>
  <c r="H46" i="221"/>
  <c r="G46" i="221"/>
  <c r="F46" i="221"/>
  <c r="E46" i="221"/>
  <c r="D46" i="221"/>
  <c r="C46" i="221"/>
  <c r="B46" i="221"/>
  <c r="N45" i="221"/>
  <c r="N44" i="221"/>
  <c r="N41" i="221"/>
  <c r="N40" i="221"/>
  <c r="N39" i="221"/>
  <c r="N37" i="221"/>
  <c r="M34" i="221"/>
  <c r="M38" i="221" s="1"/>
  <c r="M42" i="221" s="1"/>
  <c r="L34" i="221"/>
  <c r="L38" i="221" s="1"/>
  <c r="L42" i="221" s="1"/>
  <c r="K34" i="221"/>
  <c r="K38" i="221" s="1"/>
  <c r="K42" i="221" s="1"/>
  <c r="J34" i="221"/>
  <c r="J38" i="221" s="1"/>
  <c r="J42" i="221" s="1"/>
  <c r="I34" i="221"/>
  <c r="I38" i="221" s="1"/>
  <c r="I42" i="221" s="1"/>
  <c r="H34" i="221"/>
  <c r="H38" i="221" s="1"/>
  <c r="H42" i="221" s="1"/>
  <c r="G34" i="221"/>
  <c r="G38" i="221" s="1"/>
  <c r="G42" i="221" s="1"/>
  <c r="F34" i="221"/>
  <c r="F38" i="221" s="1"/>
  <c r="F42" i="221" s="1"/>
  <c r="E34" i="221"/>
  <c r="E38" i="221" s="1"/>
  <c r="E42" i="221" s="1"/>
  <c r="D34" i="221"/>
  <c r="D38" i="221" s="1"/>
  <c r="D42" i="221" s="1"/>
  <c r="C34" i="221"/>
  <c r="C38" i="221" s="1"/>
  <c r="C42" i="221" s="1"/>
  <c r="B34" i="221"/>
  <c r="B38" i="221" s="1"/>
  <c r="N33" i="221"/>
  <c r="N32" i="221"/>
  <c r="N31" i="221"/>
  <c r="N30" i="221"/>
  <c r="M26" i="221"/>
  <c r="L26" i="221"/>
  <c r="K26" i="221"/>
  <c r="J26" i="221"/>
  <c r="I26" i="221"/>
  <c r="H26" i="221"/>
  <c r="G26" i="221"/>
  <c r="F26" i="221"/>
  <c r="E26" i="221"/>
  <c r="D26" i="221"/>
  <c r="C26" i="221"/>
  <c r="B26" i="221"/>
  <c r="M25" i="221"/>
  <c r="L25" i="221"/>
  <c r="K25" i="221"/>
  <c r="J25" i="221"/>
  <c r="I25" i="221"/>
  <c r="H25" i="221"/>
  <c r="G25" i="221"/>
  <c r="F25" i="221"/>
  <c r="E25" i="221"/>
  <c r="D25" i="221"/>
  <c r="C25" i="221"/>
  <c r="B25" i="221"/>
  <c r="M24" i="221"/>
  <c r="L24" i="221"/>
  <c r="K24" i="221"/>
  <c r="J24" i="221"/>
  <c r="I24" i="221"/>
  <c r="H24" i="221"/>
  <c r="G24" i="221"/>
  <c r="F24" i="221"/>
  <c r="E24" i="221"/>
  <c r="D24" i="221"/>
  <c r="C24" i="221"/>
  <c r="B24" i="221"/>
  <c r="M23" i="221"/>
  <c r="L23" i="221"/>
  <c r="K23" i="221"/>
  <c r="K27" i="221" s="1"/>
  <c r="J23" i="221"/>
  <c r="J27" i="221" s="1"/>
  <c r="I23" i="221"/>
  <c r="I27" i="221" s="1"/>
  <c r="H23" i="221"/>
  <c r="G23" i="221"/>
  <c r="F23" i="221"/>
  <c r="E23" i="221"/>
  <c r="D23" i="221"/>
  <c r="C23" i="221"/>
  <c r="C27" i="221" s="1"/>
  <c r="B23" i="221"/>
  <c r="B27" i="221" s="1"/>
  <c r="M20" i="221"/>
  <c r="L20" i="221"/>
  <c r="K20" i="221"/>
  <c r="J20" i="221"/>
  <c r="I20" i="221"/>
  <c r="H20" i="221"/>
  <c r="G20" i="221"/>
  <c r="F20" i="221"/>
  <c r="E20" i="221"/>
  <c r="D20" i="221"/>
  <c r="C20" i="221"/>
  <c r="B20" i="221"/>
  <c r="N19" i="221"/>
  <c r="N17" i="221"/>
  <c r="N16" i="221"/>
  <c r="P16" i="221" s="1"/>
  <c r="N11" i="221"/>
  <c r="M9" i="221"/>
  <c r="M13" i="221" s="1"/>
  <c r="L9" i="221"/>
  <c r="L13" i="221" s="1"/>
  <c r="K9" i="221"/>
  <c r="K13" i="221" s="1"/>
  <c r="J9" i="221"/>
  <c r="J13" i="221" s="1"/>
  <c r="I9" i="221"/>
  <c r="I13" i="221" s="1"/>
  <c r="H9" i="221"/>
  <c r="H13" i="221" s="1"/>
  <c r="G9" i="221"/>
  <c r="G13" i="221" s="1"/>
  <c r="F9" i="221"/>
  <c r="F13" i="221" s="1"/>
  <c r="E9" i="221"/>
  <c r="E13" i="221" s="1"/>
  <c r="D9" i="221"/>
  <c r="D13" i="221" s="1"/>
  <c r="C9" i="221"/>
  <c r="C13" i="221" s="1"/>
  <c r="B9" i="221"/>
  <c r="B13" i="221" s="1"/>
  <c r="N8" i="221"/>
  <c r="N7" i="221"/>
  <c r="N6" i="221"/>
  <c r="N5" i="221"/>
  <c r="N4" i="221"/>
  <c r="P41" i="221" l="1"/>
  <c r="M63" i="226"/>
  <c r="L73" i="226"/>
  <c r="L64" i="226"/>
  <c r="L74" i="226" s="1"/>
  <c r="M63" i="225"/>
  <c r="L73" i="225"/>
  <c r="L64" i="225"/>
  <c r="L74" i="225" s="1"/>
  <c r="K63" i="224"/>
  <c r="J73" i="224"/>
  <c r="J64" i="224"/>
  <c r="J74" i="224" s="1"/>
  <c r="I63" i="223"/>
  <c r="H73" i="223"/>
  <c r="H64" i="223"/>
  <c r="H74" i="223" s="1"/>
  <c r="B61" i="222"/>
  <c r="B62" i="222" s="1"/>
  <c r="B72" i="222" s="1"/>
  <c r="L50" i="222"/>
  <c r="K50" i="222"/>
  <c r="N50" i="222" s="1"/>
  <c r="P50" i="222" s="1"/>
  <c r="P52" i="222" s="1"/>
  <c r="N13" i="222"/>
  <c r="M61" i="222"/>
  <c r="M62" i="222" s="1"/>
  <c r="M72" i="222" s="1"/>
  <c r="F61" i="222"/>
  <c r="F62" i="222" s="1"/>
  <c r="F72" i="222" s="1"/>
  <c r="E50" i="222"/>
  <c r="H50" i="222"/>
  <c r="N48" i="222"/>
  <c r="N61" i="222" s="1"/>
  <c r="N62" i="222" s="1"/>
  <c r="P27" i="222"/>
  <c r="N28" i="222"/>
  <c r="G48" i="221"/>
  <c r="G61" i="221" s="1"/>
  <c r="G62" i="221" s="1"/>
  <c r="G72" i="221" s="1"/>
  <c r="L27" i="221"/>
  <c r="D27" i="221"/>
  <c r="D28" i="221" s="1"/>
  <c r="G27" i="221"/>
  <c r="G28" i="221" s="1"/>
  <c r="I28" i="221"/>
  <c r="N20" i="221"/>
  <c r="E27" i="221"/>
  <c r="E28" i="221" s="1"/>
  <c r="F27" i="221"/>
  <c r="F28" i="221" s="1"/>
  <c r="M27" i="221"/>
  <c r="C48" i="221"/>
  <c r="C61" i="221" s="1"/>
  <c r="C62" i="221" s="1"/>
  <c r="C72" i="221" s="1"/>
  <c r="K48" i="221"/>
  <c r="K61" i="221" s="1"/>
  <c r="K62" i="221" s="1"/>
  <c r="K72" i="221" s="1"/>
  <c r="H27" i="221"/>
  <c r="H28" i="221" s="1"/>
  <c r="M48" i="221"/>
  <c r="M61" i="221" s="1"/>
  <c r="M62" i="221" s="1"/>
  <c r="M72" i="221" s="1"/>
  <c r="E48" i="221"/>
  <c r="E61" i="221" s="1"/>
  <c r="E62" i="221" s="1"/>
  <c r="E72" i="221" s="1"/>
  <c r="L28" i="221"/>
  <c r="J48" i="221"/>
  <c r="J50" i="221" s="1"/>
  <c r="M28" i="221"/>
  <c r="B28" i="221"/>
  <c r="J28" i="221"/>
  <c r="N26" i="221"/>
  <c r="C28" i="221"/>
  <c r="K28" i="221"/>
  <c r="D48" i="221"/>
  <c r="D61" i="221" s="1"/>
  <c r="D62" i="221" s="1"/>
  <c r="D72" i="221" s="1"/>
  <c r="H48" i="221"/>
  <c r="H61" i="221" s="1"/>
  <c r="H62" i="221" s="1"/>
  <c r="H72" i="221" s="1"/>
  <c r="L48" i="221"/>
  <c r="L50" i="221" s="1"/>
  <c r="N58" i="221"/>
  <c r="I48" i="221"/>
  <c r="I50" i="221" s="1"/>
  <c r="F48" i="221"/>
  <c r="F61" i="221" s="1"/>
  <c r="F62" i="221" s="1"/>
  <c r="F72" i="221" s="1"/>
  <c r="N34" i="221"/>
  <c r="N9" i="221"/>
  <c r="N24" i="221"/>
  <c r="N25" i="221"/>
  <c r="N38" i="221"/>
  <c r="N42" i="221" s="1"/>
  <c r="N46" i="221"/>
  <c r="N23" i="221"/>
  <c r="B42" i="221"/>
  <c r="B48" i="221" s="1"/>
  <c r="F85" i="220"/>
  <c r="F84" i="220"/>
  <c r="N73" i="220"/>
  <c r="B68" i="220"/>
  <c r="C68" i="220" s="1"/>
  <c r="D68" i="220" s="1"/>
  <c r="E68" i="220" s="1"/>
  <c r="F68" i="220" s="1"/>
  <c r="G68" i="220" s="1"/>
  <c r="H68" i="220" s="1"/>
  <c r="I68" i="220" s="1"/>
  <c r="J68" i="220" s="1"/>
  <c r="K68" i="220" s="1"/>
  <c r="L68" i="220" s="1"/>
  <c r="M68" i="220" s="1"/>
  <c r="M58" i="220"/>
  <c r="L58" i="220"/>
  <c r="K58" i="220"/>
  <c r="J58" i="220"/>
  <c r="I58" i="220"/>
  <c r="H58" i="220"/>
  <c r="G58" i="220"/>
  <c r="F58" i="220"/>
  <c r="E58" i="220"/>
  <c r="D58" i="220"/>
  <c r="C58" i="220"/>
  <c r="B58" i="220"/>
  <c r="N57" i="220"/>
  <c r="N56" i="220"/>
  <c r="N55" i="220"/>
  <c r="N54" i="220"/>
  <c r="N53" i="220"/>
  <c r="L46" i="220"/>
  <c r="K46" i="220"/>
  <c r="J46" i="220"/>
  <c r="I46" i="220"/>
  <c r="H46" i="220"/>
  <c r="G46" i="220"/>
  <c r="F46" i="220"/>
  <c r="E46" i="220"/>
  <c r="D46" i="220"/>
  <c r="C46" i="220"/>
  <c r="B46" i="220"/>
  <c r="N45" i="220"/>
  <c r="M44" i="220"/>
  <c r="M46" i="220" s="1"/>
  <c r="N41" i="220"/>
  <c r="N40" i="220"/>
  <c r="N39" i="220"/>
  <c r="N37" i="220"/>
  <c r="M34" i="220"/>
  <c r="M38" i="220" s="1"/>
  <c r="M42" i="220" s="1"/>
  <c r="L34" i="220"/>
  <c r="L38" i="220" s="1"/>
  <c r="L42" i="220" s="1"/>
  <c r="K34" i="220"/>
  <c r="K38" i="220" s="1"/>
  <c r="K42" i="220" s="1"/>
  <c r="J34" i="220"/>
  <c r="J38" i="220" s="1"/>
  <c r="J42" i="220" s="1"/>
  <c r="I34" i="220"/>
  <c r="I38" i="220" s="1"/>
  <c r="I42" i="220" s="1"/>
  <c r="H34" i="220"/>
  <c r="H38" i="220" s="1"/>
  <c r="H42" i="220" s="1"/>
  <c r="G34" i="220"/>
  <c r="G38" i="220" s="1"/>
  <c r="G42" i="220" s="1"/>
  <c r="F34" i="220"/>
  <c r="F38" i="220" s="1"/>
  <c r="F42" i="220" s="1"/>
  <c r="E34" i="220"/>
  <c r="E38" i="220" s="1"/>
  <c r="E42" i="220" s="1"/>
  <c r="D34" i="220"/>
  <c r="D38" i="220" s="1"/>
  <c r="D42" i="220" s="1"/>
  <c r="C34" i="220"/>
  <c r="C38" i="220" s="1"/>
  <c r="C42" i="220" s="1"/>
  <c r="B34" i="220"/>
  <c r="B38" i="220" s="1"/>
  <c r="N33" i="220"/>
  <c r="N32" i="220"/>
  <c r="N31" i="220"/>
  <c r="N30" i="220"/>
  <c r="M26" i="220"/>
  <c r="L26" i="220"/>
  <c r="K26" i="220"/>
  <c r="J26" i="220"/>
  <c r="I26" i="220"/>
  <c r="H26" i="220"/>
  <c r="G26" i="220"/>
  <c r="F26" i="220"/>
  <c r="E26" i="220"/>
  <c r="D26" i="220"/>
  <c r="C26" i="220"/>
  <c r="B26" i="220"/>
  <c r="M25" i="220"/>
  <c r="L25" i="220"/>
  <c r="K25" i="220"/>
  <c r="J25" i="220"/>
  <c r="I25" i="220"/>
  <c r="H25" i="220"/>
  <c r="G25" i="220"/>
  <c r="F25" i="220"/>
  <c r="E25" i="220"/>
  <c r="D25" i="220"/>
  <c r="C25" i="220"/>
  <c r="B25" i="220"/>
  <c r="M24" i="220"/>
  <c r="L24" i="220"/>
  <c r="K24" i="220"/>
  <c r="J24" i="220"/>
  <c r="I24" i="220"/>
  <c r="H24" i="220"/>
  <c r="G24" i="220"/>
  <c r="F24" i="220"/>
  <c r="E24" i="220"/>
  <c r="D24" i="220"/>
  <c r="C24" i="220"/>
  <c r="B24" i="220"/>
  <c r="M23" i="220"/>
  <c r="M27" i="220" s="1"/>
  <c r="L23" i="220"/>
  <c r="L27" i="220" s="1"/>
  <c r="K23" i="220"/>
  <c r="J23" i="220"/>
  <c r="J27" i="220" s="1"/>
  <c r="I23" i="220"/>
  <c r="I27" i="220" s="1"/>
  <c r="H23" i="220"/>
  <c r="H27" i="220" s="1"/>
  <c r="G23" i="220"/>
  <c r="G27" i="220" s="1"/>
  <c r="F23" i="220"/>
  <c r="F27" i="220" s="1"/>
  <c r="E23" i="220"/>
  <c r="E27" i="220" s="1"/>
  <c r="D23" i="220"/>
  <c r="D27" i="220" s="1"/>
  <c r="C23" i="220"/>
  <c r="C27" i="220" s="1"/>
  <c r="B23" i="220"/>
  <c r="B27" i="220" s="1"/>
  <c r="M20" i="220"/>
  <c r="M48" i="220" s="1"/>
  <c r="L20" i="220"/>
  <c r="L48" i="220" s="1"/>
  <c r="K20" i="220"/>
  <c r="J20" i="220"/>
  <c r="I20" i="220"/>
  <c r="H20" i="220"/>
  <c r="H48" i="220" s="1"/>
  <c r="G20" i="220"/>
  <c r="F20" i="220"/>
  <c r="E20" i="220"/>
  <c r="D20" i="220"/>
  <c r="C20" i="220"/>
  <c r="B20" i="220"/>
  <c r="N19" i="220"/>
  <c r="N17" i="220"/>
  <c r="N16" i="220"/>
  <c r="N11" i="220"/>
  <c r="M9" i="220"/>
  <c r="M13" i="220" s="1"/>
  <c r="L9" i="220"/>
  <c r="L13" i="220" s="1"/>
  <c r="K9" i="220"/>
  <c r="K13" i="220" s="1"/>
  <c r="J9" i="220"/>
  <c r="J13" i="220" s="1"/>
  <c r="I9" i="220"/>
  <c r="I13" i="220" s="1"/>
  <c r="H9" i="220"/>
  <c r="H13" i="220" s="1"/>
  <c r="G9" i="220"/>
  <c r="G13" i="220" s="1"/>
  <c r="F9" i="220"/>
  <c r="F13" i="220" s="1"/>
  <c r="E9" i="220"/>
  <c r="E13" i="220" s="1"/>
  <c r="D9" i="220"/>
  <c r="D13" i="220" s="1"/>
  <c r="C9" i="220"/>
  <c r="C13" i="220" s="1"/>
  <c r="B9" i="220"/>
  <c r="B13" i="220" s="1"/>
  <c r="N8" i="220"/>
  <c r="N7" i="220"/>
  <c r="N6" i="220"/>
  <c r="N5" i="220"/>
  <c r="N4" i="220"/>
  <c r="M73" i="226" l="1"/>
  <c r="M64" i="226"/>
  <c r="M74" i="226" s="1"/>
  <c r="M73" i="225"/>
  <c r="M64" i="225"/>
  <c r="M74" i="225" s="1"/>
  <c r="L63" i="224"/>
  <c r="K73" i="224"/>
  <c r="K64" i="224"/>
  <c r="K74" i="224" s="1"/>
  <c r="J63" i="223"/>
  <c r="I73" i="223"/>
  <c r="I64" i="223"/>
  <c r="I74" i="223" s="1"/>
  <c r="B63" i="222"/>
  <c r="B64" i="222" s="1"/>
  <c r="B74" i="222" s="1"/>
  <c r="C63" i="222"/>
  <c r="D28" i="220"/>
  <c r="H28" i="220"/>
  <c r="L28" i="220"/>
  <c r="N13" i="221"/>
  <c r="P9" i="221"/>
  <c r="M50" i="221"/>
  <c r="G50" i="221"/>
  <c r="H50" i="221"/>
  <c r="C50" i="221"/>
  <c r="K50" i="221"/>
  <c r="E50" i="221"/>
  <c r="D48" i="220"/>
  <c r="E48" i="220"/>
  <c r="I48" i="220"/>
  <c r="L61" i="221"/>
  <c r="L62" i="221" s="1"/>
  <c r="L72" i="221" s="1"/>
  <c r="N48" i="221"/>
  <c r="N61" i="221" s="1"/>
  <c r="N62" i="221" s="1"/>
  <c r="D50" i="221"/>
  <c r="J61" i="221"/>
  <c r="J62" i="221" s="1"/>
  <c r="J72" i="221" s="1"/>
  <c r="B50" i="221"/>
  <c r="B61" i="221"/>
  <c r="B62" i="221" s="1"/>
  <c r="N27" i="221"/>
  <c r="F50" i="221"/>
  <c r="I61" i="221"/>
  <c r="I62" i="221" s="1"/>
  <c r="I72" i="221" s="1"/>
  <c r="D50" i="220"/>
  <c r="K27" i="220"/>
  <c r="E28" i="220"/>
  <c r="I28" i="220"/>
  <c r="M28" i="220"/>
  <c r="B28" i="220"/>
  <c r="F28" i="220"/>
  <c r="J28" i="220"/>
  <c r="N24" i="220"/>
  <c r="N25" i="220"/>
  <c r="N26" i="220"/>
  <c r="N34" i="220"/>
  <c r="F48" i="220"/>
  <c r="F61" i="220" s="1"/>
  <c r="F62" i="220" s="1"/>
  <c r="F72" i="220" s="1"/>
  <c r="J48" i="220"/>
  <c r="J61" i="220" s="1"/>
  <c r="J62" i="220" s="1"/>
  <c r="J72" i="220" s="1"/>
  <c r="N58" i="220"/>
  <c r="N9" i="220"/>
  <c r="N13" i="220" s="1"/>
  <c r="N20" i="220"/>
  <c r="C48" i="220"/>
  <c r="C61" i="220" s="1"/>
  <c r="C28" i="220"/>
  <c r="G28" i="220"/>
  <c r="K28" i="220"/>
  <c r="C62" i="220"/>
  <c r="C72" i="220" s="1"/>
  <c r="H50" i="220"/>
  <c r="E50" i="220"/>
  <c r="I50" i="220"/>
  <c r="M50" i="220"/>
  <c r="L50" i="220"/>
  <c r="B42" i="220"/>
  <c r="B48" i="220" s="1"/>
  <c r="B50" i="220" s="1"/>
  <c r="N38" i="220"/>
  <c r="N42" i="220" s="1"/>
  <c r="D61" i="220"/>
  <c r="D62" i="220" s="1"/>
  <c r="D72" i="220" s="1"/>
  <c r="H61" i="220"/>
  <c r="H62" i="220" s="1"/>
  <c r="H72" i="220" s="1"/>
  <c r="L61" i="220"/>
  <c r="L62" i="220" s="1"/>
  <c r="L72" i="220" s="1"/>
  <c r="F50" i="220"/>
  <c r="J50" i="220"/>
  <c r="G48" i="220"/>
  <c r="G61" i="220" s="1"/>
  <c r="G62" i="220" s="1"/>
  <c r="G72" i="220" s="1"/>
  <c r="K48" i="220"/>
  <c r="K61" i="220" s="1"/>
  <c r="K62" i="220" s="1"/>
  <c r="K72" i="220" s="1"/>
  <c r="E61" i="220"/>
  <c r="E62" i="220" s="1"/>
  <c r="E72" i="220" s="1"/>
  <c r="I61" i="220"/>
  <c r="I62" i="220" s="1"/>
  <c r="I72" i="220" s="1"/>
  <c r="M61" i="220"/>
  <c r="M62" i="220" s="1"/>
  <c r="M72" i="220" s="1"/>
  <c r="N44" i="220"/>
  <c r="N46" i="220" s="1"/>
  <c r="N23" i="220"/>
  <c r="F85" i="219"/>
  <c r="F84" i="219"/>
  <c r="N73" i="219"/>
  <c r="B68" i="219"/>
  <c r="C68" i="219" s="1"/>
  <c r="D68" i="219" s="1"/>
  <c r="E68" i="219" s="1"/>
  <c r="F68" i="219" s="1"/>
  <c r="G68" i="219" s="1"/>
  <c r="H68" i="219" s="1"/>
  <c r="I68" i="219" s="1"/>
  <c r="J68" i="219" s="1"/>
  <c r="K68" i="219" s="1"/>
  <c r="L68" i="219" s="1"/>
  <c r="M68" i="219" s="1"/>
  <c r="M58" i="219"/>
  <c r="L58" i="219"/>
  <c r="K58" i="219"/>
  <c r="J58" i="219"/>
  <c r="I58" i="219"/>
  <c r="H58" i="219"/>
  <c r="G58" i="219"/>
  <c r="F58" i="219"/>
  <c r="E58" i="219"/>
  <c r="D58" i="219"/>
  <c r="C58" i="219"/>
  <c r="B58" i="219"/>
  <c r="N57" i="219"/>
  <c r="N56" i="219"/>
  <c r="N55" i="219"/>
  <c r="N54" i="219"/>
  <c r="N53" i="219"/>
  <c r="P53" i="219" s="1"/>
  <c r="L46" i="219"/>
  <c r="K46" i="219"/>
  <c r="J46" i="219"/>
  <c r="I46" i="219"/>
  <c r="H46" i="219"/>
  <c r="G46" i="219"/>
  <c r="F46" i="219"/>
  <c r="E46" i="219"/>
  <c r="D46" i="219"/>
  <c r="C46" i="219"/>
  <c r="B46" i="219"/>
  <c r="N45" i="219"/>
  <c r="M44" i="219"/>
  <c r="M46" i="219" s="1"/>
  <c r="N41" i="219"/>
  <c r="N40" i="219"/>
  <c r="N39" i="219"/>
  <c r="N37" i="219"/>
  <c r="M34" i="219"/>
  <c r="M38" i="219" s="1"/>
  <c r="M42" i="219" s="1"/>
  <c r="L34" i="219"/>
  <c r="L38" i="219" s="1"/>
  <c r="L42" i="219" s="1"/>
  <c r="K34" i="219"/>
  <c r="K38" i="219" s="1"/>
  <c r="K42" i="219" s="1"/>
  <c r="J34" i="219"/>
  <c r="J38" i="219" s="1"/>
  <c r="J42" i="219" s="1"/>
  <c r="I34" i="219"/>
  <c r="I38" i="219" s="1"/>
  <c r="I42" i="219" s="1"/>
  <c r="H34" i="219"/>
  <c r="H38" i="219" s="1"/>
  <c r="H42" i="219" s="1"/>
  <c r="G34" i="219"/>
  <c r="G38" i="219" s="1"/>
  <c r="G42" i="219" s="1"/>
  <c r="F34" i="219"/>
  <c r="F38" i="219" s="1"/>
  <c r="F42" i="219" s="1"/>
  <c r="E34" i="219"/>
  <c r="E38" i="219" s="1"/>
  <c r="E42" i="219" s="1"/>
  <c r="D34" i="219"/>
  <c r="D38" i="219" s="1"/>
  <c r="D42" i="219" s="1"/>
  <c r="C34" i="219"/>
  <c r="C38" i="219" s="1"/>
  <c r="C42" i="219" s="1"/>
  <c r="B34" i="219"/>
  <c r="B38" i="219" s="1"/>
  <c r="N33" i="219"/>
  <c r="N32" i="219"/>
  <c r="N31" i="219"/>
  <c r="N30" i="219"/>
  <c r="M26" i="219"/>
  <c r="L26" i="219"/>
  <c r="K26" i="219"/>
  <c r="J26" i="219"/>
  <c r="I26" i="219"/>
  <c r="H26" i="219"/>
  <c r="G26" i="219"/>
  <c r="F26" i="219"/>
  <c r="E26" i="219"/>
  <c r="D26" i="219"/>
  <c r="C26" i="219"/>
  <c r="B26" i="219"/>
  <c r="M25" i="219"/>
  <c r="L25" i="219"/>
  <c r="K25" i="219"/>
  <c r="J25" i="219"/>
  <c r="I25" i="219"/>
  <c r="H25" i="219"/>
  <c r="G25" i="219"/>
  <c r="F25" i="219"/>
  <c r="E25" i="219"/>
  <c r="D25" i="219"/>
  <c r="C25" i="219"/>
  <c r="B25" i="219"/>
  <c r="M24" i="219"/>
  <c r="L24" i="219"/>
  <c r="K24" i="219"/>
  <c r="J24" i="219"/>
  <c r="I24" i="219"/>
  <c r="H24" i="219"/>
  <c r="G24" i="219"/>
  <c r="F24" i="219"/>
  <c r="E24" i="219"/>
  <c r="D24" i="219"/>
  <c r="C24" i="219"/>
  <c r="B24" i="219"/>
  <c r="M23" i="219"/>
  <c r="M27" i="219" s="1"/>
  <c r="L23" i="219"/>
  <c r="K23" i="219"/>
  <c r="K27" i="219" s="1"/>
  <c r="J23" i="219"/>
  <c r="I23" i="219"/>
  <c r="I27" i="219" s="1"/>
  <c r="H23" i="219"/>
  <c r="H27" i="219" s="1"/>
  <c r="G23" i="219"/>
  <c r="G27" i="219" s="1"/>
  <c r="F23" i="219"/>
  <c r="F27" i="219" s="1"/>
  <c r="E23" i="219"/>
  <c r="E27" i="219" s="1"/>
  <c r="D23" i="219"/>
  <c r="D27" i="219" s="1"/>
  <c r="C23" i="219"/>
  <c r="C27" i="219" s="1"/>
  <c r="B23" i="219"/>
  <c r="B27" i="219" s="1"/>
  <c r="M20" i="219"/>
  <c r="L20" i="219"/>
  <c r="L48" i="219" s="1"/>
  <c r="K20" i="219"/>
  <c r="J20" i="219"/>
  <c r="I20" i="219"/>
  <c r="I48" i="219" s="1"/>
  <c r="H20" i="219"/>
  <c r="H48" i="219" s="1"/>
  <c r="G20" i="219"/>
  <c r="F20" i="219"/>
  <c r="E20" i="219"/>
  <c r="E48" i="219" s="1"/>
  <c r="D20" i="219"/>
  <c r="D48" i="219" s="1"/>
  <c r="C20" i="219"/>
  <c r="B20" i="219"/>
  <c r="N19" i="219"/>
  <c r="N17" i="219"/>
  <c r="N16" i="219"/>
  <c r="N11" i="219"/>
  <c r="M9" i="219"/>
  <c r="M13" i="219" s="1"/>
  <c r="L9" i="219"/>
  <c r="L13" i="219" s="1"/>
  <c r="K9" i="219"/>
  <c r="K13" i="219" s="1"/>
  <c r="J9" i="219"/>
  <c r="J13" i="219" s="1"/>
  <c r="I9" i="219"/>
  <c r="I13" i="219" s="1"/>
  <c r="H9" i="219"/>
  <c r="H13" i="219" s="1"/>
  <c r="G9" i="219"/>
  <c r="G13" i="219" s="1"/>
  <c r="F9" i="219"/>
  <c r="F13" i="219" s="1"/>
  <c r="E9" i="219"/>
  <c r="E13" i="219" s="1"/>
  <c r="D9" i="219"/>
  <c r="D13" i="219" s="1"/>
  <c r="C9" i="219"/>
  <c r="C13" i="219" s="1"/>
  <c r="B9" i="219"/>
  <c r="B13" i="219" s="1"/>
  <c r="N8" i="219"/>
  <c r="N7" i="219"/>
  <c r="N6" i="219"/>
  <c r="N5" i="219"/>
  <c r="N4" i="219"/>
  <c r="B73" i="222" l="1"/>
  <c r="M63" i="224"/>
  <c r="L73" i="224"/>
  <c r="L64" i="224"/>
  <c r="L74" i="224" s="1"/>
  <c r="J73" i="223"/>
  <c r="J64" i="223"/>
  <c r="J74" i="223" s="1"/>
  <c r="K63" i="223"/>
  <c r="D63" i="222"/>
  <c r="C73" i="222"/>
  <c r="C64" i="222"/>
  <c r="C74" i="222" s="1"/>
  <c r="D28" i="219"/>
  <c r="H28" i="219"/>
  <c r="N28" i="221"/>
  <c r="P27" i="221"/>
  <c r="M48" i="219"/>
  <c r="B72" i="221"/>
  <c r="B63" i="221"/>
  <c r="N50" i="221"/>
  <c r="P50" i="221" s="1"/>
  <c r="P52" i="221" s="1"/>
  <c r="N27" i="220"/>
  <c r="N28" i="220" s="1"/>
  <c r="N48" i="220"/>
  <c r="N61" i="220" s="1"/>
  <c r="N62" i="220" s="1"/>
  <c r="C50" i="220"/>
  <c r="B61" i="220"/>
  <c r="B62" i="220" s="1"/>
  <c r="B63" i="220" s="1"/>
  <c r="G50" i="220"/>
  <c r="K50" i="220"/>
  <c r="L27" i="219"/>
  <c r="L28" i="219" s="1"/>
  <c r="D50" i="219"/>
  <c r="J27" i="219"/>
  <c r="J28" i="219" s="1"/>
  <c r="E28" i="219"/>
  <c r="I28" i="219"/>
  <c r="M28" i="219"/>
  <c r="B28" i="219"/>
  <c r="F28" i="219"/>
  <c r="N24" i="219"/>
  <c r="N25" i="219"/>
  <c r="N26" i="219"/>
  <c r="N34" i="219"/>
  <c r="F48" i="219"/>
  <c r="F61" i="219" s="1"/>
  <c r="F62" i="219" s="1"/>
  <c r="F72" i="219" s="1"/>
  <c r="J48" i="219"/>
  <c r="J61" i="219" s="1"/>
  <c r="J62" i="219" s="1"/>
  <c r="J72" i="219" s="1"/>
  <c r="N58" i="219"/>
  <c r="N9" i="219"/>
  <c r="N13" i="219" s="1"/>
  <c r="N20" i="219"/>
  <c r="C48" i="219"/>
  <c r="C61" i="219" s="1"/>
  <c r="C62" i="219" s="1"/>
  <c r="C72" i="219" s="1"/>
  <c r="C28" i="219"/>
  <c r="G28" i="219"/>
  <c r="K28" i="219"/>
  <c r="H50" i="219"/>
  <c r="I50" i="219"/>
  <c r="D61" i="219"/>
  <c r="D62" i="219" s="1"/>
  <c r="D72" i="219" s="1"/>
  <c r="H61" i="219"/>
  <c r="L61" i="219"/>
  <c r="E50" i="219"/>
  <c r="M50" i="219"/>
  <c r="L50" i="219"/>
  <c r="B42" i="219"/>
  <c r="B48" i="219" s="1"/>
  <c r="B61" i="219" s="1"/>
  <c r="B62" i="219" s="1"/>
  <c r="N38" i="219"/>
  <c r="N42" i="219" s="1"/>
  <c r="G48" i="219"/>
  <c r="G61" i="219" s="1"/>
  <c r="G62" i="219" s="1"/>
  <c r="G72" i="219" s="1"/>
  <c r="K48" i="219"/>
  <c r="K61" i="219" s="1"/>
  <c r="K62" i="219" s="1"/>
  <c r="K72" i="219" s="1"/>
  <c r="E61" i="219"/>
  <c r="E62" i="219" s="1"/>
  <c r="E72" i="219" s="1"/>
  <c r="I61" i="219"/>
  <c r="I62" i="219" s="1"/>
  <c r="I72" i="219" s="1"/>
  <c r="M61" i="219"/>
  <c r="M62" i="219" s="1"/>
  <c r="M72" i="219" s="1"/>
  <c r="N44" i="219"/>
  <c r="N46" i="219" s="1"/>
  <c r="Z53" i="219"/>
  <c r="H62" i="219"/>
  <c r="H72" i="219" s="1"/>
  <c r="L62" i="219"/>
  <c r="L72" i="219" s="1"/>
  <c r="N23" i="219"/>
  <c r="F85" i="218"/>
  <c r="F84" i="218"/>
  <c r="N73" i="218"/>
  <c r="B68" i="218"/>
  <c r="C68" i="218" s="1"/>
  <c r="D68" i="218" s="1"/>
  <c r="E68" i="218" s="1"/>
  <c r="F68" i="218" s="1"/>
  <c r="G68" i="218" s="1"/>
  <c r="H68" i="218" s="1"/>
  <c r="I68" i="218" s="1"/>
  <c r="J68" i="218" s="1"/>
  <c r="K68" i="218" s="1"/>
  <c r="L68" i="218" s="1"/>
  <c r="M68" i="218" s="1"/>
  <c r="M58" i="218"/>
  <c r="L58" i="218"/>
  <c r="K58" i="218"/>
  <c r="J58" i="218"/>
  <c r="I58" i="218"/>
  <c r="H58" i="218"/>
  <c r="G58" i="218"/>
  <c r="F58" i="218"/>
  <c r="E58" i="218"/>
  <c r="D58" i="218"/>
  <c r="C58" i="218"/>
  <c r="B58" i="218"/>
  <c r="N57" i="218"/>
  <c r="N56" i="218"/>
  <c r="N55" i="218"/>
  <c r="N54" i="218"/>
  <c r="N53" i="218"/>
  <c r="L46" i="218"/>
  <c r="K46" i="218"/>
  <c r="J46" i="218"/>
  <c r="I46" i="218"/>
  <c r="H46" i="218"/>
  <c r="G46" i="218"/>
  <c r="F46" i="218"/>
  <c r="E46" i="218"/>
  <c r="D46" i="218"/>
  <c r="C46" i="218"/>
  <c r="B46" i="218"/>
  <c r="N45" i="218"/>
  <c r="M44" i="218"/>
  <c r="M46" i="218" s="1"/>
  <c r="N41" i="218"/>
  <c r="N40" i="218"/>
  <c r="N39" i="218"/>
  <c r="N37" i="218"/>
  <c r="M34" i="218"/>
  <c r="M38" i="218" s="1"/>
  <c r="M42" i="218" s="1"/>
  <c r="L34" i="218"/>
  <c r="L38" i="218" s="1"/>
  <c r="L42" i="218" s="1"/>
  <c r="K34" i="218"/>
  <c r="K38" i="218" s="1"/>
  <c r="K42" i="218" s="1"/>
  <c r="J34" i="218"/>
  <c r="J38" i="218" s="1"/>
  <c r="J42" i="218" s="1"/>
  <c r="I34" i="218"/>
  <c r="I38" i="218" s="1"/>
  <c r="I42" i="218" s="1"/>
  <c r="H34" i="218"/>
  <c r="H38" i="218" s="1"/>
  <c r="H42" i="218" s="1"/>
  <c r="G34" i="218"/>
  <c r="G38" i="218" s="1"/>
  <c r="G42" i="218" s="1"/>
  <c r="F34" i="218"/>
  <c r="F38" i="218" s="1"/>
  <c r="F42" i="218" s="1"/>
  <c r="E34" i="218"/>
  <c r="E38" i="218" s="1"/>
  <c r="E42" i="218" s="1"/>
  <c r="D34" i="218"/>
  <c r="D38" i="218" s="1"/>
  <c r="D42" i="218" s="1"/>
  <c r="C34" i="218"/>
  <c r="C38" i="218" s="1"/>
  <c r="C42" i="218" s="1"/>
  <c r="B34" i="218"/>
  <c r="B38" i="218" s="1"/>
  <c r="N33" i="218"/>
  <c r="N32" i="218"/>
  <c r="N31" i="218"/>
  <c r="N30" i="218"/>
  <c r="M26" i="218"/>
  <c r="L26" i="218"/>
  <c r="K26" i="218"/>
  <c r="J26" i="218"/>
  <c r="I26" i="218"/>
  <c r="H26" i="218"/>
  <c r="G26" i="218"/>
  <c r="F26" i="218"/>
  <c r="E26" i="218"/>
  <c r="D26" i="218"/>
  <c r="C26" i="218"/>
  <c r="B26" i="218"/>
  <c r="M25" i="218"/>
  <c r="L25" i="218"/>
  <c r="K25" i="218"/>
  <c r="J25" i="218"/>
  <c r="I25" i="218"/>
  <c r="H25" i="218"/>
  <c r="G25" i="218"/>
  <c r="F25" i="218"/>
  <c r="E25" i="218"/>
  <c r="D25" i="218"/>
  <c r="C25" i="218"/>
  <c r="B25" i="218"/>
  <c r="M24" i="218"/>
  <c r="L24" i="218"/>
  <c r="K24" i="218"/>
  <c r="J24" i="218"/>
  <c r="I24" i="218"/>
  <c r="H24" i="218"/>
  <c r="G24" i="218"/>
  <c r="F24" i="218"/>
  <c r="E24" i="218"/>
  <c r="D24" i="218"/>
  <c r="C24" i="218"/>
  <c r="B24" i="218"/>
  <c r="M23" i="218"/>
  <c r="M27" i="218" s="1"/>
  <c r="L23" i="218"/>
  <c r="L27" i="218" s="1"/>
  <c r="K23" i="218"/>
  <c r="K27" i="218" s="1"/>
  <c r="J23" i="218"/>
  <c r="J27" i="218" s="1"/>
  <c r="I23" i="218"/>
  <c r="I27" i="218" s="1"/>
  <c r="H23" i="218"/>
  <c r="H27" i="218" s="1"/>
  <c r="G23" i="218"/>
  <c r="G27" i="218" s="1"/>
  <c r="F23" i="218"/>
  <c r="F27" i="218" s="1"/>
  <c r="E23" i="218"/>
  <c r="E27" i="218" s="1"/>
  <c r="D23" i="218"/>
  <c r="D27" i="218" s="1"/>
  <c r="C23" i="218"/>
  <c r="C27" i="218" s="1"/>
  <c r="B23" i="218"/>
  <c r="B27" i="218" s="1"/>
  <c r="M20" i="218"/>
  <c r="L20" i="218"/>
  <c r="K20" i="218"/>
  <c r="J20" i="218"/>
  <c r="I20" i="218"/>
  <c r="I48" i="218" s="1"/>
  <c r="H20" i="218"/>
  <c r="G20" i="218"/>
  <c r="F20" i="218"/>
  <c r="E20" i="218"/>
  <c r="E48" i="218" s="1"/>
  <c r="D20" i="218"/>
  <c r="C20" i="218"/>
  <c r="B20" i="218"/>
  <c r="N19" i="218"/>
  <c r="N17" i="218"/>
  <c r="N16" i="218"/>
  <c r="N11" i="218"/>
  <c r="M9" i="218"/>
  <c r="M13" i="218" s="1"/>
  <c r="L9" i="218"/>
  <c r="L13" i="218" s="1"/>
  <c r="K9" i="218"/>
  <c r="K13" i="218" s="1"/>
  <c r="J9" i="218"/>
  <c r="J13" i="218" s="1"/>
  <c r="I9" i="218"/>
  <c r="I13" i="218" s="1"/>
  <c r="H9" i="218"/>
  <c r="H13" i="218" s="1"/>
  <c r="G9" i="218"/>
  <c r="G13" i="218" s="1"/>
  <c r="F9" i="218"/>
  <c r="F13" i="218" s="1"/>
  <c r="E9" i="218"/>
  <c r="E13" i="218" s="1"/>
  <c r="D9" i="218"/>
  <c r="D13" i="218" s="1"/>
  <c r="C9" i="218"/>
  <c r="C13" i="218" s="1"/>
  <c r="B9" i="218"/>
  <c r="B13" i="218" s="1"/>
  <c r="N8" i="218"/>
  <c r="N7" i="218"/>
  <c r="N6" i="218"/>
  <c r="N5" i="218"/>
  <c r="N9" i="218" s="1"/>
  <c r="N13" i="218" s="1"/>
  <c r="N4" i="218"/>
  <c r="D48" i="218" l="1"/>
  <c r="H48" i="218"/>
  <c r="L48" i="218"/>
  <c r="M48" i="218"/>
  <c r="M50" i="218" s="1"/>
  <c r="M73" i="224"/>
  <c r="M64" i="224"/>
  <c r="M74" i="224" s="1"/>
  <c r="K73" i="223"/>
  <c r="L63" i="223"/>
  <c r="K64" i="223"/>
  <c r="K74" i="223" s="1"/>
  <c r="D73" i="222"/>
  <c r="D64" i="222"/>
  <c r="D74" i="222" s="1"/>
  <c r="E63" i="222"/>
  <c r="B28" i="218"/>
  <c r="C28" i="218"/>
  <c r="D28" i="218"/>
  <c r="E28" i="218"/>
  <c r="F28" i="218"/>
  <c r="G28" i="218"/>
  <c r="H28" i="218"/>
  <c r="I28" i="218"/>
  <c r="J28" i="218"/>
  <c r="K28" i="218"/>
  <c r="L28" i="218"/>
  <c r="M28" i="218"/>
  <c r="F50" i="219"/>
  <c r="B64" i="221"/>
  <c r="B74" i="221" s="1"/>
  <c r="C63" i="221"/>
  <c r="B73" i="221"/>
  <c r="B72" i="220"/>
  <c r="N50" i="220"/>
  <c r="O50" i="220" s="1"/>
  <c r="C63" i="220"/>
  <c r="B73" i="220"/>
  <c r="B64" i="220"/>
  <c r="B74" i="220" s="1"/>
  <c r="J50" i="219"/>
  <c r="N27" i="219"/>
  <c r="C50" i="219"/>
  <c r="N48" i="219"/>
  <c r="N61" i="219" s="1"/>
  <c r="N62" i="219" s="1"/>
  <c r="B50" i="219"/>
  <c r="N28" i="219"/>
  <c r="B72" i="219"/>
  <c r="B63" i="219"/>
  <c r="K50" i="219"/>
  <c r="G50" i="219"/>
  <c r="N24" i="218"/>
  <c r="N25" i="218"/>
  <c r="N26" i="218"/>
  <c r="N34" i="218"/>
  <c r="F48" i="218"/>
  <c r="F61" i="218" s="1"/>
  <c r="F62" i="218" s="1"/>
  <c r="F72" i="218" s="1"/>
  <c r="J48" i="218"/>
  <c r="J61" i="218" s="1"/>
  <c r="J62" i="218" s="1"/>
  <c r="J72" i="218" s="1"/>
  <c r="N58" i="218"/>
  <c r="N20" i="218"/>
  <c r="C48" i="218"/>
  <c r="C61" i="218" s="1"/>
  <c r="C62" i="218" s="1"/>
  <c r="C72" i="218" s="1"/>
  <c r="K48" i="218"/>
  <c r="K61" i="218" s="1"/>
  <c r="K62" i="218" s="1"/>
  <c r="K72" i="218" s="1"/>
  <c r="P53" i="218"/>
  <c r="Z53" i="218" s="1"/>
  <c r="H50" i="218"/>
  <c r="I50" i="218"/>
  <c r="L50" i="218"/>
  <c r="B42" i="218"/>
  <c r="B48" i="218" s="1"/>
  <c r="B50" i="218" s="1"/>
  <c r="N38" i="218"/>
  <c r="N42" i="218"/>
  <c r="D61" i="218"/>
  <c r="D62" i="218" s="1"/>
  <c r="D72" i="218" s="1"/>
  <c r="H61" i="218"/>
  <c r="L61" i="218"/>
  <c r="L62" i="218" s="1"/>
  <c r="L72" i="218" s="1"/>
  <c r="D50" i="218"/>
  <c r="E50" i="218"/>
  <c r="G48" i="218"/>
  <c r="G61" i="218" s="1"/>
  <c r="G62" i="218" s="1"/>
  <c r="G72" i="218" s="1"/>
  <c r="E61" i="218"/>
  <c r="E62" i="218" s="1"/>
  <c r="E72" i="218" s="1"/>
  <c r="I61" i="218"/>
  <c r="I62" i="218" s="1"/>
  <c r="I72" i="218" s="1"/>
  <c r="N44" i="218"/>
  <c r="N46" i="218" s="1"/>
  <c r="H62" i="218"/>
  <c r="H72" i="218" s="1"/>
  <c r="N23" i="218"/>
  <c r="F85" i="217"/>
  <c r="F84" i="217"/>
  <c r="N73" i="217"/>
  <c r="B68" i="217"/>
  <c r="C68" i="217" s="1"/>
  <c r="D68" i="217" s="1"/>
  <c r="E68" i="217" s="1"/>
  <c r="F68" i="217" s="1"/>
  <c r="G68" i="217" s="1"/>
  <c r="H68" i="217" s="1"/>
  <c r="I68" i="217" s="1"/>
  <c r="J68" i="217" s="1"/>
  <c r="K68" i="217" s="1"/>
  <c r="L68" i="217" s="1"/>
  <c r="M68" i="217" s="1"/>
  <c r="M58" i="217"/>
  <c r="L58" i="217"/>
  <c r="K58" i="217"/>
  <c r="J58" i="217"/>
  <c r="I58" i="217"/>
  <c r="H58" i="217"/>
  <c r="G58" i="217"/>
  <c r="F58" i="217"/>
  <c r="E58" i="217"/>
  <c r="D58" i="217"/>
  <c r="C58" i="217"/>
  <c r="B58" i="217"/>
  <c r="N57" i="217"/>
  <c r="N56" i="217"/>
  <c r="N55" i="217"/>
  <c r="N54" i="217"/>
  <c r="N53" i="217"/>
  <c r="P53" i="217" s="1"/>
  <c r="Z53" i="217" s="1"/>
  <c r="L46" i="217"/>
  <c r="K46" i="217"/>
  <c r="J46" i="217"/>
  <c r="I46" i="217"/>
  <c r="H46" i="217"/>
  <c r="G46" i="217"/>
  <c r="F46" i="217"/>
  <c r="E46" i="217"/>
  <c r="D46" i="217"/>
  <c r="C46" i="217"/>
  <c r="B46" i="217"/>
  <c r="N45" i="217"/>
  <c r="M44" i="217"/>
  <c r="M46" i="217" s="1"/>
  <c r="N41" i="217"/>
  <c r="N40" i="217"/>
  <c r="N39" i="217"/>
  <c r="N37" i="217"/>
  <c r="M34" i="217"/>
  <c r="M38" i="217" s="1"/>
  <c r="M42" i="217" s="1"/>
  <c r="L34" i="217"/>
  <c r="L38" i="217" s="1"/>
  <c r="L42" i="217" s="1"/>
  <c r="K34" i="217"/>
  <c r="K38" i="217" s="1"/>
  <c r="K42" i="217" s="1"/>
  <c r="J34" i="217"/>
  <c r="J38" i="217" s="1"/>
  <c r="J42" i="217" s="1"/>
  <c r="I34" i="217"/>
  <c r="I38" i="217" s="1"/>
  <c r="I42" i="217" s="1"/>
  <c r="H34" i="217"/>
  <c r="H38" i="217" s="1"/>
  <c r="H42" i="217" s="1"/>
  <c r="G34" i="217"/>
  <c r="G38" i="217" s="1"/>
  <c r="G42" i="217" s="1"/>
  <c r="F34" i="217"/>
  <c r="F38" i="217" s="1"/>
  <c r="F42" i="217" s="1"/>
  <c r="E34" i="217"/>
  <c r="E38" i="217" s="1"/>
  <c r="E42" i="217" s="1"/>
  <c r="D34" i="217"/>
  <c r="D38" i="217" s="1"/>
  <c r="D42" i="217" s="1"/>
  <c r="C34" i="217"/>
  <c r="C38" i="217" s="1"/>
  <c r="C42" i="217" s="1"/>
  <c r="B34" i="217"/>
  <c r="B38" i="217" s="1"/>
  <c r="N33" i="217"/>
  <c r="N32" i="217"/>
  <c r="N31" i="217"/>
  <c r="N30" i="217"/>
  <c r="M26" i="217"/>
  <c r="L26" i="217"/>
  <c r="K26" i="217"/>
  <c r="J26" i="217"/>
  <c r="I26" i="217"/>
  <c r="H26" i="217"/>
  <c r="G26" i="217"/>
  <c r="F26" i="217"/>
  <c r="E26" i="217"/>
  <c r="D26" i="217"/>
  <c r="C26" i="217"/>
  <c r="B26" i="217"/>
  <c r="M25" i="217"/>
  <c r="L25" i="217"/>
  <c r="K25" i="217"/>
  <c r="J25" i="217"/>
  <c r="I25" i="217"/>
  <c r="H25" i="217"/>
  <c r="G25" i="217"/>
  <c r="F25" i="217"/>
  <c r="E25" i="217"/>
  <c r="D25" i="217"/>
  <c r="C25" i="217"/>
  <c r="B25" i="217"/>
  <c r="M24" i="217"/>
  <c r="L24" i="217"/>
  <c r="K24" i="217"/>
  <c r="J24" i="217"/>
  <c r="I24" i="217"/>
  <c r="H24" i="217"/>
  <c r="G24" i="217"/>
  <c r="F24" i="217"/>
  <c r="E24" i="217"/>
  <c r="D24" i="217"/>
  <c r="C24" i="217"/>
  <c r="B24" i="217"/>
  <c r="M23" i="217"/>
  <c r="L23" i="217"/>
  <c r="L27" i="217" s="1"/>
  <c r="K23" i="217"/>
  <c r="K27" i="217" s="1"/>
  <c r="J23" i="217"/>
  <c r="J27" i="217" s="1"/>
  <c r="I23" i="217"/>
  <c r="I27" i="217" s="1"/>
  <c r="H23" i="217"/>
  <c r="G23" i="217"/>
  <c r="G27" i="217" s="1"/>
  <c r="F23" i="217"/>
  <c r="F27" i="217" s="1"/>
  <c r="E23" i="217"/>
  <c r="E27" i="217" s="1"/>
  <c r="D23" i="217"/>
  <c r="D27" i="217" s="1"/>
  <c r="C23" i="217"/>
  <c r="C27" i="217" s="1"/>
  <c r="B23" i="217"/>
  <c r="B27" i="217" s="1"/>
  <c r="M20" i="217"/>
  <c r="L20" i="217"/>
  <c r="K20" i="217"/>
  <c r="J20" i="217"/>
  <c r="I20" i="217"/>
  <c r="H20" i="217"/>
  <c r="G20" i="217"/>
  <c r="F20" i="217"/>
  <c r="E20" i="217"/>
  <c r="D20" i="217"/>
  <c r="C20" i="217"/>
  <c r="B20" i="217"/>
  <c r="N19" i="217"/>
  <c r="N17" i="217"/>
  <c r="N16" i="217"/>
  <c r="N11" i="217"/>
  <c r="M9" i="217"/>
  <c r="M13" i="217" s="1"/>
  <c r="L9" i="217"/>
  <c r="L13" i="217" s="1"/>
  <c r="K9" i="217"/>
  <c r="K13" i="217" s="1"/>
  <c r="J9" i="217"/>
  <c r="J13" i="217" s="1"/>
  <c r="I9" i="217"/>
  <c r="I13" i="217" s="1"/>
  <c r="H9" i="217"/>
  <c r="H13" i="217" s="1"/>
  <c r="G9" i="217"/>
  <c r="G13" i="217" s="1"/>
  <c r="F9" i="217"/>
  <c r="F13" i="217" s="1"/>
  <c r="E9" i="217"/>
  <c r="E13" i="217" s="1"/>
  <c r="D9" i="217"/>
  <c r="D13" i="217" s="1"/>
  <c r="C9" i="217"/>
  <c r="C13" i="217" s="1"/>
  <c r="B9" i="217"/>
  <c r="B13" i="217" s="1"/>
  <c r="N8" i="217"/>
  <c r="N7" i="217"/>
  <c r="N6" i="217"/>
  <c r="N5" i="217"/>
  <c r="N4" i="217"/>
  <c r="M61" i="218" l="1"/>
  <c r="M62" i="218" s="1"/>
  <c r="M72" i="218" s="1"/>
  <c r="F50" i="218"/>
  <c r="D48" i="217"/>
  <c r="L48" i="217"/>
  <c r="L50" i="217" s="1"/>
  <c r="M48" i="217"/>
  <c r="L64" i="223"/>
  <c r="L74" i="223" s="1"/>
  <c r="M63" i="223"/>
  <c r="L73" i="223"/>
  <c r="F63" i="222"/>
  <c r="E73" i="222"/>
  <c r="E64" i="222"/>
  <c r="E74" i="222" s="1"/>
  <c r="D28" i="217"/>
  <c r="L28" i="217"/>
  <c r="D63" i="221"/>
  <c r="C73" i="221"/>
  <c r="C64" i="221"/>
  <c r="C74" i="221" s="1"/>
  <c r="D63" i="220"/>
  <c r="C73" i="220"/>
  <c r="C64" i="220"/>
  <c r="C74" i="220" s="1"/>
  <c r="N50" i="219"/>
  <c r="O50" i="219" s="1"/>
  <c r="C63" i="219"/>
  <c r="B73" i="219"/>
  <c r="B64" i="219"/>
  <c r="B74" i="219" s="1"/>
  <c r="J50" i="218"/>
  <c r="K50" i="218"/>
  <c r="N48" i="218"/>
  <c r="N61" i="218" s="1"/>
  <c r="N62" i="218" s="1"/>
  <c r="N27" i="218"/>
  <c r="N28" i="218" s="1"/>
  <c r="C50" i="218"/>
  <c r="B61" i="218"/>
  <c r="B62" i="218" s="1"/>
  <c r="G50" i="218"/>
  <c r="N20" i="217"/>
  <c r="B28" i="217"/>
  <c r="F28" i="217"/>
  <c r="M27" i="217"/>
  <c r="M28" i="217" s="1"/>
  <c r="C28" i="217"/>
  <c r="G28" i="217"/>
  <c r="K28" i="217"/>
  <c r="H48" i="217"/>
  <c r="H50" i="217" s="1"/>
  <c r="H27" i="217"/>
  <c r="H28" i="217" s="1"/>
  <c r="N9" i="217"/>
  <c r="N13" i="217" s="1"/>
  <c r="C48" i="217"/>
  <c r="C61" i="217" s="1"/>
  <c r="C62" i="217" s="1"/>
  <c r="C72" i="217" s="1"/>
  <c r="K48" i="217"/>
  <c r="K61" i="217" s="1"/>
  <c r="K62" i="217" s="1"/>
  <c r="K72" i="217" s="1"/>
  <c r="E48" i="217"/>
  <c r="E50" i="217" s="1"/>
  <c r="I48" i="217"/>
  <c r="I61" i="217" s="1"/>
  <c r="I62" i="217" s="1"/>
  <c r="I72" i="217" s="1"/>
  <c r="E28" i="217"/>
  <c r="I28" i="217"/>
  <c r="J28" i="217"/>
  <c r="N24" i="217"/>
  <c r="N25" i="217"/>
  <c r="N26" i="217"/>
  <c r="N34" i="217"/>
  <c r="F48" i="217"/>
  <c r="F50" i="217" s="1"/>
  <c r="J48" i="217"/>
  <c r="J61" i="217" s="1"/>
  <c r="J62" i="217" s="1"/>
  <c r="J72" i="217" s="1"/>
  <c r="N58" i="217"/>
  <c r="D50" i="217"/>
  <c r="M50" i="217"/>
  <c r="B42" i="217"/>
  <c r="B48" i="217" s="1"/>
  <c r="B50" i="217" s="1"/>
  <c r="N38" i="217"/>
  <c r="N42" i="217"/>
  <c r="D61" i="217"/>
  <c r="D62" i="217" s="1"/>
  <c r="D72" i="217" s="1"/>
  <c r="H61" i="217"/>
  <c r="H62" i="217" s="1"/>
  <c r="H72" i="217" s="1"/>
  <c r="I50" i="217"/>
  <c r="G48" i="217"/>
  <c r="G61" i="217" s="1"/>
  <c r="G62" i="217" s="1"/>
  <c r="G72" i="217" s="1"/>
  <c r="E61" i="217"/>
  <c r="E62" i="217" s="1"/>
  <c r="E72" i="217" s="1"/>
  <c r="M61" i="217"/>
  <c r="M62" i="217" s="1"/>
  <c r="M72" i="217" s="1"/>
  <c r="N44" i="217"/>
  <c r="N46" i="217" s="1"/>
  <c r="N23" i="217"/>
  <c r="F85" i="216"/>
  <c r="F84" i="216"/>
  <c r="N73" i="216"/>
  <c r="B68" i="216"/>
  <c r="C68" i="216" s="1"/>
  <c r="D68" i="216" s="1"/>
  <c r="E68" i="216" s="1"/>
  <c r="F68" i="216" s="1"/>
  <c r="G68" i="216" s="1"/>
  <c r="H68" i="216" s="1"/>
  <c r="I68" i="216" s="1"/>
  <c r="J68" i="216" s="1"/>
  <c r="K68" i="216" s="1"/>
  <c r="L68" i="216" s="1"/>
  <c r="M68" i="216" s="1"/>
  <c r="M58" i="216"/>
  <c r="L58" i="216"/>
  <c r="K58" i="216"/>
  <c r="J58" i="216"/>
  <c r="I58" i="216"/>
  <c r="H58" i="216"/>
  <c r="G58" i="216"/>
  <c r="F58" i="216"/>
  <c r="E58" i="216"/>
  <c r="D58" i="216"/>
  <c r="C58" i="216"/>
  <c r="B58" i="216"/>
  <c r="N57" i="216"/>
  <c r="N56" i="216"/>
  <c r="N55" i="216"/>
  <c r="N54" i="216"/>
  <c r="N53" i="216"/>
  <c r="L46" i="216"/>
  <c r="K46" i="216"/>
  <c r="J46" i="216"/>
  <c r="I46" i="216"/>
  <c r="H46" i="216"/>
  <c r="G46" i="216"/>
  <c r="F46" i="216"/>
  <c r="E46" i="216"/>
  <c r="D46" i="216"/>
  <c r="C46" i="216"/>
  <c r="B46" i="216"/>
  <c r="N45" i="216"/>
  <c r="M44" i="216"/>
  <c r="M46" i="216" s="1"/>
  <c r="N41" i="216"/>
  <c r="N40" i="216"/>
  <c r="N39" i="216"/>
  <c r="N37" i="216"/>
  <c r="M34" i="216"/>
  <c r="M38" i="216" s="1"/>
  <c r="M42" i="216" s="1"/>
  <c r="L34" i="216"/>
  <c r="L38" i="216" s="1"/>
  <c r="L42" i="216" s="1"/>
  <c r="K34" i="216"/>
  <c r="K38" i="216" s="1"/>
  <c r="K42" i="216" s="1"/>
  <c r="J34" i="216"/>
  <c r="J38" i="216" s="1"/>
  <c r="J42" i="216" s="1"/>
  <c r="I34" i="216"/>
  <c r="I38" i="216" s="1"/>
  <c r="I42" i="216" s="1"/>
  <c r="H34" i="216"/>
  <c r="H38" i="216" s="1"/>
  <c r="H42" i="216" s="1"/>
  <c r="G34" i="216"/>
  <c r="G38" i="216" s="1"/>
  <c r="G42" i="216" s="1"/>
  <c r="F34" i="216"/>
  <c r="F38" i="216" s="1"/>
  <c r="F42" i="216" s="1"/>
  <c r="E34" i="216"/>
  <c r="E38" i="216" s="1"/>
  <c r="E42" i="216" s="1"/>
  <c r="D34" i="216"/>
  <c r="D38" i="216" s="1"/>
  <c r="D42" i="216" s="1"/>
  <c r="C34" i="216"/>
  <c r="C38" i="216" s="1"/>
  <c r="C42" i="216" s="1"/>
  <c r="B34" i="216"/>
  <c r="B38" i="216" s="1"/>
  <c r="N33" i="216"/>
  <c r="N32" i="216"/>
  <c r="N31" i="216"/>
  <c r="N30" i="216"/>
  <c r="M26" i="216"/>
  <c r="L26" i="216"/>
  <c r="K26" i="216"/>
  <c r="J26" i="216"/>
  <c r="I26" i="216"/>
  <c r="H26" i="216"/>
  <c r="G26" i="216"/>
  <c r="F26" i="216"/>
  <c r="E26" i="216"/>
  <c r="D26" i="216"/>
  <c r="C26" i="216"/>
  <c r="B26" i="216"/>
  <c r="M25" i="216"/>
  <c r="L25" i="216"/>
  <c r="K25" i="216"/>
  <c r="J25" i="216"/>
  <c r="I25" i="216"/>
  <c r="H25" i="216"/>
  <c r="G25" i="216"/>
  <c r="F25" i="216"/>
  <c r="E25" i="216"/>
  <c r="D25" i="216"/>
  <c r="C25" i="216"/>
  <c r="B25" i="216"/>
  <c r="M24" i="216"/>
  <c r="L24" i="216"/>
  <c r="K24" i="216"/>
  <c r="J24" i="216"/>
  <c r="I24" i="216"/>
  <c r="H24" i="216"/>
  <c r="G24" i="216"/>
  <c r="F24" i="216"/>
  <c r="E24" i="216"/>
  <c r="D24" i="216"/>
  <c r="C24" i="216"/>
  <c r="B24" i="216"/>
  <c r="M23" i="216"/>
  <c r="M27" i="216" s="1"/>
  <c r="L23" i="216"/>
  <c r="L27" i="216" s="1"/>
  <c r="K23" i="216"/>
  <c r="K27" i="216" s="1"/>
  <c r="J23" i="216"/>
  <c r="J27" i="216" s="1"/>
  <c r="I23" i="216"/>
  <c r="I27" i="216" s="1"/>
  <c r="H23" i="216"/>
  <c r="H27" i="216" s="1"/>
  <c r="G23" i="216"/>
  <c r="G27" i="216" s="1"/>
  <c r="F23" i="216"/>
  <c r="F27" i="216" s="1"/>
  <c r="E23" i="216"/>
  <c r="E27" i="216" s="1"/>
  <c r="D23" i="216"/>
  <c r="D27" i="216" s="1"/>
  <c r="C23" i="216"/>
  <c r="C27" i="216" s="1"/>
  <c r="B23" i="216"/>
  <c r="B27" i="216" s="1"/>
  <c r="M20" i="216"/>
  <c r="M48" i="216" s="1"/>
  <c r="L20" i="216"/>
  <c r="L48" i="216" s="1"/>
  <c r="K20" i="216"/>
  <c r="J20" i="216"/>
  <c r="I20" i="216"/>
  <c r="I48" i="216" s="1"/>
  <c r="H20" i="216"/>
  <c r="H48" i="216" s="1"/>
  <c r="G20" i="216"/>
  <c r="F20" i="216"/>
  <c r="E20" i="216"/>
  <c r="E48" i="216" s="1"/>
  <c r="D20" i="216"/>
  <c r="D48" i="216" s="1"/>
  <c r="C20" i="216"/>
  <c r="B20" i="216"/>
  <c r="N19" i="216"/>
  <c r="N17" i="216"/>
  <c r="N16" i="216"/>
  <c r="N11" i="216"/>
  <c r="M9" i="216"/>
  <c r="M13" i="216" s="1"/>
  <c r="L9" i="216"/>
  <c r="L13" i="216" s="1"/>
  <c r="K9" i="216"/>
  <c r="K13" i="216" s="1"/>
  <c r="J9" i="216"/>
  <c r="J13" i="216" s="1"/>
  <c r="I9" i="216"/>
  <c r="I13" i="216" s="1"/>
  <c r="H9" i="216"/>
  <c r="H13" i="216" s="1"/>
  <c r="G9" i="216"/>
  <c r="G13" i="216" s="1"/>
  <c r="F9" i="216"/>
  <c r="F13" i="216" s="1"/>
  <c r="E9" i="216"/>
  <c r="E13" i="216" s="1"/>
  <c r="D9" i="216"/>
  <c r="D13" i="216" s="1"/>
  <c r="D50" i="216" s="1"/>
  <c r="C9" i="216"/>
  <c r="C13" i="216" s="1"/>
  <c r="B9" i="216"/>
  <c r="B13" i="216" s="1"/>
  <c r="N8" i="216"/>
  <c r="N7" i="216"/>
  <c r="N6" i="216"/>
  <c r="N5" i="216"/>
  <c r="N4" i="216"/>
  <c r="L61" i="217" l="1"/>
  <c r="L62" i="217" s="1"/>
  <c r="L72" i="217" s="1"/>
  <c r="N50" i="218"/>
  <c r="O50" i="218" s="1"/>
  <c r="M64" i="223"/>
  <c r="M74" i="223" s="1"/>
  <c r="M73" i="223"/>
  <c r="G63" i="222"/>
  <c r="F73" i="222"/>
  <c r="F64" i="222"/>
  <c r="F74" i="222" s="1"/>
  <c r="C28" i="216"/>
  <c r="D28" i="216"/>
  <c r="H28" i="216"/>
  <c r="L28" i="216"/>
  <c r="D73" i="221"/>
  <c r="D64" i="221"/>
  <c r="D74" i="221" s="1"/>
  <c r="E63" i="221"/>
  <c r="D73" i="220"/>
  <c r="D64" i="220"/>
  <c r="D74" i="220" s="1"/>
  <c r="E63" i="220"/>
  <c r="D63" i="219"/>
  <c r="C73" i="219"/>
  <c r="C64" i="219"/>
  <c r="C74" i="219" s="1"/>
  <c r="B72" i="218"/>
  <c r="B63" i="218"/>
  <c r="N48" i="217"/>
  <c r="N61" i="217" s="1"/>
  <c r="N62" i="217" s="1"/>
  <c r="B61" i="217"/>
  <c r="B62" i="217" s="1"/>
  <c r="B72" i="217" s="1"/>
  <c r="J50" i="217"/>
  <c r="K50" i="217"/>
  <c r="C50" i="217"/>
  <c r="N27" i="217"/>
  <c r="N28" i="217" s="1"/>
  <c r="F61" i="217"/>
  <c r="F62" i="217" s="1"/>
  <c r="F72" i="217" s="1"/>
  <c r="G50" i="217"/>
  <c r="K48" i="216"/>
  <c r="K61" i="216" s="1"/>
  <c r="K62" i="216" s="1"/>
  <c r="K72" i="216" s="1"/>
  <c r="N20" i="216"/>
  <c r="E28" i="216"/>
  <c r="I28" i="216"/>
  <c r="M28" i="216"/>
  <c r="N9" i="216"/>
  <c r="N13" i="216" s="1"/>
  <c r="C48" i="216"/>
  <c r="C61" i="216" s="1"/>
  <c r="C62" i="216" s="1"/>
  <c r="C72" i="216" s="1"/>
  <c r="B28" i="216"/>
  <c r="F28" i="216"/>
  <c r="J28" i="216"/>
  <c r="N24" i="216"/>
  <c r="N25" i="216"/>
  <c r="N26" i="216"/>
  <c r="N34" i="216"/>
  <c r="F48" i="216"/>
  <c r="F50" i="216" s="1"/>
  <c r="J48" i="216"/>
  <c r="J61" i="216" s="1"/>
  <c r="J62" i="216" s="1"/>
  <c r="J72" i="216" s="1"/>
  <c r="N58" i="216"/>
  <c r="G28" i="216"/>
  <c r="K28" i="216"/>
  <c r="P53" i="216"/>
  <c r="Z53" i="216" s="1"/>
  <c r="K50" i="216"/>
  <c r="H50" i="216"/>
  <c r="I50" i="216"/>
  <c r="L50" i="216"/>
  <c r="B42" i="216"/>
  <c r="B48" i="216" s="1"/>
  <c r="B61" i="216" s="1"/>
  <c r="B62" i="216" s="1"/>
  <c r="N38" i="216"/>
  <c r="N42" i="216" s="1"/>
  <c r="D61" i="216"/>
  <c r="D62" i="216" s="1"/>
  <c r="D72" i="216" s="1"/>
  <c r="H61" i="216"/>
  <c r="H62" i="216" s="1"/>
  <c r="H72" i="216" s="1"/>
  <c r="L61" i="216"/>
  <c r="L62" i="216" s="1"/>
  <c r="L72" i="216" s="1"/>
  <c r="C50" i="216"/>
  <c r="E50" i="216"/>
  <c r="M50" i="216"/>
  <c r="G48" i="216"/>
  <c r="G61" i="216" s="1"/>
  <c r="G62" i="216" s="1"/>
  <c r="G72" i="216" s="1"/>
  <c r="E61" i="216"/>
  <c r="E62" i="216" s="1"/>
  <c r="E72" i="216" s="1"/>
  <c r="I61" i="216"/>
  <c r="I62" i="216" s="1"/>
  <c r="I72" i="216" s="1"/>
  <c r="M61" i="216"/>
  <c r="M62" i="216" s="1"/>
  <c r="M72" i="216" s="1"/>
  <c r="N44" i="216"/>
  <c r="N46" i="216" s="1"/>
  <c r="N23" i="216"/>
  <c r="F85" i="215"/>
  <c r="F84" i="215"/>
  <c r="H63" i="222" l="1"/>
  <c r="G73" i="222"/>
  <c r="G64" i="222"/>
  <c r="G74" i="222" s="1"/>
  <c r="F63" i="221"/>
  <c r="E73" i="221"/>
  <c r="E64" i="221"/>
  <c r="E74" i="221" s="1"/>
  <c r="F63" i="220"/>
  <c r="E73" i="220"/>
  <c r="E64" i="220"/>
  <c r="E74" i="220" s="1"/>
  <c r="D73" i="219"/>
  <c r="D64" i="219"/>
  <c r="D74" i="219" s="1"/>
  <c r="E63" i="219"/>
  <c r="C63" i="218"/>
  <c r="B73" i="218"/>
  <c r="B64" i="218"/>
  <c r="B74" i="218" s="1"/>
  <c r="B63" i="217"/>
  <c r="C63" i="217" s="1"/>
  <c r="N50" i="217"/>
  <c r="O50" i="217" s="1"/>
  <c r="B64" i="217"/>
  <c r="B74" i="217" s="1"/>
  <c r="N48" i="216"/>
  <c r="N61" i="216" s="1"/>
  <c r="N62" i="216" s="1"/>
  <c r="N27" i="216"/>
  <c r="N28" i="216" s="1"/>
  <c r="J50" i="216"/>
  <c r="F61" i="216"/>
  <c r="F62" i="216" s="1"/>
  <c r="F72" i="216" s="1"/>
  <c r="B72" i="216"/>
  <c r="B63" i="216"/>
  <c r="B50" i="216"/>
  <c r="G50" i="216"/>
  <c r="N73" i="215"/>
  <c r="B68" i="215"/>
  <c r="C68" i="215" s="1"/>
  <c r="D68" i="215" s="1"/>
  <c r="E68" i="215" s="1"/>
  <c r="F68" i="215" s="1"/>
  <c r="G68" i="215" s="1"/>
  <c r="H68" i="215" s="1"/>
  <c r="I68" i="215" s="1"/>
  <c r="J68" i="215" s="1"/>
  <c r="K68" i="215" s="1"/>
  <c r="L68" i="215" s="1"/>
  <c r="M68" i="215" s="1"/>
  <c r="M58" i="215"/>
  <c r="L58" i="215"/>
  <c r="K58" i="215"/>
  <c r="J58" i="215"/>
  <c r="I58" i="215"/>
  <c r="H58" i="215"/>
  <c r="G58" i="215"/>
  <c r="F58" i="215"/>
  <c r="E58" i="215"/>
  <c r="D58" i="215"/>
  <c r="C58" i="215"/>
  <c r="B58" i="215"/>
  <c r="N57" i="215"/>
  <c r="N56" i="215"/>
  <c r="N55" i="215"/>
  <c r="N54" i="215"/>
  <c r="N53" i="215"/>
  <c r="L46" i="215"/>
  <c r="K46" i="215"/>
  <c r="J46" i="215"/>
  <c r="I46" i="215"/>
  <c r="H46" i="215"/>
  <c r="G46" i="215"/>
  <c r="F46" i="215"/>
  <c r="E46" i="215"/>
  <c r="D46" i="215"/>
  <c r="C46" i="215"/>
  <c r="B46" i="215"/>
  <c r="N45" i="215"/>
  <c r="M44" i="215"/>
  <c r="N41" i="215"/>
  <c r="N40" i="215"/>
  <c r="N39" i="215"/>
  <c r="N37" i="215"/>
  <c r="M34" i="215"/>
  <c r="M38" i="215" s="1"/>
  <c r="M42" i="215" s="1"/>
  <c r="L34" i="215"/>
  <c r="L38" i="215" s="1"/>
  <c r="L42" i="215" s="1"/>
  <c r="K34" i="215"/>
  <c r="K38" i="215" s="1"/>
  <c r="K42" i="215" s="1"/>
  <c r="J34" i="215"/>
  <c r="J38" i="215" s="1"/>
  <c r="J42" i="215" s="1"/>
  <c r="I34" i="215"/>
  <c r="I38" i="215" s="1"/>
  <c r="I42" i="215" s="1"/>
  <c r="H34" i="215"/>
  <c r="H38" i="215" s="1"/>
  <c r="H42" i="215" s="1"/>
  <c r="G34" i="215"/>
  <c r="G38" i="215" s="1"/>
  <c r="G42" i="215" s="1"/>
  <c r="F34" i="215"/>
  <c r="F38" i="215" s="1"/>
  <c r="F42" i="215" s="1"/>
  <c r="E34" i="215"/>
  <c r="E38" i="215" s="1"/>
  <c r="E42" i="215" s="1"/>
  <c r="D34" i="215"/>
  <c r="D38" i="215" s="1"/>
  <c r="D42" i="215" s="1"/>
  <c r="C34" i="215"/>
  <c r="C38" i="215" s="1"/>
  <c r="C42" i="215" s="1"/>
  <c r="B34" i="215"/>
  <c r="B38" i="215" s="1"/>
  <c r="B42" i="215" s="1"/>
  <c r="N33" i="215"/>
  <c r="N32" i="215"/>
  <c r="N31" i="215"/>
  <c r="N30" i="215"/>
  <c r="M26" i="215"/>
  <c r="L26" i="215"/>
  <c r="K26" i="215"/>
  <c r="J26" i="215"/>
  <c r="I26" i="215"/>
  <c r="H26" i="215"/>
  <c r="G26" i="215"/>
  <c r="F26" i="215"/>
  <c r="E26" i="215"/>
  <c r="D26" i="215"/>
  <c r="C26" i="215"/>
  <c r="B26" i="215"/>
  <c r="M25" i="215"/>
  <c r="L25" i="215"/>
  <c r="K25" i="215"/>
  <c r="J25" i="215"/>
  <c r="I25" i="215"/>
  <c r="H25" i="215"/>
  <c r="G25" i="215"/>
  <c r="F25" i="215"/>
  <c r="E25" i="215"/>
  <c r="D25" i="215"/>
  <c r="C25" i="215"/>
  <c r="B25" i="215"/>
  <c r="M24" i="215"/>
  <c r="L24" i="215"/>
  <c r="K24" i="215"/>
  <c r="J24" i="215"/>
  <c r="I24" i="215"/>
  <c r="H24" i="215"/>
  <c r="G24" i="215"/>
  <c r="F24" i="215"/>
  <c r="E24" i="215"/>
  <c r="D24" i="215"/>
  <c r="C24" i="215"/>
  <c r="B24" i="215"/>
  <c r="M23" i="215"/>
  <c r="M27" i="215" s="1"/>
  <c r="L23" i="215"/>
  <c r="L27" i="215" s="1"/>
  <c r="K23" i="215"/>
  <c r="K27" i="215" s="1"/>
  <c r="J23" i="215"/>
  <c r="J27" i="215" s="1"/>
  <c r="I23" i="215"/>
  <c r="I27" i="215" s="1"/>
  <c r="H23" i="215"/>
  <c r="H27" i="215" s="1"/>
  <c r="G23" i="215"/>
  <c r="G27" i="215" s="1"/>
  <c r="F23" i="215"/>
  <c r="F27" i="215" s="1"/>
  <c r="E23" i="215"/>
  <c r="D23" i="215"/>
  <c r="C23" i="215"/>
  <c r="C27" i="215" s="1"/>
  <c r="B23" i="215"/>
  <c r="B27" i="215" s="1"/>
  <c r="M20" i="215"/>
  <c r="L20" i="215"/>
  <c r="K20" i="215"/>
  <c r="J20" i="215"/>
  <c r="I20" i="215"/>
  <c r="H20" i="215"/>
  <c r="G20" i="215"/>
  <c r="F20" i="215"/>
  <c r="E20" i="215"/>
  <c r="D20" i="215"/>
  <c r="C20" i="215"/>
  <c r="B20" i="215"/>
  <c r="N19" i="215"/>
  <c r="N17" i="215"/>
  <c r="N16" i="215"/>
  <c r="N11" i="215"/>
  <c r="M9" i="215"/>
  <c r="M13" i="215" s="1"/>
  <c r="L9" i="215"/>
  <c r="L13" i="215" s="1"/>
  <c r="K9" i="215"/>
  <c r="K13" i="215" s="1"/>
  <c r="J9" i="215"/>
  <c r="J13" i="215" s="1"/>
  <c r="I9" i="215"/>
  <c r="I13" i="215" s="1"/>
  <c r="H9" i="215"/>
  <c r="H13" i="215" s="1"/>
  <c r="G9" i="215"/>
  <c r="G13" i="215" s="1"/>
  <c r="F9" i="215"/>
  <c r="F13" i="215" s="1"/>
  <c r="E9" i="215"/>
  <c r="E13" i="215" s="1"/>
  <c r="D9" i="215"/>
  <c r="D13" i="215" s="1"/>
  <c r="C9" i="215"/>
  <c r="C13" i="215" s="1"/>
  <c r="B9" i="215"/>
  <c r="B13" i="215" s="1"/>
  <c r="N8" i="215"/>
  <c r="N7" i="215"/>
  <c r="N6" i="215"/>
  <c r="N5" i="215"/>
  <c r="N4" i="215"/>
  <c r="B73" i="217" l="1"/>
  <c r="H73" i="222"/>
  <c r="H64" i="222"/>
  <c r="H74" i="222" s="1"/>
  <c r="I63" i="222"/>
  <c r="N44" i="215"/>
  <c r="M46" i="215"/>
  <c r="F73" i="221"/>
  <c r="G63" i="221"/>
  <c r="F64" i="221"/>
  <c r="F74" i="221" s="1"/>
  <c r="G63" i="220"/>
  <c r="F73" i="220"/>
  <c r="F64" i="220"/>
  <c r="F74" i="220" s="1"/>
  <c r="F63" i="219"/>
  <c r="E73" i="219"/>
  <c r="E64" i="219"/>
  <c r="E74" i="219" s="1"/>
  <c r="D63" i="218"/>
  <c r="C73" i="218"/>
  <c r="C64" i="218"/>
  <c r="C74" i="218" s="1"/>
  <c r="D63" i="217"/>
  <c r="C73" i="217"/>
  <c r="C64" i="217"/>
  <c r="C74" i="217" s="1"/>
  <c r="N50" i="216"/>
  <c r="O50" i="216" s="1"/>
  <c r="C63" i="216"/>
  <c r="B73" i="216"/>
  <c r="B64" i="216"/>
  <c r="B74" i="216" s="1"/>
  <c r="C48" i="215"/>
  <c r="G48" i="215"/>
  <c r="K48" i="215"/>
  <c r="K50" i="215" s="1"/>
  <c r="N34" i="215"/>
  <c r="M28" i="215"/>
  <c r="D27" i="215"/>
  <c r="D28" i="215" s="1"/>
  <c r="H28" i="215"/>
  <c r="L28" i="215"/>
  <c r="N58" i="215"/>
  <c r="N20" i="215"/>
  <c r="E48" i="215"/>
  <c r="E61" i="215" s="1"/>
  <c r="E62" i="215" s="1"/>
  <c r="E72" i="215" s="1"/>
  <c r="I48" i="215"/>
  <c r="I61" i="215" s="1"/>
  <c r="I62" i="215" s="1"/>
  <c r="I72" i="215" s="1"/>
  <c r="M48" i="215"/>
  <c r="M61" i="215" s="1"/>
  <c r="I28" i="215"/>
  <c r="E27" i="215"/>
  <c r="E28" i="215" s="1"/>
  <c r="D48" i="215"/>
  <c r="D50" i="215" s="1"/>
  <c r="H48" i="215"/>
  <c r="L48" i="215"/>
  <c r="L50" i="215" s="1"/>
  <c r="N46" i="215"/>
  <c r="N9" i="215"/>
  <c r="N13" i="215" s="1"/>
  <c r="B48" i="215"/>
  <c r="F48" i="215"/>
  <c r="F61" i="215" s="1"/>
  <c r="F62" i="215" s="1"/>
  <c r="F72" i="215" s="1"/>
  <c r="J48" i="215"/>
  <c r="J50" i="215" s="1"/>
  <c r="B28" i="215"/>
  <c r="F28" i="215"/>
  <c r="J28" i="215"/>
  <c r="N24" i="215"/>
  <c r="N25" i="215"/>
  <c r="N26" i="215"/>
  <c r="C50" i="215"/>
  <c r="G50" i="215"/>
  <c r="B50" i="215"/>
  <c r="C28" i="215"/>
  <c r="G28" i="215"/>
  <c r="K28" i="215"/>
  <c r="B61" i="215"/>
  <c r="B62" i="215" s="1"/>
  <c r="H50" i="215"/>
  <c r="M50" i="215"/>
  <c r="M62" i="215"/>
  <c r="M72" i="215" s="1"/>
  <c r="C61" i="215"/>
  <c r="C62" i="215" s="1"/>
  <c r="C72" i="215" s="1"/>
  <c r="G61" i="215"/>
  <c r="G62" i="215" s="1"/>
  <c r="G72" i="215" s="1"/>
  <c r="K61" i="215"/>
  <c r="K62" i="215" s="1"/>
  <c r="K72" i="215" s="1"/>
  <c r="H61" i="215"/>
  <c r="H62" i="215" s="1"/>
  <c r="H72" i="215" s="1"/>
  <c r="N23" i="215"/>
  <c r="N38" i="215"/>
  <c r="N42" i="215" s="1"/>
  <c r="P53" i="215"/>
  <c r="Z53" i="215" s="1"/>
  <c r="N73" i="214"/>
  <c r="B68" i="214"/>
  <c r="C68" i="214" s="1"/>
  <c r="D68" i="214" s="1"/>
  <c r="E68" i="214" s="1"/>
  <c r="F68" i="214" s="1"/>
  <c r="G68" i="214" s="1"/>
  <c r="H68" i="214" s="1"/>
  <c r="I68" i="214" s="1"/>
  <c r="J68" i="214" s="1"/>
  <c r="K68" i="214" s="1"/>
  <c r="L68" i="214" s="1"/>
  <c r="M68" i="214" s="1"/>
  <c r="M58" i="214"/>
  <c r="L58" i="214"/>
  <c r="K58" i="214"/>
  <c r="J58" i="214"/>
  <c r="I58" i="214"/>
  <c r="H58" i="214"/>
  <c r="G58" i="214"/>
  <c r="F58" i="214"/>
  <c r="E58" i="214"/>
  <c r="D58" i="214"/>
  <c r="C58" i="214"/>
  <c r="B58" i="214"/>
  <c r="N57" i="214"/>
  <c r="N56" i="214"/>
  <c r="N55" i="214"/>
  <c r="N54" i="214"/>
  <c r="N53" i="214"/>
  <c r="P53" i="214" s="1"/>
  <c r="L46" i="214"/>
  <c r="K46" i="214"/>
  <c r="J46" i="214"/>
  <c r="I46" i="214"/>
  <c r="H46" i="214"/>
  <c r="G46" i="214"/>
  <c r="F46" i="214"/>
  <c r="E46" i="214"/>
  <c r="D46" i="214"/>
  <c r="C46" i="214"/>
  <c r="B46" i="214"/>
  <c r="N45" i="214"/>
  <c r="M44" i="214"/>
  <c r="N41" i="214"/>
  <c r="N40" i="214"/>
  <c r="N39" i="214"/>
  <c r="N37" i="214"/>
  <c r="M34" i="214"/>
  <c r="M38" i="214" s="1"/>
  <c r="M42" i="214" s="1"/>
  <c r="L34" i="214"/>
  <c r="L38" i="214" s="1"/>
  <c r="L42" i="214" s="1"/>
  <c r="K34" i="214"/>
  <c r="K38" i="214" s="1"/>
  <c r="K42" i="214" s="1"/>
  <c r="J34" i="214"/>
  <c r="J38" i="214" s="1"/>
  <c r="J42" i="214" s="1"/>
  <c r="I34" i="214"/>
  <c r="I38" i="214" s="1"/>
  <c r="I42" i="214" s="1"/>
  <c r="H34" i="214"/>
  <c r="H38" i="214" s="1"/>
  <c r="H42" i="214" s="1"/>
  <c r="G34" i="214"/>
  <c r="G38" i="214" s="1"/>
  <c r="G42" i="214" s="1"/>
  <c r="F34" i="214"/>
  <c r="F38" i="214" s="1"/>
  <c r="F42" i="214" s="1"/>
  <c r="E34" i="214"/>
  <c r="E38" i="214" s="1"/>
  <c r="E42" i="214" s="1"/>
  <c r="D34" i="214"/>
  <c r="D38" i="214" s="1"/>
  <c r="D42" i="214" s="1"/>
  <c r="C34" i="214"/>
  <c r="C38" i="214" s="1"/>
  <c r="C42" i="214" s="1"/>
  <c r="B34" i="214"/>
  <c r="B38" i="214" s="1"/>
  <c r="N33" i="214"/>
  <c r="N32" i="214"/>
  <c r="N31" i="214"/>
  <c r="N30" i="214"/>
  <c r="M26" i="214"/>
  <c r="L26" i="214"/>
  <c r="K26" i="214"/>
  <c r="J26" i="214"/>
  <c r="I26" i="214"/>
  <c r="H26" i="214"/>
  <c r="G26" i="214"/>
  <c r="F26" i="214"/>
  <c r="E26" i="214"/>
  <c r="D26" i="214"/>
  <c r="C26" i="214"/>
  <c r="B26" i="214"/>
  <c r="M25" i="214"/>
  <c r="L25" i="214"/>
  <c r="K25" i="214"/>
  <c r="J25" i="214"/>
  <c r="I25" i="214"/>
  <c r="H25" i="214"/>
  <c r="G25" i="214"/>
  <c r="F25" i="214"/>
  <c r="E25" i="214"/>
  <c r="D25" i="214"/>
  <c r="C25" i="214"/>
  <c r="B25" i="214"/>
  <c r="M24" i="214"/>
  <c r="L24" i="214"/>
  <c r="K24" i="214"/>
  <c r="J24" i="214"/>
  <c r="I24" i="214"/>
  <c r="H24" i="214"/>
  <c r="G24" i="214"/>
  <c r="F24" i="214"/>
  <c r="E24" i="214"/>
  <c r="D24" i="214"/>
  <c r="C24" i="214"/>
  <c r="B24" i="214"/>
  <c r="M23" i="214"/>
  <c r="M27" i="214" s="1"/>
  <c r="L23" i="214"/>
  <c r="K23" i="214"/>
  <c r="K27" i="214" s="1"/>
  <c r="J23" i="214"/>
  <c r="J27" i="214" s="1"/>
  <c r="I23" i="214"/>
  <c r="I27" i="214" s="1"/>
  <c r="H23" i="214"/>
  <c r="H27" i="214" s="1"/>
  <c r="G23" i="214"/>
  <c r="G27" i="214" s="1"/>
  <c r="F23" i="214"/>
  <c r="F27" i="214" s="1"/>
  <c r="E23" i="214"/>
  <c r="E27" i="214" s="1"/>
  <c r="D23" i="214"/>
  <c r="D27" i="214" s="1"/>
  <c r="C23" i="214"/>
  <c r="C27" i="214" s="1"/>
  <c r="B23" i="214"/>
  <c r="B27" i="214" s="1"/>
  <c r="M20" i="214"/>
  <c r="L20" i="214"/>
  <c r="K20" i="214"/>
  <c r="J20" i="214"/>
  <c r="I20" i="214"/>
  <c r="H20" i="214"/>
  <c r="G20" i="214"/>
  <c r="F20" i="214"/>
  <c r="E20" i="214"/>
  <c r="D20" i="214"/>
  <c r="C20" i="214"/>
  <c r="B20" i="214"/>
  <c r="N19" i="214"/>
  <c r="N17" i="214"/>
  <c r="N16" i="214"/>
  <c r="N11" i="214"/>
  <c r="M9" i="214"/>
  <c r="M13" i="214" s="1"/>
  <c r="L9" i="214"/>
  <c r="L13" i="214" s="1"/>
  <c r="K9" i="214"/>
  <c r="K13" i="214" s="1"/>
  <c r="J9" i="214"/>
  <c r="J13" i="214" s="1"/>
  <c r="I9" i="214"/>
  <c r="I13" i="214" s="1"/>
  <c r="H9" i="214"/>
  <c r="H13" i="214" s="1"/>
  <c r="G9" i="214"/>
  <c r="G13" i="214" s="1"/>
  <c r="F9" i="214"/>
  <c r="F13" i="214" s="1"/>
  <c r="E9" i="214"/>
  <c r="E13" i="214" s="1"/>
  <c r="D9" i="214"/>
  <c r="D13" i="214" s="1"/>
  <c r="C9" i="214"/>
  <c r="C13" i="214" s="1"/>
  <c r="B9" i="214"/>
  <c r="B13" i="214" s="1"/>
  <c r="N8" i="214"/>
  <c r="N7" i="214"/>
  <c r="N6" i="214"/>
  <c r="N5" i="214"/>
  <c r="N4" i="214"/>
  <c r="I73" i="222" l="1"/>
  <c r="I64" i="222"/>
  <c r="I74" i="222" s="1"/>
  <c r="J63" i="222"/>
  <c r="N44" i="214"/>
  <c r="N46" i="214" s="1"/>
  <c r="M46" i="214"/>
  <c r="H63" i="221"/>
  <c r="G73" i="221"/>
  <c r="G64" i="221"/>
  <c r="G74" i="221" s="1"/>
  <c r="H63" i="220"/>
  <c r="G73" i="220"/>
  <c r="G64" i="220"/>
  <c r="G74" i="220" s="1"/>
  <c r="G63" i="219"/>
  <c r="F73" i="219"/>
  <c r="F64" i="219"/>
  <c r="F74" i="219" s="1"/>
  <c r="D73" i="218"/>
  <c r="D64" i="218"/>
  <c r="D74" i="218" s="1"/>
  <c r="E63" i="218"/>
  <c r="D73" i="217"/>
  <c r="D64" i="217"/>
  <c r="D74" i="217" s="1"/>
  <c r="E63" i="217"/>
  <c r="D63" i="216"/>
  <c r="C73" i="216"/>
  <c r="C64" i="216"/>
  <c r="C74" i="216" s="1"/>
  <c r="N48" i="215"/>
  <c r="N61" i="215" s="1"/>
  <c r="N62" i="215" s="1"/>
  <c r="J61" i="215"/>
  <c r="J62" i="215" s="1"/>
  <c r="J72" i="215" s="1"/>
  <c r="L61" i="215"/>
  <c r="L62" i="215" s="1"/>
  <c r="L72" i="215" s="1"/>
  <c r="E50" i="215"/>
  <c r="F50" i="215"/>
  <c r="D61" i="215"/>
  <c r="D62" i="215" s="1"/>
  <c r="D72" i="215" s="1"/>
  <c r="I50" i="215"/>
  <c r="N27" i="215"/>
  <c r="N28" i="215" s="1"/>
  <c r="B72" i="215"/>
  <c r="B63" i="215"/>
  <c r="C48" i="214"/>
  <c r="G48" i="214"/>
  <c r="G61" i="214" s="1"/>
  <c r="G62" i="214" s="1"/>
  <c r="G72" i="214" s="1"/>
  <c r="K48" i="214"/>
  <c r="I48" i="214"/>
  <c r="I61" i="214" s="1"/>
  <c r="I62" i="214" s="1"/>
  <c r="I72" i="214" s="1"/>
  <c r="N20" i="214"/>
  <c r="D48" i="214"/>
  <c r="H48" i="214"/>
  <c r="H50" i="214" s="1"/>
  <c r="L48" i="214"/>
  <c r="L50" i="214" s="1"/>
  <c r="E48" i="214"/>
  <c r="E61" i="214" s="1"/>
  <c r="E62" i="214" s="1"/>
  <c r="E72" i="214" s="1"/>
  <c r="F48" i="214"/>
  <c r="J48" i="214"/>
  <c r="J50" i="214" s="1"/>
  <c r="E28" i="214"/>
  <c r="I28" i="214"/>
  <c r="M28" i="214"/>
  <c r="N58" i="214"/>
  <c r="M48" i="214"/>
  <c r="M61" i="214" s="1"/>
  <c r="M62" i="214" s="1"/>
  <c r="M72" i="214" s="1"/>
  <c r="D28" i="214"/>
  <c r="H28" i="214"/>
  <c r="L27" i="214"/>
  <c r="L28" i="214" s="1"/>
  <c r="N9" i="214"/>
  <c r="N13" i="214" s="1"/>
  <c r="B28" i="214"/>
  <c r="F28" i="214"/>
  <c r="J28" i="214"/>
  <c r="N24" i="214"/>
  <c r="N25" i="214"/>
  <c r="N26" i="214"/>
  <c r="N34" i="214"/>
  <c r="C28" i="214"/>
  <c r="G28" i="214"/>
  <c r="K28" i="214"/>
  <c r="Z53" i="214"/>
  <c r="I50" i="214"/>
  <c r="B42" i="214"/>
  <c r="B48" i="214" s="1"/>
  <c r="N38" i="214"/>
  <c r="N42" i="214" s="1"/>
  <c r="C61" i="214"/>
  <c r="C62" i="214" s="1"/>
  <c r="C72" i="214" s="1"/>
  <c r="K61" i="214"/>
  <c r="K62" i="214" s="1"/>
  <c r="K72" i="214" s="1"/>
  <c r="C50" i="214"/>
  <c r="G50" i="214"/>
  <c r="K50" i="214"/>
  <c r="N23" i="214"/>
  <c r="B9" i="213"/>
  <c r="B13" i="213" s="1"/>
  <c r="B58" i="213"/>
  <c r="B20" i="213"/>
  <c r="B34" i="213"/>
  <c r="B38" i="213" s="1"/>
  <c r="B46" i="213"/>
  <c r="C9" i="213"/>
  <c r="C13" i="213" s="1"/>
  <c r="C58" i="213"/>
  <c r="C20" i="213"/>
  <c r="C34" i="213"/>
  <c r="C38" i="213" s="1"/>
  <c r="C42" i="213" s="1"/>
  <c r="C46" i="213"/>
  <c r="D9" i="213"/>
  <c r="D13" i="213" s="1"/>
  <c r="D58" i="213"/>
  <c r="D20" i="213"/>
  <c r="D34" i="213"/>
  <c r="D38" i="213" s="1"/>
  <c r="D42" i="213" s="1"/>
  <c r="D46" i="213"/>
  <c r="D48" i="213"/>
  <c r="E9" i="213"/>
  <c r="E13" i="213" s="1"/>
  <c r="E58" i="213"/>
  <c r="E20" i="213"/>
  <c r="E34" i="213"/>
  <c r="E38" i="213" s="1"/>
  <c r="E42" i="213" s="1"/>
  <c r="E46" i="213"/>
  <c r="F9" i="213"/>
  <c r="F13" i="213" s="1"/>
  <c r="F58" i="213"/>
  <c r="F20" i="213"/>
  <c r="F34" i="213"/>
  <c r="F38" i="213" s="1"/>
  <c r="F42" i="213" s="1"/>
  <c r="F46" i="213"/>
  <c r="F48" i="213"/>
  <c r="G9" i="213"/>
  <c r="G13" i="213" s="1"/>
  <c r="G58" i="213"/>
  <c r="G20" i="213"/>
  <c r="G34" i="213"/>
  <c r="G38" i="213" s="1"/>
  <c r="G42" i="213" s="1"/>
  <c r="G46" i="213"/>
  <c r="H9" i="213"/>
  <c r="H13" i="213" s="1"/>
  <c r="H58" i="213"/>
  <c r="H20" i="213"/>
  <c r="H34" i="213"/>
  <c r="H38" i="213" s="1"/>
  <c r="H42" i="213" s="1"/>
  <c r="H46" i="213"/>
  <c r="H48" i="213"/>
  <c r="I9" i="213"/>
  <c r="I13" i="213" s="1"/>
  <c r="I58" i="213"/>
  <c r="I20" i="213"/>
  <c r="I34" i="213"/>
  <c r="I38" i="213" s="1"/>
  <c r="I42" i="213" s="1"/>
  <c r="I46" i="213"/>
  <c r="J9" i="213"/>
  <c r="J13" i="213" s="1"/>
  <c r="J58" i="213"/>
  <c r="J20" i="213"/>
  <c r="J34" i="213"/>
  <c r="J38" i="213" s="1"/>
  <c r="J42" i="213" s="1"/>
  <c r="J46" i="213"/>
  <c r="J48" i="213"/>
  <c r="K9" i="213"/>
  <c r="K13" i="213" s="1"/>
  <c r="K58" i="213"/>
  <c r="K20" i="213"/>
  <c r="K34" i="213"/>
  <c r="K38" i="213" s="1"/>
  <c r="K42" i="213" s="1"/>
  <c r="K46" i="213"/>
  <c r="L9" i="213"/>
  <c r="L13" i="213" s="1"/>
  <c r="L58" i="213"/>
  <c r="L20" i="213"/>
  <c r="L34" i="213"/>
  <c r="L38" i="213" s="1"/>
  <c r="L42" i="213" s="1"/>
  <c r="L46" i="213"/>
  <c r="L48" i="213"/>
  <c r="L50" i="213" s="1"/>
  <c r="M9" i="213"/>
  <c r="M13" i="213" s="1"/>
  <c r="M58" i="213"/>
  <c r="M20" i="213"/>
  <c r="M34" i="213"/>
  <c r="M38" i="213" s="1"/>
  <c r="M42" i="213" s="1"/>
  <c r="M44" i="213"/>
  <c r="M46" i="213"/>
  <c r="N73" i="213"/>
  <c r="B68" i="213"/>
  <c r="C68" i="213"/>
  <c r="D68" i="213"/>
  <c r="E68" i="213" s="1"/>
  <c r="F68" i="213" s="1"/>
  <c r="G68" i="213" s="1"/>
  <c r="H68" i="213" s="1"/>
  <c r="I68" i="213" s="1"/>
  <c r="J68" i="213" s="1"/>
  <c r="K68" i="213" s="1"/>
  <c r="L68" i="213" s="1"/>
  <c r="M68" i="213" s="1"/>
  <c r="N5" i="213"/>
  <c r="N6" i="213"/>
  <c r="N7" i="213"/>
  <c r="N8" i="213"/>
  <c r="N11" i="213"/>
  <c r="N53" i="213"/>
  <c r="N54" i="213"/>
  <c r="N55" i="213"/>
  <c r="N58" i="213" s="1"/>
  <c r="N56" i="213"/>
  <c r="N57" i="213"/>
  <c r="N16" i="213"/>
  <c r="N20" i="213" s="1"/>
  <c r="N17" i="213"/>
  <c r="N19" i="213"/>
  <c r="N30" i="213"/>
  <c r="N31" i="213"/>
  <c r="N34" i="213" s="1"/>
  <c r="N32" i="213"/>
  <c r="N33" i="213"/>
  <c r="N37" i="213"/>
  <c r="N39" i="213"/>
  <c r="N40" i="213"/>
  <c r="N41" i="213"/>
  <c r="N44" i="213"/>
  <c r="N45" i="213"/>
  <c r="N46" i="213"/>
  <c r="P53" i="213"/>
  <c r="Z53" i="213" s="1"/>
  <c r="D50" i="213"/>
  <c r="H50" i="213"/>
  <c r="B23" i="213"/>
  <c r="C23" i="213"/>
  <c r="D23" i="213"/>
  <c r="E23" i="213"/>
  <c r="F23" i="213"/>
  <c r="G23" i="213"/>
  <c r="H23" i="213"/>
  <c r="I23" i="213"/>
  <c r="J23" i="213"/>
  <c r="K23" i="213"/>
  <c r="L23" i="213"/>
  <c r="M23" i="213"/>
  <c r="N23" i="213"/>
  <c r="B24" i="213"/>
  <c r="C24" i="213"/>
  <c r="N24" i="213" s="1"/>
  <c r="D24" i="213"/>
  <c r="E24" i="213"/>
  <c r="E27" i="213" s="1"/>
  <c r="F24" i="213"/>
  <c r="G24" i="213"/>
  <c r="H24" i="213"/>
  <c r="I24" i="213"/>
  <c r="I27" i="213" s="1"/>
  <c r="J24" i="213"/>
  <c r="K24" i="213"/>
  <c r="L24" i="213"/>
  <c r="M24" i="213"/>
  <c r="B25" i="213"/>
  <c r="C25" i="213"/>
  <c r="N25" i="213" s="1"/>
  <c r="D25" i="213"/>
  <c r="E25" i="213"/>
  <c r="F25" i="213"/>
  <c r="G25" i="213"/>
  <c r="H25" i="213"/>
  <c r="I25" i="213"/>
  <c r="J25" i="213"/>
  <c r="K25" i="213"/>
  <c r="L25" i="213"/>
  <c r="M25" i="213"/>
  <c r="B26" i="213"/>
  <c r="C26" i="213"/>
  <c r="D26" i="213"/>
  <c r="E26" i="213"/>
  <c r="F26" i="213"/>
  <c r="G26" i="213"/>
  <c r="H26" i="213"/>
  <c r="I26" i="213"/>
  <c r="J26" i="213"/>
  <c r="K26" i="213"/>
  <c r="L26" i="213"/>
  <c r="M26" i="213"/>
  <c r="L27" i="213"/>
  <c r="L28" i="213" s="1"/>
  <c r="J27" i="213"/>
  <c r="J28" i="213" s="1"/>
  <c r="H27" i="213"/>
  <c r="H28" i="213" s="1"/>
  <c r="F27" i="213"/>
  <c r="F28" i="213" s="1"/>
  <c r="D27" i="213"/>
  <c r="D28" i="213" s="1"/>
  <c r="B27" i="213"/>
  <c r="B28" i="213" s="1"/>
  <c r="N4" i="213"/>
  <c r="C9" i="212"/>
  <c r="C13" i="212"/>
  <c r="N73" i="212"/>
  <c r="B68" i="212"/>
  <c r="C68" i="212"/>
  <c r="D68" i="212"/>
  <c r="E68" i="212" s="1"/>
  <c r="F68" i="212" s="1"/>
  <c r="G68" i="212" s="1"/>
  <c r="H68" i="212" s="1"/>
  <c r="I68" i="212" s="1"/>
  <c r="J68" i="212" s="1"/>
  <c r="K68" i="212" s="1"/>
  <c r="L68" i="212" s="1"/>
  <c r="M68" i="212" s="1"/>
  <c r="M58" i="212"/>
  <c r="L58" i="212"/>
  <c r="K58" i="212"/>
  <c r="J58" i="212"/>
  <c r="I58" i="212"/>
  <c r="H58" i="212"/>
  <c r="G58" i="212"/>
  <c r="F58" i="212"/>
  <c r="E58" i="212"/>
  <c r="D58" i="212"/>
  <c r="C58" i="212"/>
  <c r="B58" i="212"/>
  <c r="N57" i="212"/>
  <c r="N56" i="212"/>
  <c r="N55" i="212"/>
  <c r="N58" i="212" s="1"/>
  <c r="N54" i="212"/>
  <c r="N53" i="212"/>
  <c r="L46" i="212"/>
  <c r="K46" i="212"/>
  <c r="J46" i="212"/>
  <c r="I46" i="212"/>
  <c r="H46" i="212"/>
  <c r="G46" i="212"/>
  <c r="F46" i="212"/>
  <c r="E46" i="212"/>
  <c r="D46" i="212"/>
  <c r="C46" i="212"/>
  <c r="B46" i="212"/>
  <c r="N45" i="212"/>
  <c r="M44" i="212"/>
  <c r="M46" i="212" s="1"/>
  <c r="N44" i="212"/>
  <c r="N46" i="212" s="1"/>
  <c r="N41" i="212"/>
  <c r="N40" i="212"/>
  <c r="N39" i="212"/>
  <c r="N37" i="212"/>
  <c r="M34" i="212"/>
  <c r="L34" i="212"/>
  <c r="L38" i="212"/>
  <c r="L42" i="212"/>
  <c r="K34" i="212"/>
  <c r="K38" i="212"/>
  <c r="K42" i="212"/>
  <c r="J34" i="212"/>
  <c r="J38" i="212" s="1"/>
  <c r="J42" i="212" s="1"/>
  <c r="I34" i="212"/>
  <c r="H34" i="212"/>
  <c r="H38" i="212" s="1"/>
  <c r="H42" i="212" s="1"/>
  <c r="G34" i="212"/>
  <c r="G38" i="212"/>
  <c r="G42" i="212" s="1"/>
  <c r="F34" i="212"/>
  <c r="F38" i="212"/>
  <c r="F42" i="212"/>
  <c r="E34" i="212"/>
  <c r="D34" i="212"/>
  <c r="D38" i="212"/>
  <c r="D42" i="212"/>
  <c r="D48" i="212" s="1"/>
  <c r="D61" i="212" s="1"/>
  <c r="C34" i="212"/>
  <c r="C38" i="212"/>
  <c r="C42" i="212"/>
  <c r="B34" i="212"/>
  <c r="B38" i="212" s="1"/>
  <c r="N33" i="212"/>
  <c r="N32" i="212"/>
  <c r="N31" i="212"/>
  <c r="N30" i="212"/>
  <c r="M26" i="212"/>
  <c r="L26" i="212"/>
  <c r="K26" i="212"/>
  <c r="J26" i="212"/>
  <c r="I26" i="212"/>
  <c r="H26" i="212"/>
  <c r="G26" i="212"/>
  <c r="F26" i="212"/>
  <c r="E26" i="212"/>
  <c r="D26" i="212"/>
  <c r="N26" i="212" s="1"/>
  <c r="C26" i="212"/>
  <c r="B26" i="212"/>
  <c r="M25" i="212"/>
  <c r="L25" i="212"/>
  <c r="K25" i="212"/>
  <c r="J25" i="212"/>
  <c r="I25" i="212"/>
  <c r="H25" i="212"/>
  <c r="G25" i="212"/>
  <c r="F25" i="212"/>
  <c r="E25" i="212"/>
  <c r="D25" i="212"/>
  <c r="N25" i="212" s="1"/>
  <c r="C25" i="212"/>
  <c r="B25" i="212"/>
  <c r="M24" i="212"/>
  <c r="L24" i="212"/>
  <c r="L27" i="212" s="1"/>
  <c r="K24" i="212"/>
  <c r="J24" i="212"/>
  <c r="I24" i="212"/>
  <c r="H24" i="212"/>
  <c r="G24" i="212"/>
  <c r="F24" i="212"/>
  <c r="E24" i="212"/>
  <c r="D24" i="212"/>
  <c r="D27" i="212" s="1"/>
  <c r="C24" i="212"/>
  <c r="B24" i="212"/>
  <c r="M23" i="212"/>
  <c r="M27" i="212"/>
  <c r="L23" i="212"/>
  <c r="K23" i="212"/>
  <c r="K27" i="212"/>
  <c r="K28" i="212" s="1"/>
  <c r="J23" i="212"/>
  <c r="I23" i="212"/>
  <c r="I27" i="212"/>
  <c r="H23" i="212"/>
  <c r="H27" i="212" s="1"/>
  <c r="G23" i="212"/>
  <c r="G27" i="212"/>
  <c r="F23" i="212"/>
  <c r="E23" i="212"/>
  <c r="D23" i="212"/>
  <c r="C23" i="212"/>
  <c r="C27" i="212"/>
  <c r="C28" i="212" s="1"/>
  <c r="B23" i="212"/>
  <c r="M20" i="212"/>
  <c r="L20" i="212"/>
  <c r="L48" i="212"/>
  <c r="K20" i="212"/>
  <c r="J20" i="212"/>
  <c r="I20" i="212"/>
  <c r="H20" i="212"/>
  <c r="H48" i="212" s="1"/>
  <c r="H61" i="212" s="1"/>
  <c r="G20" i="212"/>
  <c r="F20" i="212"/>
  <c r="E20" i="212"/>
  <c r="D20" i="212"/>
  <c r="C20" i="212"/>
  <c r="B20" i="212"/>
  <c r="N19" i="212"/>
  <c r="N17" i="212"/>
  <c r="N16" i="212"/>
  <c r="N20" i="212" s="1"/>
  <c r="N11" i="212"/>
  <c r="M9" i="212"/>
  <c r="M13" i="212"/>
  <c r="L9" i="212"/>
  <c r="L13" i="212" s="1"/>
  <c r="K9" i="212"/>
  <c r="K13" i="212"/>
  <c r="J9" i="212"/>
  <c r="J13" i="212" s="1"/>
  <c r="I9" i="212"/>
  <c r="I13" i="212"/>
  <c r="H9" i="212"/>
  <c r="H13" i="212" s="1"/>
  <c r="G9" i="212"/>
  <c r="G13" i="212"/>
  <c r="F9" i="212"/>
  <c r="F13" i="212" s="1"/>
  <c r="E9" i="212"/>
  <c r="E13" i="212"/>
  <c r="D9" i="212"/>
  <c r="D13" i="212" s="1"/>
  <c r="B9" i="212"/>
  <c r="B13" i="212"/>
  <c r="N8" i="212"/>
  <c r="N7" i="212"/>
  <c r="N9" i="212" s="1"/>
  <c r="N13" i="212" s="1"/>
  <c r="N6" i="212"/>
  <c r="N5" i="212"/>
  <c r="N4" i="212"/>
  <c r="G28" i="212"/>
  <c r="H28" i="212"/>
  <c r="I28" i="212"/>
  <c r="M28" i="212"/>
  <c r="E27" i="212"/>
  <c r="E28" i="212" s="1"/>
  <c r="N24" i="212"/>
  <c r="J27" i="212"/>
  <c r="J28" i="212"/>
  <c r="D28" i="212"/>
  <c r="I38" i="212"/>
  <c r="I42" i="212"/>
  <c r="I48" i="212" s="1"/>
  <c r="I50" i="212" s="1"/>
  <c r="E38" i="212"/>
  <c r="E42" i="212"/>
  <c r="E48" i="212" s="1"/>
  <c r="E50" i="212" s="1"/>
  <c r="F48" i="212"/>
  <c r="F61" i="212" s="1"/>
  <c r="J48" i="212"/>
  <c r="J61" i="212"/>
  <c r="B27" i="212"/>
  <c r="B28" i="212"/>
  <c r="N34" i="212"/>
  <c r="L61" i="212"/>
  <c r="C48" i="212"/>
  <c r="G48" i="212"/>
  <c r="G50" i="212" s="1"/>
  <c r="K48" i="212"/>
  <c r="K61" i="212"/>
  <c r="K62" i="212" s="1"/>
  <c r="K72" i="212" s="1"/>
  <c r="M38" i="212"/>
  <c r="M42" i="212"/>
  <c r="M48" i="212" s="1"/>
  <c r="P53" i="212"/>
  <c r="Z53" i="212" s="1"/>
  <c r="G61" i="212"/>
  <c r="G62" i="212" s="1"/>
  <c r="G72" i="212" s="1"/>
  <c r="C61" i="212"/>
  <c r="I61" i="212"/>
  <c r="I62" i="212" s="1"/>
  <c r="I72" i="212" s="1"/>
  <c r="J50" i="212"/>
  <c r="E61" i="212"/>
  <c r="E62" i="212" s="1"/>
  <c r="E72" i="212" s="1"/>
  <c r="K50" i="212"/>
  <c r="N73" i="211"/>
  <c r="B68" i="211"/>
  <c r="C68" i="211" s="1"/>
  <c r="D68" i="211" s="1"/>
  <c r="E68" i="211"/>
  <c r="F68" i="211" s="1"/>
  <c r="G68" i="211" s="1"/>
  <c r="H68" i="211" s="1"/>
  <c r="I68" i="211" s="1"/>
  <c r="J68" i="211" s="1"/>
  <c r="K68" i="211" s="1"/>
  <c r="L68" i="211" s="1"/>
  <c r="M68" i="211" s="1"/>
  <c r="M58" i="211"/>
  <c r="L58" i="211"/>
  <c r="K58" i="211"/>
  <c r="J58" i="211"/>
  <c r="I58" i="211"/>
  <c r="H58" i="211"/>
  <c r="G58" i="211"/>
  <c r="F58" i="211"/>
  <c r="E58" i="211"/>
  <c r="D58" i="211"/>
  <c r="C58" i="211"/>
  <c r="B58" i="211"/>
  <c r="N57" i="211"/>
  <c r="N56" i="211"/>
  <c r="N55" i="211"/>
  <c r="N54" i="211"/>
  <c r="N58" i="211" s="1"/>
  <c r="N53" i="211"/>
  <c r="L46" i="211"/>
  <c r="K46" i="211"/>
  <c r="J46" i="211"/>
  <c r="I46" i="211"/>
  <c r="H46" i="211"/>
  <c r="G46" i="211"/>
  <c r="F46" i="211"/>
  <c r="E46" i="211"/>
  <c r="D46" i="211"/>
  <c r="C46" i="211"/>
  <c r="B46" i="211"/>
  <c r="N45" i="211"/>
  <c r="M44" i="211"/>
  <c r="N44" i="211" s="1"/>
  <c r="N41" i="211"/>
  <c r="N40" i="211"/>
  <c r="N39" i="211"/>
  <c r="N37" i="211"/>
  <c r="M34" i="211"/>
  <c r="L34" i="211"/>
  <c r="L38" i="211"/>
  <c r="L42" i="211" s="1"/>
  <c r="L48" i="211" s="1"/>
  <c r="L61" i="211" s="1"/>
  <c r="K34" i="211"/>
  <c r="K38" i="211" s="1"/>
  <c r="K42" i="211" s="1"/>
  <c r="K48" i="211" s="1"/>
  <c r="K61" i="211" s="1"/>
  <c r="J34" i="211"/>
  <c r="J38" i="211" s="1"/>
  <c r="J42" i="211" s="1"/>
  <c r="J48" i="211" s="1"/>
  <c r="I34" i="211"/>
  <c r="I38" i="211" s="1"/>
  <c r="I42" i="211" s="1"/>
  <c r="H34" i="211"/>
  <c r="H38" i="211"/>
  <c r="H42" i="211" s="1"/>
  <c r="G34" i="211"/>
  <c r="G38" i="211" s="1"/>
  <c r="G42" i="211" s="1"/>
  <c r="F34" i="211"/>
  <c r="F38" i="211" s="1"/>
  <c r="F42" i="211" s="1"/>
  <c r="F48" i="211" s="1"/>
  <c r="E34" i="211"/>
  <c r="D34" i="211"/>
  <c r="D38" i="211"/>
  <c r="D42" i="211" s="1"/>
  <c r="C34" i="211"/>
  <c r="C38" i="211" s="1"/>
  <c r="C42" i="211" s="1"/>
  <c r="B34" i="211"/>
  <c r="B38" i="211" s="1"/>
  <c r="N33" i="211"/>
  <c r="N32" i="211"/>
  <c r="N34" i="211" s="1"/>
  <c r="N31" i="211"/>
  <c r="N30" i="211"/>
  <c r="M26" i="211"/>
  <c r="L26" i="211"/>
  <c r="K26" i="211"/>
  <c r="J26" i="211"/>
  <c r="I26" i="211"/>
  <c r="H26" i="211"/>
  <c r="G26" i="211"/>
  <c r="F26" i="211"/>
  <c r="E26" i="211"/>
  <c r="D26" i="211"/>
  <c r="N26" i="211" s="1"/>
  <c r="C26" i="211"/>
  <c r="B26" i="211"/>
  <c r="M25" i="211"/>
  <c r="L25" i="211"/>
  <c r="K25" i="211"/>
  <c r="J25" i="211"/>
  <c r="I25" i="211"/>
  <c r="H25" i="211"/>
  <c r="G25" i="211"/>
  <c r="F25" i="211"/>
  <c r="E25" i="211"/>
  <c r="D25" i="211"/>
  <c r="N25" i="211" s="1"/>
  <c r="C25" i="211"/>
  <c r="B25" i="211"/>
  <c r="M24" i="211"/>
  <c r="L24" i="211"/>
  <c r="K24" i="211"/>
  <c r="J24" i="211"/>
  <c r="I24" i="211"/>
  <c r="H24" i="211"/>
  <c r="G24" i="211"/>
  <c r="F24" i="211"/>
  <c r="E24" i="211"/>
  <c r="D24" i="211"/>
  <c r="C24" i="211"/>
  <c r="C27" i="211" s="1"/>
  <c r="B24" i="211"/>
  <c r="M23" i="211"/>
  <c r="M27" i="211"/>
  <c r="M28" i="211" s="1"/>
  <c r="L23" i="211"/>
  <c r="K23" i="211"/>
  <c r="K27" i="211"/>
  <c r="J23" i="211"/>
  <c r="J27" i="211" s="1"/>
  <c r="J28" i="211" s="1"/>
  <c r="I23" i="211"/>
  <c r="I27" i="211"/>
  <c r="I28" i="211" s="1"/>
  <c r="H23" i="211"/>
  <c r="G23" i="211"/>
  <c r="G27" i="211"/>
  <c r="F23" i="211"/>
  <c r="F27" i="211" s="1"/>
  <c r="F28" i="211" s="1"/>
  <c r="E23" i="211"/>
  <c r="E27" i="211"/>
  <c r="E28" i="211" s="1"/>
  <c r="D23" i="211"/>
  <c r="C23" i="211"/>
  <c r="B23" i="211"/>
  <c r="B27" i="211" s="1"/>
  <c r="B28" i="211" s="1"/>
  <c r="M20" i="211"/>
  <c r="L20" i="211"/>
  <c r="K20" i="211"/>
  <c r="J20" i="211"/>
  <c r="I20" i="211"/>
  <c r="H20" i="211"/>
  <c r="G20" i="211"/>
  <c r="F20" i="211"/>
  <c r="E20" i="211"/>
  <c r="D20" i="211"/>
  <c r="D48" i="211" s="1"/>
  <c r="C20" i="211"/>
  <c r="B20" i="211"/>
  <c r="N19" i="211"/>
  <c r="N20" i="211" s="1"/>
  <c r="N17" i="211"/>
  <c r="N16" i="211"/>
  <c r="N11" i="211"/>
  <c r="M9" i="211"/>
  <c r="M13" i="211" s="1"/>
  <c r="L9" i="211"/>
  <c r="L13" i="211" s="1"/>
  <c r="L50" i="211" s="1"/>
  <c r="K9" i="211"/>
  <c r="K13" i="211" s="1"/>
  <c r="J9" i="211"/>
  <c r="J13" i="211" s="1"/>
  <c r="I9" i="211"/>
  <c r="I13" i="211" s="1"/>
  <c r="H9" i="211"/>
  <c r="H13" i="211" s="1"/>
  <c r="G9" i="211"/>
  <c r="G13" i="211" s="1"/>
  <c r="F9" i="211"/>
  <c r="F13" i="211" s="1"/>
  <c r="E9" i="211"/>
  <c r="E13" i="211" s="1"/>
  <c r="D9" i="211"/>
  <c r="D13" i="211" s="1"/>
  <c r="D50" i="211" s="1"/>
  <c r="C9" i="211"/>
  <c r="C13" i="211" s="1"/>
  <c r="B9" i="211"/>
  <c r="B13" i="211" s="1"/>
  <c r="N8" i="211"/>
  <c r="N9" i="211" s="1"/>
  <c r="N7" i="211"/>
  <c r="N6" i="211"/>
  <c r="N5" i="211"/>
  <c r="N4" i="211"/>
  <c r="K28" i="211"/>
  <c r="I48" i="211"/>
  <c r="I61" i="211" s="1"/>
  <c r="H48" i="211"/>
  <c r="H61" i="211" s="1"/>
  <c r="N13" i="211"/>
  <c r="K50" i="211"/>
  <c r="D61" i="211"/>
  <c r="D62" i="211"/>
  <c r="D72" i="211" s="1"/>
  <c r="I62" i="211"/>
  <c r="I72" i="211" s="1"/>
  <c r="N23" i="211"/>
  <c r="P53" i="211"/>
  <c r="Z53" i="211" s="1"/>
  <c r="L62" i="211"/>
  <c r="L72" i="211" s="1"/>
  <c r="J61" i="211"/>
  <c r="M44" i="209"/>
  <c r="M93" i="209"/>
  <c r="L93" i="209"/>
  <c r="K93" i="209"/>
  <c r="J93" i="209"/>
  <c r="I93" i="209"/>
  <c r="H93" i="209"/>
  <c r="G93" i="209"/>
  <c r="F93" i="209"/>
  <c r="E93" i="209"/>
  <c r="D93" i="209"/>
  <c r="C93" i="209"/>
  <c r="B93" i="209"/>
  <c r="M87" i="209"/>
  <c r="K87" i="209"/>
  <c r="J87" i="209"/>
  <c r="I87" i="209"/>
  <c r="H87" i="209"/>
  <c r="G87" i="209"/>
  <c r="F87" i="209"/>
  <c r="E87" i="209"/>
  <c r="D87" i="209"/>
  <c r="C87" i="209"/>
  <c r="C88" i="209" s="1"/>
  <c r="D88" i="209" s="1"/>
  <c r="E88" i="209" s="1"/>
  <c r="F88" i="209" s="1"/>
  <c r="G88" i="209" s="1"/>
  <c r="H88" i="209" s="1"/>
  <c r="B87" i="209"/>
  <c r="J84" i="209"/>
  <c r="F84" i="209"/>
  <c r="D84" i="209"/>
  <c r="C84" i="209"/>
  <c r="B84" i="209"/>
  <c r="B83" i="209"/>
  <c r="C83" i="209" s="1"/>
  <c r="N73" i="209"/>
  <c r="B68" i="209"/>
  <c r="C68" i="209"/>
  <c r="D68" i="209"/>
  <c r="E68" i="209" s="1"/>
  <c r="F68" i="209" s="1"/>
  <c r="G68" i="209" s="1"/>
  <c r="H68" i="209" s="1"/>
  <c r="I68" i="209" s="1"/>
  <c r="J68" i="209" s="1"/>
  <c r="K68" i="209" s="1"/>
  <c r="L68" i="209" s="1"/>
  <c r="M68" i="209" s="1"/>
  <c r="K58" i="209"/>
  <c r="J58" i="209"/>
  <c r="I58" i="209"/>
  <c r="I61" i="209" s="1"/>
  <c r="H58" i="209"/>
  <c r="G58" i="209"/>
  <c r="F58" i="209"/>
  <c r="D58" i="209"/>
  <c r="C58" i="209"/>
  <c r="B58" i="209"/>
  <c r="N57" i="209"/>
  <c r="L87" i="209"/>
  <c r="N55" i="209"/>
  <c r="N54" i="209"/>
  <c r="N53" i="209"/>
  <c r="M58" i="209"/>
  <c r="M84" i="209"/>
  <c r="L46" i="209"/>
  <c r="K46" i="209"/>
  <c r="J46" i="209"/>
  <c r="I46" i="209"/>
  <c r="H46" i="209"/>
  <c r="G46" i="209"/>
  <c r="F46" i="209"/>
  <c r="E46" i="209"/>
  <c r="D46" i="209"/>
  <c r="C46" i="209"/>
  <c r="B46" i="209"/>
  <c r="M46" i="209"/>
  <c r="N44" i="209"/>
  <c r="N41" i="209"/>
  <c r="N40" i="209"/>
  <c r="N39" i="209"/>
  <c r="N37" i="209"/>
  <c r="M34" i="209"/>
  <c r="M38" i="209"/>
  <c r="M42" i="209" s="1"/>
  <c r="M48" i="209" s="1"/>
  <c r="L34" i="209"/>
  <c r="L38" i="209"/>
  <c r="L42" i="209"/>
  <c r="K34" i="209"/>
  <c r="K38" i="209"/>
  <c r="K42" i="209"/>
  <c r="J34" i="209"/>
  <c r="J38" i="209" s="1"/>
  <c r="J42" i="209" s="1"/>
  <c r="I34" i="209"/>
  <c r="I38" i="209"/>
  <c r="I42" i="209" s="1"/>
  <c r="I48" i="209" s="1"/>
  <c r="H34" i="209"/>
  <c r="H38" i="209"/>
  <c r="H42" i="209"/>
  <c r="G34" i="209"/>
  <c r="G38" i="209"/>
  <c r="G42" i="209"/>
  <c r="F34" i="209"/>
  <c r="E34" i="209"/>
  <c r="E38" i="209"/>
  <c r="E42" i="209" s="1"/>
  <c r="E48" i="209" s="1"/>
  <c r="D34" i="209"/>
  <c r="D38" i="209"/>
  <c r="D42" i="209"/>
  <c r="C34" i="209"/>
  <c r="C38" i="209"/>
  <c r="C42" i="209"/>
  <c r="B34" i="209"/>
  <c r="N33" i="209"/>
  <c r="N32" i="209"/>
  <c r="N31" i="209"/>
  <c r="N34" i="209" s="1"/>
  <c r="N30" i="209"/>
  <c r="M26" i="209"/>
  <c r="L26" i="209"/>
  <c r="K26" i="209"/>
  <c r="J26" i="209"/>
  <c r="I26" i="209"/>
  <c r="H26" i="209"/>
  <c r="G26" i="209"/>
  <c r="F26" i="209"/>
  <c r="E26" i="209"/>
  <c r="D26" i="209"/>
  <c r="C26" i="209"/>
  <c r="B26" i="209"/>
  <c r="M25" i="209"/>
  <c r="L25" i="209"/>
  <c r="K25" i="209"/>
  <c r="J25" i="209"/>
  <c r="I25" i="209"/>
  <c r="H25" i="209"/>
  <c r="G25" i="209"/>
  <c r="F25" i="209"/>
  <c r="E25" i="209"/>
  <c r="D25" i="209"/>
  <c r="C25" i="209"/>
  <c r="N25" i="209" s="1"/>
  <c r="B25" i="209"/>
  <c r="M24" i="209"/>
  <c r="L24" i="209"/>
  <c r="K24" i="209"/>
  <c r="J24" i="209"/>
  <c r="I24" i="209"/>
  <c r="H24" i="209"/>
  <c r="G24" i="209"/>
  <c r="G27" i="209" s="1"/>
  <c r="G28" i="209" s="1"/>
  <c r="F24" i="209"/>
  <c r="E24" i="209"/>
  <c r="D24" i="209"/>
  <c r="C24" i="209"/>
  <c r="N24" i="209" s="1"/>
  <c r="B24" i="209"/>
  <c r="M23" i="209"/>
  <c r="L23" i="209"/>
  <c r="K23" i="209"/>
  <c r="K27" i="209" s="1"/>
  <c r="K28" i="209" s="1"/>
  <c r="J23" i="209"/>
  <c r="J27" i="209"/>
  <c r="I23" i="209"/>
  <c r="I27" i="209" s="1"/>
  <c r="I28" i="209" s="1"/>
  <c r="H23" i="209"/>
  <c r="G23" i="209"/>
  <c r="F23" i="209"/>
  <c r="F27" i="209" s="1"/>
  <c r="F28" i="209" s="1"/>
  <c r="E23" i="209"/>
  <c r="D23" i="209"/>
  <c r="C23" i="209"/>
  <c r="B23" i="209"/>
  <c r="M20" i="209"/>
  <c r="L20" i="209"/>
  <c r="L48" i="209" s="1"/>
  <c r="L50" i="209" s="1"/>
  <c r="K20" i="209"/>
  <c r="J20" i="209"/>
  <c r="I20" i="209"/>
  <c r="H20" i="209"/>
  <c r="H48" i="209" s="1"/>
  <c r="H61" i="209" s="1"/>
  <c r="H62" i="209" s="1"/>
  <c r="H72" i="209" s="1"/>
  <c r="G20" i="209"/>
  <c r="F20" i="209"/>
  <c r="E20" i="209"/>
  <c r="D20" i="209"/>
  <c r="D48" i="209" s="1"/>
  <c r="D50" i="209" s="1"/>
  <c r="C20" i="209"/>
  <c r="B20" i="209"/>
  <c r="N19" i="209"/>
  <c r="N17" i="209"/>
  <c r="N16" i="209"/>
  <c r="N11" i="209"/>
  <c r="M9" i="209"/>
  <c r="M13" i="209"/>
  <c r="L9" i="209"/>
  <c r="L13" i="209"/>
  <c r="K9" i="209"/>
  <c r="K13" i="209"/>
  <c r="K50" i="209" s="1"/>
  <c r="J9" i="209"/>
  <c r="J13" i="209"/>
  <c r="I9" i="209"/>
  <c r="I13" i="209"/>
  <c r="H9" i="209"/>
  <c r="H13" i="209"/>
  <c r="G9" i="209"/>
  <c r="G13" i="209"/>
  <c r="F9" i="209"/>
  <c r="F13" i="209"/>
  <c r="E9" i="209"/>
  <c r="E13" i="209"/>
  <c r="D9" i="209"/>
  <c r="D13" i="209"/>
  <c r="C9" i="209"/>
  <c r="C13" i="209"/>
  <c r="C62" i="209" s="1"/>
  <c r="C72" i="209" s="1"/>
  <c r="B9" i="209"/>
  <c r="B13" i="209"/>
  <c r="N8" i="209"/>
  <c r="N7" i="209"/>
  <c r="N9" i="209" s="1"/>
  <c r="N13" i="209" s="1"/>
  <c r="N6" i="209"/>
  <c r="N5" i="209"/>
  <c r="N4" i="209"/>
  <c r="P53" i="209"/>
  <c r="Z53" i="209" s="1"/>
  <c r="E27" i="209"/>
  <c r="M27" i="209"/>
  <c r="M28" i="209"/>
  <c r="L27" i="209"/>
  <c r="L28" i="209" s="1"/>
  <c r="H27" i="209"/>
  <c r="H28" i="209" s="1"/>
  <c r="D27" i="209"/>
  <c r="D28" i="209"/>
  <c r="B27" i="209"/>
  <c r="B28" i="209" s="1"/>
  <c r="E28" i="209"/>
  <c r="I88" i="209"/>
  <c r="J88" i="209" s="1"/>
  <c r="K88" i="209" s="1"/>
  <c r="L88" i="209" s="1"/>
  <c r="M88" i="209" s="1"/>
  <c r="J28" i="209"/>
  <c r="N26" i="209"/>
  <c r="N20" i="209"/>
  <c r="C48" i="209"/>
  <c r="C61" i="209" s="1"/>
  <c r="G48" i="209"/>
  <c r="G61" i="209" s="1"/>
  <c r="K48" i="209"/>
  <c r="B85" i="209"/>
  <c r="N45" i="209"/>
  <c r="N46" i="209"/>
  <c r="N56" i="209"/>
  <c r="N87" i="209"/>
  <c r="G84" i="209"/>
  <c r="K84" i="209"/>
  <c r="N23" i="209"/>
  <c r="L58" i="209"/>
  <c r="H84" i="209"/>
  <c r="L84" i="209"/>
  <c r="E58" i="209"/>
  <c r="E61" i="209" s="1"/>
  <c r="E84" i="209"/>
  <c r="I84" i="209"/>
  <c r="L57" i="208"/>
  <c r="L56" i="208"/>
  <c r="L61" i="209"/>
  <c r="L62" i="209" s="1"/>
  <c r="L72" i="209" s="1"/>
  <c r="D61" i="209"/>
  <c r="D62" i="209" s="1"/>
  <c r="D72" i="209" s="1"/>
  <c r="K61" i="209"/>
  <c r="K62" i="209"/>
  <c r="K72" i="209" s="1"/>
  <c r="N58" i="209"/>
  <c r="M93" i="208"/>
  <c r="L93" i="208"/>
  <c r="K93" i="208"/>
  <c r="J93" i="208"/>
  <c r="I93" i="208"/>
  <c r="H93" i="208"/>
  <c r="G93" i="208"/>
  <c r="F93" i="208"/>
  <c r="E93" i="208"/>
  <c r="D93" i="208"/>
  <c r="C93" i="208"/>
  <c r="B93" i="208"/>
  <c r="K87" i="208"/>
  <c r="J87" i="208"/>
  <c r="I87" i="208"/>
  <c r="H87" i="208"/>
  <c r="G87" i="208"/>
  <c r="F87" i="208"/>
  <c r="E87" i="208"/>
  <c r="D87" i="208"/>
  <c r="C87" i="208"/>
  <c r="B87" i="208"/>
  <c r="D84" i="208"/>
  <c r="C84" i="208"/>
  <c r="B84" i="208"/>
  <c r="B83" i="208"/>
  <c r="N73" i="208"/>
  <c r="B68" i="208"/>
  <c r="C68" i="208"/>
  <c r="D68" i="208" s="1"/>
  <c r="E68" i="208" s="1"/>
  <c r="F68" i="208" s="1"/>
  <c r="G68" i="208"/>
  <c r="H68" i="208" s="1"/>
  <c r="I68" i="208" s="1"/>
  <c r="J68" i="208" s="1"/>
  <c r="K68" i="208" s="1"/>
  <c r="L68" i="208" s="1"/>
  <c r="M68" i="208" s="1"/>
  <c r="K58" i="208"/>
  <c r="J58" i="208"/>
  <c r="I58" i="208"/>
  <c r="H58" i="208"/>
  <c r="G58" i="208"/>
  <c r="F58" i="208"/>
  <c r="D58" i="208"/>
  <c r="C58" i="208"/>
  <c r="N57" i="208"/>
  <c r="M87" i="208"/>
  <c r="M55" i="208"/>
  <c r="B55" i="208"/>
  <c r="N54" i="208"/>
  <c r="M53" i="208"/>
  <c r="E53" i="208"/>
  <c r="L46" i="208"/>
  <c r="K46" i="208"/>
  <c r="J46" i="208"/>
  <c r="I46" i="208"/>
  <c r="H46" i="208"/>
  <c r="G46" i="208"/>
  <c r="F46" i="208"/>
  <c r="E46" i="208"/>
  <c r="D46" i="208"/>
  <c r="C46" i="208"/>
  <c r="B46" i="208"/>
  <c r="M45" i="208"/>
  <c r="M46" i="208" s="1"/>
  <c r="N44" i="208"/>
  <c r="N41" i="208"/>
  <c r="N40" i="208"/>
  <c r="N39" i="208"/>
  <c r="N37" i="208"/>
  <c r="M34" i="208"/>
  <c r="L34" i="208"/>
  <c r="L38" i="208"/>
  <c r="L42" i="208" s="1"/>
  <c r="L48" i="208" s="1"/>
  <c r="K34" i="208"/>
  <c r="K38" i="208"/>
  <c r="K42" i="208"/>
  <c r="K48" i="208" s="1"/>
  <c r="J34" i="208"/>
  <c r="J38" i="208" s="1"/>
  <c r="J42" i="208" s="1"/>
  <c r="I34" i="208"/>
  <c r="H34" i="208"/>
  <c r="H38" i="208"/>
  <c r="H42" i="208" s="1"/>
  <c r="H48" i="208" s="1"/>
  <c r="H61" i="208" s="1"/>
  <c r="G34" i="208"/>
  <c r="G38" i="208"/>
  <c r="G42" i="208"/>
  <c r="F34" i="208"/>
  <c r="F38" i="208" s="1"/>
  <c r="F42" i="208" s="1"/>
  <c r="E34" i="208"/>
  <c r="D34" i="208"/>
  <c r="D38" i="208"/>
  <c r="D42" i="208" s="1"/>
  <c r="D48" i="208" s="1"/>
  <c r="D61" i="208" s="1"/>
  <c r="D62" i="208" s="1"/>
  <c r="D72" i="208" s="1"/>
  <c r="C34" i="208"/>
  <c r="C38" i="208"/>
  <c r="C42" i="208"/>
  <c r="C48" i="208" s="1"/>
  <c r="C61" i="208" s="1"/>
  <c r="B34" i="208"/>
  <c r="B38" i="208" s="1"/>
  <c r="B42" i="208" s="1"/>
  <c r="N33" i="208"/>
  <c r="N34" i="208" s="1"/>
  <c r="N32" i="208"/>
  <c r="N31" i="208"/>
  <c r="N30" i="208"/>
  <c r="M26" i="208"/>
  <c r="L26" i="208"/>
  <c r="K26" i="208"/>
  <c r="J26" i="208"/>
  <c r="I26" i="208"/>
  <c r="H26" i="208"/>
  <c r="G26" i="208"/>
  <c r="F26" i="208"/>
  <c r="E26" i="208"/>
  <c r="N26" i="208" s="1"/>
  <c r="D26" i="208"/>
  <c r="C26" i="208"/>
  <c r="B26" i="208"/>
  <c r="M25" i="208"/>
  <c r="L25" i="208"/>
  <c r="K25" i="208"/>
  <c r="J25" i="208"/>
  <c r="I25" i="208"/>
  <c r="H25" i="208"/>
  <c r="G25" i="208"/>
  <c r="F25" i="208"/>
  <c r="E25" i="208"/>
  <c r="N25" i="208" s="1"/>
  <c r="D25" i="208"/>
  <c r="C25" i="208"/>
  <c r="B25" i="208"/>
  <c r="M24" i="208"/>
  <c r="L24" i="208"/>
  <c r="K24" i="208"/>
  <c r="J24" i="208"/>
  <c r="I24" i="208"/>
  <c r="I27" i="208" s="1"/>
  <c r="I28" i="208" s="1"/>
  <c r="H24" i="208"/>
  <c r="G24" i="208"/>
  <c r="F24" i="208"/>
  <c r="E24" i="208"/>
  <c r="N24" i="208" s="1"/>
  <c r="D24" i="208"/>
  <c r="C24" i="208"/>
  <c r="B24" i="208"/>
  <c r="M23" i="208"/>
  <c r="M27" i="208" s="1"/>
  <c r="M28" i="208" s="1"/>
  <c r="L23" i="208"/>
  <c r="K23" i="208"/>
  <c r="K27" i="208"/>
  <c r="J23" i="208"/>
  <c r="I23" i="208"/>
  <c r="H23" i="208"/>
  <c r="H27" i="208"/>
  <c r="G23" i="208"/>
  <c r="G27" i="208" s="1"/>
  <c r="G28" i="208" s="1"/>
  <c r="F23" i="208"/>
  <c r="F27" i="208"/>
  <c r="E23" i="208"/>
  <c r="D23" i="208"/>
  <c r="C23" i="208"/>
  <c r="C27" i="208"/>
  <c r="B23" i="208"/>
  <c r="B27" i="208" s="1"/>
  <c r="M20" i="208"/>
  <c r="L20" i="208"/>
  <c r="K20" i="208"/>
  <c r="J20" i="208"/>
  <c r="I20" i="208"/>
  <c r="H20" i="208"/>
  <c r="G20" i="208"/>
  <c r="F20" i="208"/>
  <c r="E20" i="208"/>
  <c r="D20" i="208"/>
  <c r="C20" i="208"/>
  <c r="B20" i="208"/>
  <c r="N19" i="208"/>
  <c r="N17" i="208"/>
  <c r="N16" i="208"/>
  <c r="N20" i="208" s="1"/>
  <c r="J11" i="208"/>
  <c r="I11" i="208"/>
  <c r="H11" i="208"/>
  <c r="G11" i="208"/>
  <c r="G13" i="208" s="1"/>
  <c r="F11" i="208"/>
  <c r="E11" i="208"/>
  <c r="D11" i="208"/>
  <c r="C11" i="208"/>
  <c r="B11" i="208"/>
  <c r="M9" i="208"/>
  <c r="M13" i="208"/>
  <c r="L9" i="208"/>
  <c r="K9" i="208"/>
  <c r="K13" i="208"/>
  <c r="J9" i="208"/>
  <c r="J13" i="208" s="1"/>
  <c r="I9" i="208"/>
  <c r="I13" i="208"/>
  <c r="H9" i="208"/>
  <c r="G9" i="208"/>
  <c r="F9" i="208"/>
  <c r="E9" i="208"/>
  <c r="E13" i="208"/>
  <c r="D9" i="208"/>
  <c r="D13" i="208" s="1"/>
  <c r="C9" i="208"/>
  <c r="B9" i="208"/>
  <c r="B13" i="208" s="1"/>
  <c r="N8" i="208"/>
  <c r="N7" i="208"/>
  <c r="N6" i="208"/>
  <c r="N9" i="208" s="1"/>
  <c r="N5" i="208"/>
  <c r="N4" i="208"/>
  <c r="N45" i="208"/>
  <c r="N46" i="208"/>
  <c r="E58" i="208"/>
  <c r="L27" i="208"/>
  <c r="D27" i="208"/>
  <c r="D28" i="208" s="1"/>
  <c r="J27" i="208"/>
  <c r="J28" i="208" s="1"/>
  <c r="C28" i="208"/>
  <c r="K28" i="208"/>
  <c r="C88" i="208"/>
  <c r="D88" i="208" s="1"/>
  <c r="E88" i="208" s="1"/>
  <c r="F88" i="208" s="1"/>
  <c r="G88" i="208"/>
  <c r="H88" i="208" s="1"/>
  <c r="I88" i="208" s="1"/>
  <c r="J88" i="208" s="1"/>
  <c r="K88" i="208" s="1"/>
  <c r="M58" i="208"/>
  <c r="G48" i="208"/>
  <c r="M84" i="208"/>
  <c r="L84" i="208"/>
  <c r="H84" i="208"/>
  <c r="M53" i="207"/>
  <c r="M55" i="207"/>
  <c r="M58" i="207" s="1"/>
  <c r="M45" i="207"/>
  <c r="L56" i="207"/>
  <c r="M56" i="207"/>
  <c r="D50" i="208"/>
  <c r="G61" i="208"/>
  <c r="M93" i="207"/>
  <c r="L93" i="207"/>
  <c r="K93" i="207"/>
  <c r="J93" i="207"/>
  <c r="I93" i="207"/>
  <c r="H93" i="207"/>
  <c r="G93" i="207"/>
  <c r="F93" i="207"/>
  <c r="E93" i="207"/>
  <c r="D93" i="207"/>
  <c r="C93" i="207"/>
  <c r="B93" i="207"/>
  <c r="M87" i="207"/>
  <c r="L87" i="207"/>
  <c r="K87" i="207"/>
  <c r="J87" i="207"/>
  <c r="I87" i="207"/>
  <c r="H87" i="207"/>
  <c r="G87" i="207"/>
  <c r="F87" i="207"/>
  <c r="E87" i="207"/>
  <c r="D87" i="207"/>
  <c r="C87" i="207"/>
  <c r="B87" i="207"/>
  <c r="C88" i="207" s="1"/>
  <c r="D88" i="207" s="1"/>
  <c r="E88" i="207" s="1"/>
  <c r="F88" i="207" s="1"/>
  <c r="G88" i="207" s="1"/>
  <c r="H88" i="207" s="1"/>
  <c r="I88" i="207" s="1"/>
  <c r="J88" i="207" s="1"/>
  <c r="K88" i="207" s="1"/>
  <c r="L88" i="207" s="1"/>
  <c r="M88" i="207" s="1"/>
  <c r="D84" i="207"/>
  <c r="C84" i="207"/>
  <c r="B84" i="207"/>
  <c r="B83" i="207"/>
  <c r="N73" i="207"/>
  <c r="B68" i="207"/>
  <c r="C68" i="207"/>
  <c r="D68" i="207" s="1"/>
  <c r="E68" i="207" s="1"/>
  <c r="F68" i="207" s="1"/>
  <c r="G68" i="207"/>
  <c r="H68" i="207" s="1"/>
  <c r="I68" i="207" s="1"/>
  <c r="J68" i="207" s="1"/>
  <c r="K68" i="207" s="1"/>
  <c r="L68" i="207" s="1"/>
  <c r="M68" i="207" s="1"/>
  <c r="L58" i="207"/>
  <c r="K58" i="207"/>
  <c r="J58" i="207"/>
  <c r="I58" i="207"/>
  <c r="H58" i="207"/>
  <c r="G58" i="207"/>
  <c r="F58" i="207"/>
  <c r="D58" i="207"/>
  <c r="C58" i="207"/>
  <c r="N57" i="207"/>
  <c r="N56" i="207"/>
  <c r="B55" i="207"/>
  <c r="B58" i="207"/>
  <c r="N54" i="207"/>
  <c r="E53" i="207"/>
  <c r="M84" i="207" s="1"/>
  <c r="M46" i="207"/>
  <c r="L46" i="207"/>
  <c r="K46" i="207"/>
  <c r="J46" i="207"/>
  <c r="I46" i="207"/>
  <c r="H46" i="207"/>
  <c r="G46" i="207"/>
  <c r="F46" i="207"/>
  <c r="E46" i="207"/>
  <c r="D46" i="207"/>
  <c r="C46" i="207"/>
  <c r="B46" i="207"/>
  <c r="N45" i="207"/>
  <c r="N44" i="207"/>
  <c r="N41" i="207"/>
  <c r="N40" i="207"/>
  <c r="N39" i="207"/>
  <c r="N37" i="207"/>
  <c r="M34" i="207"/>
  <c r="M38" i="207" s="1"/>
  <c r="M42" i="207"/>
  <c r="M48" i="207" s="1"/>
  <c r="M50" i="207" s="1"/>
  <c r="L34" i="207"/>
  <c r="L38" i="207"/>
  <c r="L42" i="207" s="1"/>
  <c r="L48" i="207" s="1"/>
  <c r="K34" i="207"/>
  <c r="K38" i="207" s="1"/>
  <c r="K42" i="207" s="1"/>
  <c r="J34" i="207"/>
  <c r="J38" i="207"/>
  <c r="J42" i="207" s="1"/>
  <c r="I34" i="207"/>
  <c r="I38" i="207" s="1"/>
  <c r="I42" i="207" s="1"/>
  <c r="I48" i="207" s="1"/>
  <c r="H34" i="207"/>
  <c r="H38" i="207"/>
  <c r="H42" i="207" s="1"/>
  <c r="G34" i="207"/>
  <c r="F34" i="207"/>
  <c r="F38" i="207"/>
  <c r="F42" i="207" s="1"/>
  <c r="E34" i="207"/>
  <c r="E38" i="207" s="1"/>
  <c r="E42" i="207"/>
  <c r="D34" i="207"/>
  <c r="D38" i="207"/>
  <c r="D42" i="207" s="1"/>
  <c r="C34" i="207"/>
  <c r="B34" i="207"/>
  <c r="B38" i="207"/>
  <c r="AD33" i="207"/>
  <c r="AR33" i="207"/>
  <c r="AC33" i="207"/>
  <c r="AQ33" i="207"/>
  <c r="AA33" i="207"/>
  <c r="AO33" i="207"/>
  <c r="Z33" i="207"/>
  <c r="AN33" i="207"/>
  <c r="Y33" i="207"/>
  <c r="AM33" i="207"/>
  <c r="X33" i="207"/>
  <c r="AL33" i="207"/>
  <c r="W33" i="207"/>
  <c r="AK33" i="207"/>
  <c r="V33" i="207"/>
  <c r="AJ33" i="207"/>
  <c r="U33" i="207"/>
  <c r="AI33" i="207"/>
  <c r="T33" i="207"/>
  <c r="AH33" i="207"/>
  <c r="S33" i="207"/>
  <c r="AG33" i="207"/>
  <c r="R33" i="207"/>
  <c r="AF33" i="207"/>
  <c r="Q33" i="207"/>
  <c r="AE33" i="207"/>
  <c r="N33" i="207"/>
  <c r="AB33" i="207"/>
  <c r="AP33" i="207" s="1"/>
  <c r="AC32" i="207"/>
  <c r="AQ32" i="207" s="1"/>
  <c r="AA32" i="207"/>
  <c r="AO32" i="207" s="1"/>
  <c r="Z32" i="207"/>
  <c r="AN32" i="207" s="1"/>
  <c r="Y32" i="207"/>
  <c r="AM32" i="207" s="1"/>
  <c r="X32" i="207"/>
  <c r="AL32" i="207" s="1"/>
  <c r="W32" i="207"/>
  <c r="AK32" i="207" s="1"/>
  <c r="V32" i="207"/>
  <c r="AJ32" i="207" s="1"/>
  <c r="U32" i="207"/>
  <c r="AI32" i="207" s="1"/>
  <c r="T32" i="207"/>
  <c r="AH32" i="207" s="1"/>
  <c r="S32" i="207"/>
  <c r="AG32" i="207" s="1"/>
  <c r="R32" i="207"/>
  <c r="AF32" i="207" s="1"/>
  <c r="Q32" i="207"/>
  <c r="AE32" i="207" s="1"/>
  <c r="P32" i="207"/>
  <c r="AD32" i="207" s="1"/>
  <c r="AR32" i="207" s="1"/>
  <c r="N32" i="207"/>
  <c r="AB32" i="207"/>
  <c r="AP32" i="207" s="1"/>
  <c r="N31" i="207"/>
  <c r="N34" i="207" s="1"/>
  <c r="N30" i="207"/>
  <c r="M26" i="207"/>
  <c r="L26" i="207"/>
  <c r="K26" i="207"/>
  <c r="J26" i="207"/>
  <c r="I26" i="207"/>
  <c r="H26" i="207"/>
  <c r="G26" i="207"/>
  <c r="F26" i="207"/>
  <c r="E26" i="207"/>
  <c r="D26" i="207"/>
  <c r="C26" i="207"/>
  <c r="N26" i="207" s="1"/>
  <c r="B26" i="207"/>
  <c r="M25" i="207"/>
  <c r="L25" i="207"/>
  <c r="K25" i="207"/>
  <c r="J25" i="207"/>
  <c r="I25" i="207"/>
  <c r="H25" i="207"/>
  <c r="G25" i="207"/>
  <c r="F25" i="207"/>
  <c r="E25" i="207"/>
  <c r="D25" i="207"/>
  <c r="C25" i="207"/>
  <c r="B25" i="207"/>
  <c r="M24" i="207"/>
  <c r="L24" i="207"/>
  <c r="K24" i="207"/>
  <c r="K27" i="207" s="1"/>
  <c r="K28" i="207" s="1"/>
  <c r="J24" i="207"/>
  <c r="I24" i="207"/>
  <c r="H24" i="207"/>
  <c r="G24" i="207"/>
  <c r="G27" i="207" s="1"/>
  <c r="G28" i="207" s="1"/>
  <c r="F24" i="207"/>
  <c r="E24" i="207"/>
  <c r="D24" i="207"/>
  <c r="C24" i="207"/>
  <c r="B24" i="207"/>
  <c r="M23" i="207"/>
  <c r="M27" i="207" s="1"/>
  <c r="M28" i="207" s="1"/>
  <c r="L23" i="207"/>
  <c r="L27" i="207"/>
  <c r="L28" i="207" s="1"/>
  <c r="K23" i="207"/>
  <c r="J23" i="207"/>
  <c r="J27" i="207"/>
  <c r="J28" i="207" s="1"/>
  <c r="I23" i="207"/>
  <c r="I27" i="207"/>
  <c r="H23" i="207"/>
  <c r="H27" i="207"/>
  <c r="G23" i="207"/>
  <c r="F23" i="207"/>
  <c r="F27" i="207"/>
  <c r="E23" i="207"/>
  <c r="E27" i="207"/>
  <c r="E28" i="207" s="1"/>
  <c r="D23" i="207"/>
  <c r="D27" i="207"/>
  <c r="C23" i="207"/>
  <c r="N23" i="207" s="1"/>
  <c r="B23" i="207"/>
  <c r="B27" i="207"/>
  <c r="B28" i="207" s="1"/>
  <c r="M20" i="207"/>
  <c r="L20" i="207"/>
  <c r="K20" i="207"/>
  <c r="J20" i="207"/>
  <c r="J48" i="207" s="1"/>
  <c r="I20" i="207"/>
  <c r="H20" i="207"/>
  <c r="H48" i="207" s="1"/>
  <c r="G20" i="207"/>
  <c r="F20" i="207"/>
  <c r="E20" i="207"/>
  <c r="E48" i="207" s="1"/>
  <c r="E61" i="207" s="1"/>
  <c r="E62" i="207" s="1"/>
  <c r="E72" i="207" s="1"/>
  <c r="D20" i="207"/>
  <c r="C20" i="207"/>
  <c r="B20" i="207"/>
  <c r="N19" i="207"/>
  <c r="N17" i="207"/>
  <c r="N16" i="207"/>
  <c r="J11" i="207"/>
  <c r="I11" i="207"/>
  <c r="H11" i="207"/>
  <c r="G11" i="207"/>
  <c r="F11" i="207"/>
  <c r="E11" i="207"/>
  <c r="D11" i="207"/>
  <c r="C11" i="207"/>
  <c r="B11" i="207"/>
  <c r="N11" i="207" s="1"/>
  <c r="P11" i="207" s="1"/>
  <c r="M9" i="207"/>
  <c r="M13" i="207"/>
  <c r="L9" i="207"/>
  <c r="L13" i="207"/>
  <c r="L50" i="207" s="1"/>
  <c r="K9" i="207"/>
  <c r="K13" i="207"/>
  <c r="J9" i="207"/>
  <c r="J13" i="207"/>
  <c r="I9" i="207"/>
  <c r="I13" i="207"/>
  <c r="H9" i="207"/>
  <c r="H13" i="207"/>
  <c r="G9" i="207"/>
  <c r="G13" i="207"/>
  <c r="F9" i="207"/>
  <c r="F13" i="207"/>
  <c r="E9" i="207"/>
  <c r="E13" i="207"/>
  <c r="D9" i="207"/>
  <c r="D13" i="207"/>
  <c r="C9" i="207"/>
  <c r="C13" i="207"/>
  <c r="B9" i="207"/>
  <c r="B13" i="207"/>
  <c r="N8" i="207"/>
  <c r="N7" i="207"/>
  <c r="N6" i="207"/>
  <c r="N5" i="207"/>
  <c r="N9" i="207" s="1"/>
  <c r="N13" i="207" s="1"/>
  <c r="N4" i="207"/>
  <c r="N87" i="207"/>
  <c r="N20" i="207"/>
  <c r="K48" i="207"/>
  <c r="K61" i="207" s="1"/>
  <c r="K62" i="207" s="1"/>
  <c r="K72" i="207" s="1"/>
  <c r="J61" i="207"/>
  <c r="I28" i="207"/>
  <c r="H28" i="207"/>
  <c r="F28" i="207"/>
  <c r="N46" i="207"/>
  <c r="J50" i="207"/>
  <c r="E50" i="207"/>
  <c r="N53" i="207"/>
  <c r="G84" i="207"/>
  <c r="J84" i="207"/>
  <c r="E58" i="207"/>
  <c r="H84" i="207"/>
  <c r="F84" i="207"/>
  <c r="E84" i="207"/>
  <c r="I84" i="207"/>
  <c r="M93" i="206"/>
  <c r="L93" i="206"/>
  <c r="K93" i="206"/>
  <c r="J93" i="206"/>
  <c r="I93" i="206"/>
  <c r="H93" i="206"/>
  <c r="G93" i="206"/>
  <c r="F93" i="206"/>
  <c r="E93" i="206"/>
  <c r="D93" i="206"/>
  <c r="C93" i="206"/>
  <c r="B93" i="206"/>
  <c r="M87" i="206"/>
  <c r="L87" i="206"/>
  <c r="K87" i="206"/>
  <c r="J87" i="206"/>
  <c r="I87" i="206"/>
  <c r="H87" i="206"/>
  <c r="G87" i="206"/>
  <c r="F87" i="206"/>
  <c r="E87" i="206"/>
  <c r="D87" i="206"/>
  <c r="C87" i="206"/>
  <c r="B87" i="206"/>
  <c r="C88" i="206" s="1"/>
  <c r="D84" i="206"/>
  <c r="C84" i="206"/>
  <c r="B84" i="206"/>
  <c r="B83" i="206"/>
  <c r="C83" i="206"/>
  <c r="N73" i="206"/>
  <c r="B68" i="206"/>
  <c r="C68" i="206" s="1"/>
  <c r="D68" i="206"/>
  <c r="E68" i="206" s="1"/>
  <c r="F68" i="206" s="1"/>
  <c r="G68" i="206" s="1"/>
  <c r="H68" i="206"/>
  <c r="I68" i="206" s="1"/>
  <c r="J68" i="206" s="1"/>
  <c r="K68" i="206" s="1"/>
  <c r="L68" i="206" s="1"/>
  <c r="M68" i="206" s="1"/>
  <c r="M58" i="206"/>
  <c r="L58" i="206"/>
  <c r="K58" i="206"/>
  <c r="K61" i="206" s="1"/>
  <c r="K62" i="206" s="1"/>
  <c r="K72" i="206" s="1"/>
  <c r="J58" i="206"/>
  <c r="I58" i="206"/>
  <c r="H58" i="206"/>
  <c r="G58" i="206"/>
  <c r="F58" i="206"/>
  <c r="D58" i="206"/>
  <c r="C58" i="206"/>
  <c r="N57" i="206"/>
  <c r="N87" i="206" s="1"/>
  <c r="N56" i="206"/>
  <c r="B55" i="206"/>
  <c r="N55" i="206" s="1"/>
  <c r="N54" i="206"/>
  <c r="E53" i="206"/>
  <c r="M46" i="206"/>
  <c r="L46" i="206"/>
  <c r="K46" i="206"/>
  <c r="J46" i="206"/>
  <c r="I46" i="206"/>
  <c r="H46" i="206"/>
  <c r="G46" i="206"/>
  <c r="F46" i="206"/>
  <c r="E46" i="206"/>
  <c r="D46" i="206"/>
  <c r="C46" i="206"/>
  <c r="B46" i="206"/>
  <c r="N45" i="206"/>
  <c r="N44" i="206"/>
  <c r="N41" i="206"/>
  <c r="N40" i="206"/>
  <c r="N39" i="206"/>
  <c r="N37" i="206"/>
  <c r="M34" i="206"/>
  <c r="M38" i="206" s="1"/>
  <c r="M42" i="206" s="1"/>
  <c r="L34" i="206"/>
  <c r="L38" i="206"/>
  <c r="L42" i="206" s="1"/>
  <c r="K34" i="206"/>
  <c r="K38" i="206" s="1"/>
  <c r="K42" i="206"/>
  <c r="J34" i="206"/>
  <c r="J38" i="206"/>
  <c r="J42" i="206" s="1"/>
  <c r="J48" i="206" s="1"/>
  <c r="I34" i="206"/>
  <c r="I38" i="206" s="1"/>
  <c r="I42" i="206" s="1"/>
  <c r="H34" i="206"/>
  <c r="H38" i="206"/>
  <c r="H42" i="206" s="1"/>
  <c r="H48" i="206" s="1"/>
  <c r="G34" i="206"/>
  <c r="G38" i="206" s="1"/>
  <c r="G42" i="206" s="1"/>
  <c r="G48" i="206" s="1"/>
  <c r="F34" i="206"/>
  <c r="F38" i="206"/>
  <c r="F42" i="206" s="1"/>
  <c r="F48" i="206" s="1"/>
  <c r="E34" i="206"/>
  <c r="E38" i="206" s="1"/>
  <c r="E42" i="206" s="1"/>
  <c r="D34" i="206"/>
  <c r="D38" i="206"/>
  <c r="D42" i="206" s="1"/>
  <c r="D48" i="206" s="1"/>
  <c r="D50" i="206" s="1"/>
  <c r="C34" i="206"/>
  <c r="C38" i="206" s="1"/>
  <c r="C42" i="206" s="1"/>
  <c r="C48" i="206" s="1"/>
  <c r="C61" i="206" s="1"/>
  <c r="B34" i="206"/>
  <c r="B38" i="206"/>
  <c r="B42" i="206" s="1"/>
  <c r="AD33" i="206"/>
  <c r="AR33" i="206"/>
  <c r="AC33" i="206"/>
  <c r="AQ33" i="206"/>
  <c r="AA33" i="206"/>
  <c r="AO33" i="206" s="1"/>
  <c r="Z33" i="206"/>
  <c r="AN33" i="206" s="1"/>
  <c r="Y33" i="206"/>
  <c r="AM33" i="206" s="1"/>
  <c r="X33" i="206"/>
  <c r="AL33" i="206" s="1"/>
  <c r="W33" i="206"/>
  <c r="AK33" i="206" s="1"/>
  <c r="V33" i="206"/>
  <c r="AJ33" i="206" s="1"/>
  <c r="U33" i="206"/>
  <c r="AI33" i="206" s="1"/>
  <c r="T33" i="206"/>
  <c r="AH33" i="206" s="1"/>
  <c r="S33" i="206"/>
  <c r="AG33" i="206" s="1"/>
  <c r="R33" i="206"/>
  <c r="AF33" i="206" s="1"/>
  <c r="Q33" i="206"/>
  <c r="AE33" i="206" s="1"/>
  <c r="N33" i="206"/>
  <c r="AB33" i="206" s="1"/>
  <c r="AP33" i="206" s="1"/>
  <c r="AC32" i="206"/>
  <c r="AQ32" i="206"/>
  <c r="AA32" i="206"/>
  <c r="AO32" i="206"/>
  <c r="Z32" i="206"/>
  <c r="AN32" i="206"/>
  <c r="Y32" i="206"/>
  <c r="AM32" i="206"/>
  <c r="X32" i="206"/>
  <c r="AL32" i="206"/>
  <c r="W32" i="206"/>
  <c r="AK32" i="206"/>
  <c r="V32" i="206"/>
  <c r="AJ32" i="206"/>
  <c r="U32" i="206"/>
  <c r="AI32" i="206"/>
  <c r="T32" i="206"/>
  <c r="AH32" i="206"/>
  <c r="S32" i="206"/>
  <c r="AG32" i="206"/>
  <c r="R32" i="206"/>
  <c r="AF32" i="206"/>
  <c r="Q32" i="206"/>
  <c r="AE32" i="206"/>
  <c r="P32" i="206"/>
  <c r="AD32" i="206"/>
  <c r="AR32" i="206" s="1"/>
  <c r="N32" i="206"/>
  <c r="AB32" i="206" s="1"/>
  <c r="AP32" i="206"/>
  <c r="N31" i="206"/>
  <c r="N30" i="206"/>
  <c r="N34" i="206" s="1"/>
  <c r="M26" i="206"/>
  <c r="L26" i="206"/>
  <c r="K26" i="206"/>
  <c r="J26" i="206"/>
  <c r="I26" i="206"/>
  <c r="H26" i="206"/>
  <c r="G26" i="206"/>
  <c r="F26" i="206"/>
  <c r="E26" i="206"/>
  <c r="D26" i="206"/>
  <c r="N26" i="206" s="1"/>
  <c r="C26" i="206"/>
  <c r="B26" i="206"/>
  <c r="M25" i="206"/>
  <c r="L25" i="206"/>
  <c r="K25" i="206"/>
  <c r="J25" i="206"/>
  <c r="I25" i="206"/>
  <c r="H25" i="206"/>
  <c r="G25" i="206"/>
  <c r="F25" i="206"/>
  <c r="E25" i="206"/>
  <c r="D25" i="206"/>
  <c r="N25" i="206" s="1"/>
  <c r="C25" i="206"/>
  <c r="B25" i="206"/>
  <c r="M24" i="206"/>
  <c r="L24" i="206"/>
  <c r="K24" i="206"/>
  <c r="J24" i="206"/>
  <c r="I24" i="206"/>
  <c r="H24" i="206"/>
  <c r="G24" i="206"/>
  <c r="F24" i="206"/>
  <c r="E24" i="206"/>
  <c r="D24" i="206"/>
  <c r="D27" i="206" s="1"/>
  <c r="D28" i="206" s="1"/>
  <c r="C24" i="206"/>
  <c r="B24" i="206"/>
  <c r="M23" i="206"/>
  <c r="M27" i="206"/>
  <c r="M28" i="206" s="1"/>
  <c r="L23" i="206"/>
  <c r="K23" i="206"/>
  <c r="K27" i="206" s="1"/>
  <c r="K28" i="206" s="1"/>
  <c r="J23" i="206"/>
  <c r="J27" i="206" s="1"/>
  <c r="J28" i="206" s="1"/>
  <c r="I23" i="206"/>
  <c r="I27" i="206" s="1"/>
  <c r="I28" i="206" s="1"/>
  <c r="H23" i="206"/>
  <c r="H27" i="206" s="1"/>
  <c r="H28" i="206" s="1"/>
  <c r="G23" i="206"/>
  <c r="G27" i="206"/>
  <c r="F23" i="206"/>
  <c r="F27" i="206"/>
  <c r="F28" i="206" s="1"/>
  <c r="E23" i="206"/>
  <c r="E27" i="206"/>
  <c r="D23" i="206"/>
  <c r="C23" i="206"/>
  <c r="B23" i="206"/>
  <c r="B27" i="206" s="1"/>
  <c r="B28" i="206" s="1"/>
  <c r="M20" i="206"/>
  <c r="L20" i="206"/>
  <c r="L48" i="206" s="1"/>
  <c r="L61" i="206" s="1"/>
  <c r="K20" i="206"/>
  <c r="J20" i="206"/>
  <c r="I20" i="206"/>
  <c r="H20" i="206"/>
  <c r="G20" i="206"/>
  <c r="F20" i="206"/>
  <c r="E20" i="206"/>
  <c r="D20" i="206"/>
  <c r="C20" i="206"/>
  <c r="B20" i="206"/>
  <c r="N19" i="206"/>
  <c r="N17" i="206"/>
  <c r="N16" i="206"/>
  <c r="N20" i="206" s="1"/>
  <c r="J11" i="206"/>
  <c r="I11" i="206"/>
  <c r="H11" i="206"/>
  <c r="G11" i="206"/>
  <c r="F11" i="206"/>
  <c r="E11" i="206"/>
  <c r="D11" i="206"/>
  <c r="C11" i="206"/>
  <c r="B11" i="206"/>
  <c r="M9" i="206"/>
  <c r="M13" i="206"/>
  <c r="L9" i="206"/>
  <c r="L13" i="206"/>
  <c r="K9" i="206"/>
  <c r="K13" i="206"/>
  <c r="J9" i="206"/>
  <c r="J13" i="206"/>
  <c r="I9" i="206"/>
  <c r="H9" i="206"/>
  <c r="H13" i="206" s="1"/>
  <c r="G9" i="206"/>
  <c r="F9" i="206"/>
  <c r="F13" i="206" s="1"/>
  <c r="E9" i="206"/>
  <c r="E13" i="206" s="1"/>
  <c r="D9" i="206"/>
  <c r="D13" i="206"/>
  <c r="C9" i="206"/>
  <c r="C13" i="206"/>
  <c r="B9" i="206"/>
  <c r="N8" i="206"/>
  <c r="N7" i="206"/>
  <c r="N6" i="206"/>
  <c r="N5" i="206"/>
  <c r="N9" i="206" s="1"/>
  <c r="N4" i="206"/>
  <c r="I48" i="206"/>
  <c r="I61" i="206" s="1"/>
  <c r="I62" i="206" s="1"/>
  <c r="J61" i="206"/>
  <c r="K48" i="206"/>
  <c r="N46" i="206"/>
  <c r="E28" i="206"/>
  <c r="B48" i="206"/>
  <c r="M84" i="206"/>
  <c r="I84" i="206"/>
  <c r="E84" i="206"/>
  <c r="G84" i="206"/>
  <c r="L84" i="206"/>
  <c r="H84" i="206"/>
  <c r="E58" i="206"/>
  <c r="K84" i="206"/>
  <c r="F84" i="206"/>
  <c r="N24" i="206"/>
  <c r="B85" i="206"/>
  <c r="N53" i="206"/>
  <c r="J84" i="206"/>
  <c r="I13" i="206"/>
  <c r="L27" i="206"/>
  <c r="L28" i="206" s="1"/>
  <c r="H61" i="206"/>
  <c r="M93" i="205"/>
  <c r="L93" i="205"/>
  <c r="K93" i="205"/>
  <c r="J93" i="205"/>
  <c r="I93" i="205"/>
  <c r="H93" i="205"/>
  <c r="G93" i="205"/>
  <c r="F93" i="205"/>
  <c r="E93" i="205"/>
  <c r="D93" i="205"/>
  <c r="C93" i="205"/>
  <c r="B93" i="205"/>
  <c r="M87" i="205"/>
  <c r="L87" i="205"/>
  <c r="K87" i="205"/>
  <c r="J87" i="205"/>
  <c r="I87" i="205"/>
  <c r="H87" i="205"/>
  <c r="G87" i="205"/>
  <c r="F87" i="205"/>
  <c r="E87" i="205"/>
  <c r="D87" i="205"/>
  <c r="C87" i="205"/>
  <c r="B87" i="205"/>
  <c r="C88" i="205" s="1"/>
  <c r="D88" i="205" s="1"/>
  <c r="E88" i="205" s="1"/>
  <c r="F88" i="205" s="1"/>
  <c r="G88" i="205" s="1"/>
  <c r="H88" i="205" s="1"/>
  <c r="I88" i="205" s="1"/>
  <c r="J88" i="205" s="1"/>
  <c r="K88" i="205" s="1"/>
  <c r="L88" i="205" s="1"/>
  <c r="M88" i="205" s="1"/>
  <c r="D84" i="205"/>
  <c r="C84" i="205"/>
  <c r="B84" i="205"/>
  <c r="B83" i="205"/>
  <c r="N73" i="205"/>
  <c r="B68" i="205"/>
  <c r="C68" i="205" s="1"/>
  <c r="D68" i="205" s="1"/>
  <c r="E68" i="205" s="1"/>
  <c r="F68" i="205" s="1"/>
  <c r="G68" i="205" s="1"/>
  <c r="H68" i="205" s="1"/>
  <c r="I68" i="205" s="1"/>
  <c r="J68" i="205" s="1"/>
  <c r="K68" i="205" s="1"/>
  <c r="L68" i="205" s="1"/>
  <c r="M68" i="205" s="1"/>
  <c r="M58" i="205"/>
  <c r="L58" i="205"/>
  <c r="K58" i="205"/>
  <c r="J58" i="205"/>
  <c r="I58" i="205"/>
  <c r="H58" i="205"/>
  <c r="G58" i="205"/>
  <c r="F58" i="205"/>
  <c r="D58" i="205"/>
  <c r="C58" i="205"/>
  <c r="N57" i="205"/>
  <c r="N56" i="205"/>
  <c r="N87" i="205"/>
  <c r="B55" i="205"/>
  <c r="B58" i="205" s="1"/>
  <c r="N55" i="205"/>
  <c r="N54" i="205"/>
  <c r="E53" i="205"/>
  <c r="L84" i="205" s="1"/>
  <c r="M46" i="205"/>
  <c r="M48" i="205" s="1"/>
  <c r="L46" i="205"/>
  <c r="K46" i="205"/>
  <c r="J46" i="205"/>
  <c r="I46" i="205"/>
  <c r="I48" i="205" s="1"/>
  <c r="I61" i="205" s="1"/>
  <c r="H46" i="205"/>
  <c r="G46" i="205"/>
  <c r="F46" i="205"/>
  <c r="E46" i="205"/>
  <c r="D46" i="205"/>
  <c r="C46" i="205"/>
  <c r="B46" i="205"/>
  <c r="N45" i="205"/>
  <c r="N46" i="205" s="1"/>
  <c r="N44" i="205"/>
  <c r="N41" i="205"/>
  <c r="N40" i="205"/>
  <c r="N39" i="205"/>
  <c r="N37" i="205"/>
  <c r="M34" i="205"/>
  <c r="M38" i="205"/>
  <c r="M42" i="205" s="1"/>
  <c r="L34" i="205"/>
  <c r="L38" i="205" s="1"/>
  <c r="L42" i="205" s="1"/>
  <c r="L48" i="205" s="1"/>
  <c r="K34" i="205"/>
  <c r="K38" i="205"/>
  <c r="K42" i="205" s="1"/>
  <c r="J34" i="205"/>
  <c r="J38" i="205" s="1"/>
  <c r="J42" i="205" s="1"/>
  <c r="I34" i="205"/>
  <c r="I38" i="205"/>
  <c r="I42" i="205" s="1"/>
  <c r="H34" i="205"/>
  <c r="H38" i="205" s="1"/>
  <c r="H42" i="205" s="1"/>
  <c r="G34" i="205"/>
  <c r="G38" i="205"/>
  <c r="G42" i="205" s="1"/>
  <c r="F34" i="205"/>
  <c r="F38" i="205" s="1"/>
  <c r="F42" i="205" s="1"/>
  <c r="E34" i="205"/>
  <c r="E38" i="205"/>
  <c r="E42" i="205" s="1"/>
  <c r="D34" i="205"/>
  <c r="D38" i="205" s="1"/>
  <c r="D42" i="205" s="1"/>
  <c r="C34" i="205"/>
  <c r="C38" i="205"/>
  <c r="B34" i="205"/>
  <c r="B38" i="205" s="1"/>
  <c r="AD33" i="205"/>
  <c r="AR33" i="205" s="1"/>
  <c r="AC33" i="205"/>
  <c r="AQ33" i="205" s="1"/>
  <c r="AA33" i="205"/>
  <c r="AO33" i="205" s="1"/>
  <c r="Z33" i="205"/>
  <c r="AN33" i="205" s="1"/>
  <c r="Y33" i="205"/>
  <c r="AM33" i="205" s="1"/>
  <c r="X33" i="205"/>
  <c r="AL33" i="205" s="1"/>
  <c r="W33" i="205"/>
  <c r="AK33" i="205" s="1"/>
  <c r="V33" i="205"/>
  <c r="AJ33" i="205" s="1"/>
  <c r="U33" i="205"/>
  <c r="AI33" i="205" s="1"/>
  <c r="T33" i="205"/>
  <c r="AH33" i="205" s="1"/>
  <c r="S33" i="205"/>
  <c r="AG33" i="205" s="1"/>
  <c r="R33" i="205"/>
  <c r="AF33" i="205"/>
  <c r="Q33" i="205"/>
  <c r="AE33" i="205" s="1"/>
  <c r="N33" i="205"/>
  <c r="AB33" i="205"/>
  <c r="AP33" i="205"/>
  <c r="AC32" i="205"/>
  <c r="AQ32" i="205"/>
  <c r="AA32" i="205"/>
  <c r="AO32" i="205"/>
  <c r="Z32" i="205"/>
  <c r="AN32" i="205"/>
  <c r="Y32" i="205"/>
  <c r="AM32" i="205"/>
  <c r="X32" i="205"/>
  <c r="AL32" i="205"/>
  <c r="W32" i="205"/>
  <c r="AK32" i="205" s="1"/>
  <c r="V32" i="205"/>
  <c r="AJ32" i="205" s="1"/>
  <c r="U32" i="205"/>
  <c r="AI32" i="205" s="1"/>
  <c r="T32" i="205"/>
  <c r="AH32" i="205" s="1"/>
  <c r="S32" i="205"/>
  <c r="AG32" i="205" s="1"/>
  <c r="R32" i="205"/>
  <c r="AF32" i="205" s="1"/>
  <c r="Q32" i="205"/>
  <c r="AE32" i="205"/>
  <c r="P32" i="205"/>
  <c r="AD32" i="205" s="1"/>
  <c r="AR32" i="205" s="1"/>
  <c r="N32" i="205"/>
  <c r="AB32" i="205"/>
  <c r="AP32" i="205" s="1"/>
  <c r="N31" i="205"/>
  <c r="N30" i="205"/>
  <c r="M26" i="205"/>
  <c r="L26" i="205"/>
  <c r="K26" i="205"/>
  <c r="J26" i="205"/>
  <c r="I26" i="205"/>
  <c r="H26" i="205"/>
  <c r="G26" i="205"/>
  <c r="F26" i="205"/>
  <c r="E26" i="205"/>
  <c r="D26" i="205"/>
  <c r="C26" i="205"/>
  <c r="B26" i="205"/>
  <c r="M25" i="205"/>
  <c r="L25" i="205"/>
  <c r="K25" i="205"/>
  <c r="J25" i="205"/>
  <c r="I25" i="205"/>
  <c r="H25" i="205"/>
  <c r="G25" i="205"/>
  <c r="F25" i="205"/>
  <c r="E25" i="205"/>
  <c r="D25" i="205"/>
  <c r="C25" i="205"/>
  <c r="B25" i="205"/>
  <c r="N25" i="205"/>
  <c r="M24" i="205"/>
  <c r="L24" i="205"/>
  <c r="K24" i="205"/>
  <c r="J24" i="205"/>
  <c r="I24" i="205"/>
  <c r="H24" i="205"/>
  <c r="G24" i="205"/>
  <c r="F24" i="205"/>
  <c r="E24" i="205"/>
  <c r="D24" i="205"/>
  <c r="C24" i="205"/>
  <c r="B24" i="205"/>
  <c r="N24" i="205" s="1"/>
  <c r="M23" i="205"/>
  <c r="L23" i="205"/>
  <c r="L27" i="205" s="1"/>
  <c r="K23" i="205"/>
  <c r="J23" i="205"/>
  <c r="J27" i="205"/>
  <c r="I23" i="205"/>
  <c r="I27" i="205" s="1"/>
  <c r="I28" i="205" s="1"/>
  <c r="H23" i="205"/>
  <c r="H27" i="205"/>
  <c r="H28" i="205" s="1"/>
  <c r="G23" i="205"/>
  <c r="G27" i="205" s="1"/>
  <c r="F23" i="205"/>
  <c r="F27" i="205"/>
  <c r="E23" i="205"/>
  <c r="E27" i="205" s="1"/>
  <c r="E28" i="205" s="1"/>
  <c r="D23" i="205"/>
  <c r="D27" i="205" s="1"/>
  <c r="C23" i="205"/>
  <c r="C27" i="205"/>
  <c r="B23" i="205"/>
  <c r="M20" i="205"/>
  <c r="L20" i="205"/>
  <c r="K20" i="205"/>
  <c r="J20" i="205"/>
  <c r="I20" i="205"/>
  <c r="H20" i="205"/>
  <c r="G20" i="205"/>
  <c r="F20" i="205"/>
  <c r="E20" i="205"/>
  <c r="D20" i="205"/>
  <c r="C20" i="205"/>
  <c r="B20" i="205"/>
  <c r="N19" i="205"/>
  <c r="N17" i="205"/>
  <c r="N20" i="205" s="1"/>
  <c r="N16" i="205"/>
  <c r="J11" i="205"/>
  <c r="I11" i="205"/>
  <c r="H11" i="205"/>
  <c r="G11" i="205"/>
  <c r="F11" i="205"/>
  <c r="E11" i="205"/>
  <c r="D11" i="205"/>
  <c r="C11" i="205"/>
  <c r="B11" i="205"/>
  <c r="M9" i="205"/>
  <c r="M13" i="205" s="1"/>
  <c r="L9" i="205"/>
  <c r="L13" i="205" s="1"/>
  <c r="K9" i="205"/>
  <c r="K13" i="205" s="1"/>
  <c r="J9" i="205"/>
  <c r="J13" i="205" s="1"/>
  <c r="I9" i="205"/>
  <c r="H9" i="205"/>
  <c r="G9" i="205"/>
  <c r="F9" i="205"/>
  <c r="F13" i="205" s="1"/>
  <c r="E9" i="205"/>
  <c r="D9" i="205"/>
  <c r="D13" i="205"/>
  <c r="C9" i="205"/>
  <c r="B9" i="205"/>
  <c r="B13" i="205"/>
  <c r="B50" i="205" s="1"/>
  <c r="N8" i="205"/>
  <c r="N7" i="205"/>
  <c r="N6" i="205"/>
  <c r="N5" i="205"/>
  <c r="N9" i="205"/>
  <c r="N13" i="205" s="1"/>
  <c r="N4" i="205"/>
  <c r="C62" i="206"/>
  <c r="C72" i="206" s="1"/>
  <c r="I50" i="206"/>
  <c r="I72" i="206"/>
  <c r="K48" i="205"/>
  <c r="K61" i="205" s="1"/>
  <c r="J28" i="205"/>
  <c r="H48" i="205"/>
  <c r="H61" i="205" s="1"/>
  <c r="N34" i="205"/>
  <c r="F28" i="205"/>
  <c r="C13" i="205"/>
  <c r="N26" i="205"/>
  <c r="D28" i="205"/>
  <c r="B42" i="205"/>
  <c r="N11" i="205"/>
  <c r="B48" i="205"/>
  <c r="M27" i="205"/>
  <c r="M28" i="205" s="1"/>
  <c r="F84" i="205"/>
  <c r="J84" i="205"/>
  <c r="G84" i="205"/>
  <c r="K84" i="205"/>
  <c r="E58" i="205"/>
  <c r="H84" i="205"/>
  <c r="J11" i="204"/>
  <c r="M93" i="204"/>
  <c r="L93" i="204"/>
  <c r="K93" i="204"/>
  <c r="J93" i="204"/>
  <c r="I93" i="204"/>
  <c r="H93" i="204"/>
  <c r="G93" i="204"/>
  <c r="F93" i="204"/>
  <c r="E93" i="204"/>
  <c r="D93" i="204"/>
  <c r="C93" i="204"/>
  <c r="B93" i="204"/>
  <c r="M87" i="204"/>
  <c r="L87" i="204"/>
  <c r="K87" i="204"/>
  <c r="J87" i="204"/>
  <c r="I87" i="204"/>
  <c r="H87" i="204"/>
  <c r="G87" i="204"/>
  <c r="F87" i="204"/>
  <c r="E87" i="204"/>
  <c r="D87" i="204"/>
  <c r="C87" i="204"/>
  <c r="B87" i="204"/>
  <c r="C88" i="204" s="1"/>
  <c r="D88" i="204" s="1"/>
  <c r="E88" i="204" s="1"/>
  <c r="F88" i="204" s="1"/>
  <c r="G88" i="204" s="1"/>
  <c r="H88" i="204" s="1"/>
  <c r="I88" i="204" s="1"/>
  <c r="J88" i="204" s="1"/>
  <c r="K88" i="204" s="1"/>
  <c r="L88" i="204" s="1"/>
  <c r="M88" i="204" s="1"/>
  <c r="D84" i="204"/>
  <c r="C84" i="204"/>
  <c r="B84" i="204"/>
  <c r="B83" i="204"/>
  <c r="N73" i="204"/>
  <c r="B68" i="204"/>
  <c r="C68" i="204"/>
  <c r="D68" i="204" s="1"/>
  <c r="E68" i="204" s="1"/>
  <c r="F68" i="204" s="1"/>
  <c r="G68" i="204"/>
  <c r="H68" i="204" s="1"/>
  <c r="I68" i="204" s="1"/>
  <c r="J68" i="204" s="1"/>
  <c r="K68" i="204" s="1"/>
  <c r="L68" i="204" s="1"/>
  <c r="M68" i="204" s="1"/>
  <c r="M58" i="204"/>
  <c r="L58" i="204"/>
  <c r="K58" i="204"/>
  <c r="J58" i="204"/>
  <c r="I58" i="204"/>
  <c r="H58" i="204"/>
  <c r="G58" i="204"/>
  <c r="F58" i="204"/>
  <c r="D58" i="204"/>
  <c r="C58" i="204"/>
  <c r="N57" i="204"/>
  <c r="N56" i="204"/>
  <c r="B55" i="204"/>
  <c r="N55" i="204" s="1"/>
  <c r="B58" i="204"/>
  <c r="N54" i="204"/>
  <c r="E53" i="204"/>
  <c r="M84" i="204"/>
  <c r="M46" i="204"/>
  <c r="L46" i="204"/>
  <c r="K46" i="204"/>
  <c r="J46" i="204"/>
  <c r="I46" i="204"/>
  <c r="H46" i="204"/>
  <c r="G46" i="204"/>
  <c r="F46" i="204"/>
  <c r="E46" i="204"/>
  <c r="D46" i="204"/>
  <c r="C46" i="204"/>
  <c r="B46" i="204"/>
  <c r="N45" i="204"/>
  <c r="N46" i="204" s="1"/>
  <c r="N44" i="204"/>
  <c r="N41" i="204"/>
  <c r="N40" i="204"/>
  <c r="N39" i="204"/>
  <c r="N37" i="204"/>
  <c r="M34" i="204"/>
  <c r="M38" i="204"/>
  <c r="M42" i="204"/>
  <c r="L34" i="204"/>
  <c r="L38" i="204" s="1"/>
  <c r="L42" i="204" s="1"/>
  <c r="K34" i="204"/>
  <c r="K38" i="204" s="1"/>
  <c r="K42" i="204" s="1"/>
  <c r="J34" i="204"/>
  <c r="J38" i="204"/>
  <c r="J42" i="204" s="1"/>
  <c r="I34" i="204"/>
  <c r="I38" i="204"/>
  <c r="I42" i="204"/>
  <c r="H34" i="204"/>
  <c r="H38" i="204" s="1"/>
  <c r="H42" i="204" s="1"/>
  <c r="G34" i="204"/>
  <c r="F34" i="204"/>
  <c r="F38" i="204"/>
  <c r="F42" i="204" s="1"/>
  <c r="F48" i="204" s="1"/>
  <c r="F61" i="204" s="1"/>
  <c r="E34" i="204"/>
  <c r="E38" i="204"/>
  <c r="E42" i="204"/>
  <c r="D34" i="204"/>
  <c r="D38" i="204" s="1"/>
  <c r="D42" i="204" s="1"/>
  <c r="C34" i="204"/>
  <c r="B34" i="204"/>
  <c r="B38" i="204"/>
  <c r="AD33" i="204"/>
  <c r="AR33" i="204" s="1"/>
  <c r="AC33" i="204"/>
  <c r="AQ33" i="204"/>
  <c r="AA33" i="204"/>
  <c r="AO33" i="204" s="1"/>
  <c r="Z33" i="204"/>
  <c r="AN33" i="204"/>
  <c r="Y33" i="204"/>
  <c r="AM33" i="204" s="1"/>
  <c r="X33" i="204"/>
  <c r="AL33" i="204"/>
  <c r="W33" i="204"/>
  <c r="AK33" i="204" s="1"/>
  <c r="V33" i="204"/>
  <c r="AJ33" i="204"/>
  <c r="U33" i="204"/>
  <c r="AI33" i="204" s="1"/>
  <c r="T33" i="204"/>
  <c r="AH33" i="204"/>
  <c r="S33" i="204"/>
  <c r="AG33" i="204" s="1"/>
  <c r="R33" i="204"/>
  <c r="AF33" i="204"/>
  <c r="Q33" i="204"/>
  <c r="AE33" i="204" s="1"/>
  <c r="N33" i="204"/>
  <c r="AB33" i="204"/>
  <c r="AP33" i="204" s="1"/>
  <c r="AC32" i="204"/>
  <c r="AQ32" i="204"/>
  <c r="AA32" i="204"/>
  <c r="AO32" i="204" s="1"/>
  <c r="Z32" i="204"/>
  <c r="AN32" i="204"/>
  <c r="Y32" i="204"/>
  <c r="AM32" i="204" s="1"/>
  <c r="X32" i="204"/>
  <c r="AL32" i="204"/>
  <c r="W32" i="204"/>
  <c r="AK32" i="204" s="1"/>
  <c r="V32" i="204"/>
  <c r="AJ32" i="204"/>
  <c r="U32" i="204"/>
  <c r="AI32" i="204" s="1"/>
  <c r="T32" i="204"/>
  <c r="AH32" i="204"/>
  <c r="S32" i="204"/>
  <c r="AG32" i="204" s="1"/>
  <c r="R32" i="204"/>
  <c r="AF32" i="204"/>
  <c r="Q32" i="204"/>
  <c r="AE32" i="204" s="1"/>
  <c r="P32" i="204"/>
  <c r="AD32" i="204"/>
  <c r="AR32" i="204"/>
  <c r="N32" i="204"/>
  <c r="AB32" i="204" s="1"/>
  <c r="AP32" i="204" s="1"/>
  <c r="N31" i="204"/>
  <c r="N34" i="204" s="1"/>
  <c r="N30" i="204"/>
  <c r="M26" i="204"/>
  <c r="L26" i="204"/>
  <c r="K26" i="204"/>
  <c r="J26" i="204"/>
  <c r="I26" i="204"/>
  <c r="H26" i="204"/>
  <c r="G26" i="204"/>
  <c r="F26" i="204"/>
  <c r="E26" i="204"/>
  <c r="D26" i="204"/>
  <c r="C26" i="204"/>
  <c r="B26" i="204"/>
  <c r="M25" i="204"/>
  <c r="L25" i="204"/>
  <c r="K25" i="204"/>
  <c r="J25" i="204"/>
  <c r="I25" i="204"/>
  <c r="H25" i="204"/>
  <c r="G25" i="204"/>
  <c r="F25" i="204"/>
  <c r="E25" i="204"/>
  <c r="D25" i="204"/>
  <c r="C25" i="204"/>
  <c r="B25" i="204"/>
  <c r="M24" i="204"/>
  <c r="L24" i="204"/>
  <c r="K24" i="204"/>
  <c r="K27" i="204" s="1"/>
  <c r="J24" i="204"/>
  <c r="I24" i="204"/>
  <c r="H24" i="204"/>
  <c r="G24" i="204"/>
  <c r="F24" i="204"/>
  <c r="E24" i="204"/>
  <c r="D24" i="204"/>
  <c r="C24" i="204"/>
  <c r="N24" i="204" s="1"/>
  <c r="B24" i="204"/>
  <c r="M23" i="204"/>
  <c r="M27" i="204"/>
  <c r="M28" i="204" s="1"/>
  <c r="L23" i="204"/>
  <c r="L27" i="204" s="1"/>
  <c r="K23" i="204"/>
  <c r="J23" i="204"/>
  <c r="I23" i="204"/>
  <c r="I27" i="204" s="1"/>
  <c r="I28" i="204" s="1"/>
  <c r="H23" i="204"/>
  <c r="H27" i="204"/>
  <c r="G23" i="204"/>
  <c r="G27" i="204" s="1"/>
  <c r="G28" i="204" s="1"/>
  <c r="F23" i="204"/>
  <c r="F27" i="204"/>
  <c r="F28" i="204" s="1"/>
  <c r="E23" i="204"/>
  <c r="E27" i="204" s="1"/>
  <c r="D23" i="204"/>
  <c r="D27" i="204"/>
  <c r="C23" i="204"/>
  <c r="C27" i="204" s="1"/>
  <c r="C28" i="204" s="1"/>
  <c r="B23" i="204"/>
  <c r="B27" i="204"/>
  <c r="B28" i="204" s="1"/>
  <c r="M20" i="204"/>
  <c r="M48" i="204" s="1"/>
  <c r="M61" i="204" s="1"/>
  <c r="L20" i="204"/>
  <c r="K20" i="204"/>
  <c r="K48" i="204" s="1"/>
  <c r="K61" i="204" s="1"/>
  <c r="J20" i="204"/>
  <c r="I20" i="204"/>
  <c r="H20" i="204"/>
  <c r="H48" i="204" s="1"/>
  <c r="G20" i="204"/>
  <c r="F20" i="204"/>
  <c r="E20" i="204"/>
  <c r="E48" i="204"/>
  <c r="D20" i="204"/>
  <c r="C20" i="204"/>
  <c r="B20" i="204"/>
  <c r="N19" i="204"/>
  <c r="N20" i="204" s="1"/>
  <c r="N17" i="204"/>
  <c r="N16" i="204"/>
  <c r="I11" i="204"/>
  <c r="H11" i="204"/>
  <c r="G11" i="204"/>
  <c r="F11" i="204"/>
  <c r="E11" i="204"/>
  <c r="D11" i="204"/>
  <c r="C11" i="204"/>
  <c r="B11" i="204"/>
  <c r="M9" i="204"/>
  <c r="M13" i="204"/>
  <c r="L9" i="204"/>
  <c r="L13" i="204" s="1"/>
  <c r="K9" i="204"/>
  <c r="K13" i="204"/>
  <c r="J9" i="204"/>
  <c r="I9" i="204"/>
  <c r="I13" i="204"/>
  <c r="H9" i="204"/>
  <c r="H13" i="204" s="1"/>
  <c r="G9" i="204"/>
  <c r="G13" i="204"/>
  <c r="F9" i="204"/>
  <c r="F13" i="204" s="1"/>
  <c r="E9" i="204"/>
  <c r="E13" i="204"/>
  <c r="D9" i="204"/>
  <c r="C9" i="204"/>
  <c r="C13" i="204"/>
  <c r="B9" i="204"/>
  <c r="B13" i="204" s="1"/>
  <c r="N8" i="204"/>
  <c r="N7" i="204"/>
  <c r="N9" i="204" s="1"/>
  <c r="N6" i="204"/>
  <c r="N5" i="204"/>
  <c r="N4" i="204"/>
  <c r="B61" i="205"/>
  <c r="B62" i="205"/>
  <c r="N87" i="204"/>
  <c r="J27" i="204"/>
  <c r="J28" i="204" s="1"/>
  <c r="J48" i="204"/>
  <c r="J61" i="204" s="1"/>
  <c r="E28" i="204"/>
  <c r="N26" i="204"/>
  <c r="K28" i="204"/>
  <c r="N25" i="204"/>
  <c r="H61" i="204"/>
  <c r="N53" i="204"/>
  <c r="N58" i="204"/>
  <c r="G84" i="204"/>
  <c r="K84" i="204"/>
  <c r="F84" i="204"/>
  <c r="E58" i="204"/>
  <c r="E61" i="204" s="1"/>
  <c r="H84" i="204"/>
  <c r="L84" i="204"/>
  <c r="J84" i="204"/>
  <c r="E84" i="204"/>
  <c r="I84" i="204"/>
  <c r="I11" i="203"/>
  <c r="M93" i="203"/>
  <c r="L93" i="203"/>
  <c r="K93" i="203"/>
  <c r="J93" i="203"/>
  <c r="I93" i="203"/>
  <c r="H93" i="203"/>
  <c r="G93" i="203"/>
  <c r="F93" i="203"/>
  <c r="E93" i="203"/>
  <c r="D93" i="203"/>
  <c r="C93" i="203"/>
  <c r="B93" i="203"/>
  <c r="M87" i="203"/>
  <c r="L87" i="203"/>
  <c r="K87" i="203"/>
  <c r="J87" i="203"/>
  <c r="I87" i="203"/>
  <c r="H87" i="203"/>
  <c r="G87" i="203"/>
  <c r="F87" i="203"/>
  <c r="E87" i="203"/>
  <c r="D87" i="203"/>
  <c r="C87" i="203"/>
  <c r="B87" i="203"/>
  <c r="D84" i="203"/>
  <c r="C84" i="203"/>
  <c r="B84" i="203"/>
  <c r="B83" i="203"/>
  <c r="C83" i="203"/>
  <c r="N73" i="203"/>
  <c r="B68" i="203"/>
  <c r="C68" i="203"/>
  <c r="D68" i="203"/>
  <c r="E68" i="203" s="1"/>
  <c r="F68" i="203" s="1"/>
  <c r="G68" i="203" s="1"/>
  <c r="H68" i="203" s="1"/>
  <c r="I68" i="203" s="1"/>
  <c r="J68" i="203" s="1"/>
  <c r="K68" i="203" s="1"/>
  <c r="L68" i="203" s="1"/>
  <c r="M68" i="203" s="1"/>
  <c r="M58" i="203"/>
  <c r="L58" i="203"/>
  <c r="K58" i="203"/>
  <c r="J58" i="203"/>
  <c r="I58" i="203"/>
  <c r="H58" i="203"/>
  <c r="G58" i="203"/>
  <c r="F58" i="203"/>
  <c r="D58" i="203"/>
  <c r="C58" i="203"/>
  <c r="N57" i="203"/>
  <c r="N56" i="203"/>
  <c r="B55" i="203"/>
  <c r="N55" i="203" s="1"/>
  <c r="B58" i="203"/>
  <c r="B61" i="203" s="1"/>
  <c r="N54" i="203"/>
  <c r="E53" i="203"/>
  <c r="L84" i="203" s="1"/>
  <c r="M46" i="203"/>
  <c r="L46" i="203"/>
  <c r="K46" i="203"/>
  <c r="J46" i="203"/>
  <c r="I46" i="203"/>
  <c r="H46" i="203"/>
  <c r="G46" i="203"/>
  <c r="F46" i="203"/>
  <c r="E46" i="203"/>
  <c r="D46" i="203"/>
  <c r="C46" i="203"/>
  <c r="B46" i="203"/>
  <c r="N45" i="203"/>
  <c r="N44" i="203"/>
  <c r="N46" i="203" s="1"/>
  <c r="N41" i="203"/>
  <c r="N40" i="203"/>
  <c r="N39" i="203"/>
  <c r="N37" i="203"/>
  <c r="M34" i="203"/>
  <c r="M38" i="203" s="1"/>
  <c r="M42" i="203" s="1"/>
  <c r="L34" i="203"/>
  <c r="L38" i="203" s="1"/>
  <c r="K34" i="203"/>
  <c r="K38" i="203" s="1"/>
  <c r="K42" i="203" s="1"/>
  <c r="J34" i="203"/>
  <c r="I34" i="203"/>
  <c r="I38" i="203"/>
  <c r="I42" i="203" s="1"/>
  <c r="H34" i="203"/>
  <c r="H38" i="203"/>
  <c r="H42" i="203"/>
  <c r="G34" i="203"/>
  <c r="G38" i="203" s="1"/>
  <c r="G42" i="203" s="1"/>
  <c r="F34" i="203"/>
  <c r="E34" i="203"/>
  <c r="E38" i="203"/>
  <c r="E42" i="203" s="1"/>
  <c r="E48" i="203" s="1"/>
  <c r="D34" i="203"/>
  <c r="D38" i="203"/>
  <c r="D42" i="203"/>
  <c r="C34" i="203"/>
  <c r="C38" i="203" s="1"/>
  <c r="C42" i="203" s="1"/>
  <c r="B34" i="203"/>
  <c r="B38" i="203" s="1"/>
  <c r="B42" i="203" s="1"/>
  <c r="AD33" i="203"/>
  <c r="AR33" i="203"/>
  <c r="AC33" i="203"/>
  <c r="AQ33" i="203" s="1"/>
  <c r="AA33" i="203"/>
  <c r="AO33" i="203"/>
  <c r="Z33" i="203"/>
  <c r="AN33" i="203" s="1"/>
  <c r="Y33" i="203"/>
  <c r="AM33" i="203"/>
  <c r="X33" i="203"/>
  <c r="AL33" i="203" s="1"/>
  <c r="W33" i="203"/>
  <c r="AK33" i="203" s="1"/>
  <c r="V33" i="203"/>
  <c r="AJ33" i="203"/>
  <c r="U33" i="203"/>
  <c r="AI33" i="203"/>
  <c r="T33" i="203"/>
  <c r="AH33" i="203"/>
  <c r="S33" i="203"/>
  <c r="AG33" i="203"/>
  <c r="R33" i="203"/>
  <c r="AF33" i="203"/>
  <c r="Q33" i="203"/>
  <c r="AE33" i="203"/>
  <c r="N33" i="203"/>
  <c r="AB33" i="203"/>
  <c r="AP33" i="203" s="1"/>
  <c r="AC32" i="203"/>
  <c r="AQ32" i="203"/>
  <c r="AA32" i="203"/>
  <c r="AO32" i="203" s="1"/>
  <c r="Z32" i="203"/>
  <c r="AN32" i="203"/>
  <c r="Y32" i="203"/>
  <c r="AM32" i="203" s="1"/>
  <c r="X32" i="203"/>
  <c r="AL32" i="203"/>
  <c r="W32" i="203"/>
  <c r="AK32" i="203" s="1"/>
  <c r="V32" i="203"/>
  <c r="AJ32" i="203"/>
  <c r="U32" i="203"/>
  <c r="AI32" i="203" s="1"/>
  <c r="T32" i="203"/>
  <c r="AH32" i="203"/>
  <c r="S32" i="203"/>
  <c r="AG32" i="203"/>
  <c r="R32" i="203"/>
  <c r="AF32" i="203"/>
  <c r="Q32" i="203"/>
  <c r="AE32" i="203"/>
  <c r="P32" i="203"/>
  <c r="AD32" i="203"/>
  <c r="AR32" i="203"/>
  <c r="N32" i="203"/>
  <c r="AB32" i="203" s="1"/>
  <c r="AP32" i="203" s="1"/>
  <c r="N31" i="203"/>
  <c r="N30" i="203"/>
  <c r="N34" i="203" s="1"/>
  <c r="M26" i="203"/>
  <c r="L26" i="203"/>
  <c r="K26" i="203"/>
  <c r="J26" i="203"/>
  <c r="I26" i="203"/>
  <c r="H26" i="203"/>
  <c r="G26" i="203"/>
  <c r="F26" i="203"/>
  <c r="E26" i="203"/>
  <c r="D26" i="203"/>
  <c r="C26" i="203"/>
  <c r="B26" i="203"/>
  <c r="N26" i="203" s="1"/>
  <c r="M25" i="203"/>
  <c r="L25" i="203"/>
  <c r="K25" i="203"/>
  <c r="J25" i="203"/>
  <c r="I25" i="203"/>
  <c r="H25" i="203"/>
  <c r="G25" i="203"/>
  <c r="F25" i="203"/>
  <c r="E25" i="203"/>
  <c r="D25" i="203"/>
  <c r="C25" i="203"/>
  <c r="B25" i="203"/>
  <c r="M24" i="203"/>
  <c r="L24" i="203"/>
  <c r="K24" i="203"/>
  <c r="J24" i="203"/>
  <c r="J27" i="203" s="1"/>
  <c r="J28" i="203" s="1"/>
  <c r="I24" i="203"/>
  <c r="H24" i="203"/>
  <c r="G24" i="203"/>
  <c r="G27" i="203" s="1"/>
  <c r="F24" i="203"/>
  <c r="F27" i="203" s="1"/>
  <c r="F28" i="203" s="1"/>
  <c r="E24" i="203"/>
  <c r="D24" i="203"/>
  <c r="C24" i="203"/>
  <c r="B24" i="203"/>
  <c r="M23" i="203"/>
  <c r="M27" i="203"/>
  <c r="L23" i="203"/>
  <c r="L27" i="203"/>
  <c r="L28" i="203" s="1"/>
  <c r="K23" i="203"/>
  <c r="K27" i="203" s="1"/>
  <c r="J23" i="203"/>
  <c r="I23" i="203"/>
  <c r="I27" i="203" s="1"/>
  <c r="I28" i="203" s="1"/>
  <c r="H23" i="203"/>
  <c r="H27" i="203" s="1"/>
  <c r="H28" i="203" s="1"/>
  <c r="G23" i="203"/>
  <c r="F23" i="203"/>
  <c r="E23" i="203"/>
  <c r="E27" i="203" s="1"/>
  <c r="E28" i="203" s="1"/>
  <c r="D23" i="203"/>
  <c r="D27" i="203" s="1"/>
  <c r="C23" i="203"/>
  <c r="C27" i="203" s="1"/>
  <c r="C28" i="203" s="1"/>
  <c r="B23" i="203"/>
  <c r="M20" i="203"/>
  <c r="L20" i="203"/>
  <c r="L48" i="203" s="1"/>
  <c r="L61" i="203" s="1"/>
  <c r="K20" i="203"/>
  <c r="K48" i="203" s="1"/>
  <c r="K50" i="203" s="1"/>
  <c r="J20" i="203"/>
  <c r="I20" i="203"/>
  <c r="H20" i="203"/>
  <c r="H48" i="203" s="1"/>
  <c r="H61" i="203" s="1"/>
  <c r="G20" i="203"/>
  <c r="F20" i="203"/>
  <c r="E20" i="203"/>
  <c r="D20" i="203"/>
  <c r="D48" i="203" s="1"/>
  <c r="D61" i="203" s="1"/>
  <c r="C20" i="203"/>
  <c r="C48" i="203" s="1"/>
  <c r="C61" i="203" s="1"/>
  <c r="B20" i="203"/>
  <c r="N19" i="203"/>
  <c r="N17" i="203"/>
  <c r="N16" i="203"/>
  <c r="H11" i="203"/>
  <c r="G11" i="203"/>
  <c r="G13" i="203" s="1"/>
  <c r="F11" i="203"/>
  <c r="E11" i="203"/>
  <c r="D11" i="203"/>
  <c r="C11" i="203"/>
  <c r="B11" i="203"/>
  <c r="N11" i="203" s="1"/>
  <c r="M9" i="203"/>
  <c r="M13" i="203"/>
  <c r="L9" i="203"/>
  <c r="L13" i="203"/>
  <c r="L62" i="203" s="1"/>
  <c r="K9" i="203"/>
  <c r="K13" i="203"/>
  <c r="J9" i="203"/>
  <c r="J13" i="203"/>
  <c r="I9" i="203"/>
  <c r="I13" i="203"/>
  <c r="H9" i="203"/>
  <c r="H13" i="203"/>
  <c r="G9" i="203"/>
  <c r="F9" i="203"/>
  <c r="E9" i="203"/>
  <c r="E13" i="203" s="1"/>
  <c r="E50" i="203" s="1"/>
  <c r="D9" i="203"/>
  <c r="D13" i="203"/>
  <c r="C9" i="203"/>
  <c r="B9" i="203"/>
  <c r="N8" i="203"/>
  <c r="N7" i="203"/>
  <c r="N6" i="203"/>
  <c r="N5" i="203"/>
  <c r="N4" i="203"/>
  <c r="G48" i="203"/>
  <c r="N25" i="203"/>
  <c r="N23" i="203"/>
  <c r="G28" i="203"/>
  <c r="G61" i="203"/>
  <c r="K61" i="203"/>
  <c r="K62" i="203" s="1"/>
  <c r="K72" i="203" s="1"/>
  <c r="D28" i="203"/>
  <c r="M28" i="203"/>
  <c r="G50" i="203"/>
  <c r="L42" i="203"/>
  <c r="B48" i="203"/>
  <c r="M48" i="203"/>
  <c r="N9" i="203"/>
  <c r="K84" i="203"/>
  <c r="G84" i="203"/>
  <c r="J84" i="203"/>
  <c r="F84" i="203"/>
  <c r="M84" i="203"/>
  <c r="N53" i="203"/>
  <c r="N58" i="203"/>
  <c r="E58" i="203"/>
  <c r="H84" i="203"/>
  <c r="E84" i="203"/>
  <c r="I84" i="203"/>
  <c r="B85" i="203"/>
  <c r="H11" i="202"/>
  <c r="M93" i="202"/>
  <c r="L93" i="202"/>
  <c r="K93" i="202"/>
  <c r="J93" i="202"/>
  <c r="I93" i="202"/>
  <c r="H93" i="202"/>
  <c r="G93" i="202"/>
  <c r="F93" i="202"/>
  <c r="E93" i="202"/>
  <c r="D93" i="202"/>
  <c r="C93" i="202"/>
  <c r="B93" i="202"/>
  <c r="M87" i="202"/>
  <c r="L87" i="202"/>
  <c r="K87" i="202"/>
  <c r="J87" i="202"/>
  <c r="I87" i="202"/>
  <c r="H87" i="202"/>
  <c r="G87" i="202"/>
  <c r="F87" i="202"/>
  <c r="E87" i="202"/>
  <c r="D87" i="202"/>
  <c r="C87" i="202"/>
  <c r="C88" i="202" s="1"/>
  <c r="B87" i="202"/>
  <c r="D84" i="202"/>
  <c r="C84" i="202"/>
  <c r="B84" i="202"/>
  <c r="B83" i="202"/>
  <c r="C83" i="202" s="1"/>
  <c r="D83" i="202" s="1"/>
  <c r="N73" i="202"/>
  <c r="B68" i="202"/>
  <c r="C68" i="202" s="1"/>
  <c r="D68" i="202" s="1"/>
  <c r="E68" i="202" s="1"/>
  <c r="F68" i="202"/>
  <c r="G68" i="202" s="1"/>
  <c r="H68" i="202" s="1"/>
  <c r="I68" i="202" s="1"/>
  <c r="J68" i="202"/>
  <c r="K68" i="202" s="1"/>
  <c r="L68" i="202" s="1"/>
  <c r="M68" i="202" s="1"/>
  <c r="M58" i="202"/>
  <c r="M61" i="202" s="1"/>
  <c r="L58" i="202"/>
  <c r="K58" i="202"/>
  <c r="J58" i="202"/>
  <c r="I58" i="202"/>
  <c r="H58" i="202"/>
  <c r="G58" i="202"/>
  <c r="F58" i="202"/>
  <c r="D58" i="202"/>
  <c r="C58" i="202"/>
  <c r="N57" i="202"/>
  <c r="N56" i="202"/>
  <c r="B55" i="202"/>
  <c r="N54" i="202"/>
  <c r="E53" i="202"/>
  <c r="M84" i="202"/>
  <c r="M46" i="202"/>
  <c r="L46" i="202"/>
  <c r="K46" i="202"/>
  <c r="J46" i="202"/>
  <c r="I46" i="202"/>
  <c r="H46" i="202"/>
  <c r="G46" i="202"/>
  <c r="F46" i="202"/>
  <c r="F48" i="202" s="1"/>
  <c r="E46" i="202"/>
  <c r="D46" i="202"/>
  <c r="C46" i="202"/>
  <c r="B46" i="202"/>
  <c r="N45" i="202"/>
  <c r="N46" i="202" s="1"/>
  <c r="N44" i="202"/>
  <c r="N41" i="202"/>
  <c r="N40" i="202"/>
  <c r="N39" i="202"/>
  <c r="N37" i="202"/>
  <c r="M34" i="202"/>
  <c r="M38" i="202" s="1"/>
  <c r="M42" i="202" s="1"/>
  <c r="L34" i="202"/>
  <c r="L38" i="202"/>
  <c r="L42" i="202" s="1"/>
  <c r="K34" i="202"/>
  <c r="K38" i="202"/>
  <c r="K42" i="202"/>
  <c r="J34" i="202"/>
  <c r="J38" i="202" s="1"/>
  <c r="J42" i="202" s="1"/>
  <c r="I34" i="202"/>
  <c r="H34" i="202"/>
  <c r="H38" i="202"/>
  <c r="H42" i="202" s="1"/>
  <c r="H48" i="202" s="1"/>
  <c r="H61" i="202" s="1"/>
  <c r="G34" i="202"/>
  <c r="G38" i="202" s="1"/>
  <c r="G42" i="202" s="1"/>
  <c r="F34" i="202"/>
  <c r="F38" i="202"/>
  <c r="F42" i="202" s="1"/>
  <c r="E34" i="202"/>
  <c r="E38" i="202"/>
  <c r="E42" i="202"/>
  <c r="D34" i="202"/>
  <c r="D38" i="202" s="1"/>
  <c r="D42" i="202" s="1"/>
  <c r="C34" i="202"/>
  <c r="C38" i="202" s="1"/>
  <c r="B34" i="202"/>
  <c r="B38" i="202"/>
  <c r="B42" i="202" s="1"/>
  <c r="AD33" i="202"/>
  <c r="AR33" i="202" s="1"/>
  <c r="AC33" i="202"/>
  <c r="AQ33" i="202"/>
  <c r="AA33" i="202"/>
  <c r="AO33" i="202" s="1"/>
  <c r="Z33" i="202"/>
  <c r="AN33" i="202"/>
  <c r="Y33" i="202"/>
  <c r="AM33" i="202" s="1"/>
  <c r="X33" i="202"/>
  <c r="AL33" i="202"/>
  <c r="W33" i="202"/>
  <c r="AK33" i="202" s="1"/>
  <c r="V33" i="202"/>
  <c r="AJ33" i="202" s="1"/>
  <c r="U33" i="202"/>
  <c r="AI33" i="202"/>
  <c r="T33" i="202"/>
  <c r="AH33" i="202" s="1"/>
  <c r="S33" i="202"/>
  <c r="AG33" i="202"/>
  <c r="R33" i="202"/>
  <c r="AF33" i="202" s="1"/>
  <c r="Q33" i="202"/>
  <c r="AE33" i="202"/>
  <c r="N33" i="202"/>
  <c r="AB33" i="202" s="1"/>
  <c r="AP33" i="202" s="1"/>
  <c r="AC32" i="202"/>
  <c r="AQ32" i="202"/>
  <c r="AA32" i="202"/>
  <c r="AO32" i="202" s="1"/>
  <c r="Z32" i="202"/>
  <c r="AN32" i="202"/>
  <c r="Y32" i="202"/>
  <c r="AM32" i="202" s="1"/>
  <c r="X32" i="202"/>
  <c r="AL32" i="202" s="1"/>
  <c r="W32" i="202"/>
  <c r="AK32" i="202" s="1"/>
  <c r="V32" i="202"/>
  <c r="AJ32" i="202" s="1"/>
  <c r="U32" i="202"/>
  <c r="AI32" i="202"/>
  <c r="T32" i="202"/>
  <c r="AH32" i="202" s="1"/>
  <c r="S32" i="202"/>
  <c r="AG32" i="202"/>
  <c r="R32" i="202"/>
  <c r="AF32" i="202" s="1"/>
  <c r="Q32" i="202"/>
  <c r="AE32" i="202"/>
  <c r="P32" i="202"/>
  <c r="AD32" i="202" s="1"/>
  <c r="AR32" i="202" s="1"/>
  <c r="N32" i="202"/>
  <c r="AB32" i="202"/>
  <c r="AP32" i="202"/>
  <c r="N31" i="202"/>
  <c r="N34" i="202" s="1"/>
  <c r="N30" i="202"/>
  <c r="M26" i="202"/>
  <c r="L26" i="202"/>
  <c r="K26" i="202"/>
  <c r="J26" i="202"/>
  <c r="I26" i="202"/>
  <c r="H26" i="202"/>
  <c r="G26" i="202"/>
  <c r="F26" i="202"/>
  <c r="E26" i="202"/>
  <c r="N26" i="202" s="1"/>
  <c r="D26" i="202"/>
  <c r="C26" i="202"/>
  <c r="B26" i="202"/>
  <c r="M25" i="202"/>
  <c r="L25" i="202"/>
  <c r="K25" i="202"/>
  <c r="J25" i="202"/>
  <c r="I25" i="202"/>
  <c r="H25" i="202"/>
  <c r="G25" i="202"/>
  <c r="F25" i="202"/>
  <c r="E25" i="202"/>
  <c r="N25" i="202" s="1"/>
  <c r="D25" i="202"/>
  <c r="C25" i="202"/>
  <c r="B25" i="202"/>
  <c r="M24" i="202"/>
  <c r="L24" i="202"/>
  <c r="L27" i="202" s="1"/>
  <c r="K24" i="202"/>
  <c r="J24" i="202"/>
  <c r="I24" i="202"/>
  <c r="H24" i="202"/>
  <c r="H27" i="202" s="1"/>
  <c r="G24" i="202"/>
  <c r="F24" i="202"/>
  <c r="E24" i="202"/>
  <c r="N24" i="202" s="1"/>
  <c r="D24" i="202"/>
  <c r="D27" i="202" s="1"/>
  <c r="C24" i="202"/>
  <c r="B24" i="202"/>
  <c r="M23" i="202"/>
  <c r="M27" i="202" s="1"/>
  <c r="L23" i="202"/>
  <c r="K23" i="202"/>
  <c r="K27" i="202" s="1"/>
  <c r="K28" i="202" s="1"/>
  <c r="J23" i="202"/>
  <c r="J27" i="202"/>
  <c r="I23" i="202"/>
  <c r="I27" i="202" s="1"/>
  <c r="H23" i="202"/>
  <c r="G23" i="202"/>
  <c r="G27" i="202" s="1"/>
  <c r="G28" i="202" s="1"/>
  <c r="F23" i="202"/>
  <c r="F27" i="202"/>
  <c r="E23" i="202"/>
  <c r="D23" i="202"/>
  <c r="C23" i="202"/>
  <c r="C27" i="202"/>
  <c r="C28" i="202" s="1"/>
  <c r="B23" i="202"/>
  <c r="B27" i="202" s="1"/>
  <c r="B28" i="202" s="1"/>
  <c r="M20" i="202"/>
  <c r="M48" i="202"/>
  <c r="L20" i="202"/>
  <c r="K20" i="202"/>
  <c r="J20" i="202"/>
  <c r="I20" i="202"/>
  <c r="H20" i="202"/>
  <c r="G20" i="202"/>
  <c r="G48" i="202" s="1"/>
  <c r="F20" i="202"/>
  <c r="E20" i="202"/>
  <c r="E48" i="202" s="1"/>
  <c r="E50" i="202" s="1"/>
  <c r="D20" i="202"/>
  <c r="C20" i="202"/>
  <c r="B20" i="202"/>
  <c r="N19" i="202"/>
  <c r="N17" i="202"/>
  <c r="N16" i="202"/>
  <c r="N20" i="202" s="1"/>
  <c r="G11" i="202"/>
  <c r="G13" i="202" s="1"/>
  <c r="F11" i="202"/>
  <c r="E11" i="202"/>
  <c r="D11" i="202"/>
  <c r="C11" i="202"/>
  <c r="C13" i="202" s="1"/>
  <c r="B11" i="202"/>
  <c r="M9" i="202"/>
  <c r="M13" i="202"/>
  <c r="L9" i="202"/>
  <c r="L13" i="202" s="1"/>
  <c r="K9" i="202"/>
  <c r="K13" i="202"/>
  <c r="J9" i="202"/>
  <c r="J13" i="202" s="1"/>
  <c r="I9" i="202"/>
  <c r="H9" i="202"/>
  <c r="H13" i="202" s="1"/>
  <c r="G9" i="202"/>
  <c r="F9" i="202"/>
  <c r="F13" i="202" s="1"/>
  <c r="E9" i="202"/>
  <c r="E13" i="202"/>
  <c r="D9" i="202"/>
  <c r="D13" i="202" s="1"/>
  <c r="C9" i="202"/>
  <c r="B9" i="202"/>
  <c r="B13" i="202" s="1"/>
  <c r="N8" i="202"/>
  <c r="N7" i="202"/>
  <c r="N6" i="202"/>
  <c r="N5" i="202"/>
  <c r="N4" i="202"/>
  <c r="E61" i="203"/>
  <c r="E62" i="203" s="1"/>
  <c r="E72" i="203" s="1"/>
  <c r="L72" i="203"/>
  <c r="N87" i="202"/>
  <c r="F28" i="202"/>
  <c r="J28" i="202"/>
  <c r="N9" i="202"/>
  <c r="D88" i="202"/>
  <c r="E88" i="202" s="1"/>
  <c r="F88" i="202" s="1"/>
  <c r="G88" i="202" s="1"/>
  <c r="H88" i="202"/>
  <c r="I88" i="202" s="1"/>
  <c r="J88" i="202" s="1"/>
  <c r="K88" i="202" s="1"/>
  <c r="L88" i="202"/>
  <c r="M88" i="202" s="1"/>
  <c r="G61" i="202"/>
  <c r="E83" i="202"/>
  <c r="D85" i="202"/>
  <c r="C85" i="202"/>
  <c r="M50" i="202"/>
  <c r="E58" i="202"/>
  <c r="F84" i="202"/>
  <c r="J84" i="202"/>
  <c r="H84" i="202"/>
  <c r="L84" i="202"/>
  <c r="N53" i="202"/>
  <c r="E84" i="202"/>
  <c r="I84" i="202"/>
  <c r="G11" i="201"/>
  <c r="M93" i="201"/>
  <c r="L93" i="201"/>
  <c r="K93" i="201"/>
  <c r="J93" i="201"/>
  <c r="I93" i="201"/>
  <c r="H93" i="201"/>
  <c r="G93" i="201"/>
  <c r="F93" i="201"/>
  <c r="E93" i="201"/>
  <c r="D93" i="201"/>
  <c r="C93" i="201"/>
  <c r="B93" i="201"/>
  <c r="M87" i="201"/>
  <c r="L87" i="201"/>
  <c r="K87" i="201"/>
  <c r="J87" i="201"/>
  <c r="I87" i="201"/>
  <c r="H87" i="201"/>
  <c r="G87" i="201"/>
  <c r="F87" i="201"/>
  <c r="E87" i="201"/>
  <c r="D87" i="201"/>
  <c r="C87" i="201"/>
  <c r="B87" i="201"/>
  <c r="D84" i="201"/>
  <c r="C84" i="201"/>
  <c r="B84" i="201"/>
  <c r="B83" i="201"/>
  <c r="N73" i="201"/>
  <c r="B68" i="201"/>
  <c r="C68" i="201"/>
  <c r="D68" i="201" s="1"/>
  <c r="E68" i="201" s="1"/>
  <c r="F68" i="201" s="1"/>
  <c r="G68" i="201" s="1"/>
  <c r="H68" i="201" s="1"/>
  <c r="I68" i="201" s="1"/>
  <c r="J68" i="201" s="1"/>
  <c r="K68" i="201" s="1"/>
  <c r="L68" i="201" s="1"/>
  <c r="M68" i="201" s="1"/>
  <c r="M58" i="201"/>
  <c r="L58" i="201"/>
  <c r="L61" i="201" s="1"/>
  <c r="K58" i="201"/>
  <c r="J58" i="201"/>
  <c r="I58" i="201"/>
  <c r="H58" i="201"/>
  <c r="G58" i="201"/>
  <c r="F58" i="201"/>
  <c r="D58" i="201"/>
  <c r="C58" i="201"/>
  <c r="N57" i="201"/>
  <c r="N56" i="201"/>
  <c r="B55" i="201"/>
  <c r="N55" i="201"/>
  <c r="N54" i="201"/>
  <c r="E53" i="201"/>
  <c r="M84" i="201" s="1"/>
  <c r="M46" i="201"/>
  <c r="M48" i="201" s="1"/>
  <c r="M61" i="201" s="1"/>
  <c r="M62" i="201" s="1"/>
  <c r="M72" i="201" s="1"/>
  <c r="L46" i="201"/>
  <c r="K46" i="201"/>
  <c r="J46" i="201"/>
  <c r="I46" i="201"/>
  <c r="H46" i="201"/>
  <c r="G46" i="201"/>
  <c r="F46" i="201"/>
  <c r="E46" i="201"/>
  <c r="D46" i="201"/>
  <c r="C46" i="201"/>
  <c r="B46" i="201"/>
  <c r="N45" i="201"/>
  <c r="N44" i="201"/>
  <c r="N41" i="201"/>
  <c r="N40" i="201"/>
  <c r="N39" i="201"/>
  <c r="N37" i="201"/>
  <c r="M34" i="201"/>
  <c r="M38" i="201"/>
  <c r="M42" i="201" s="1"/>
  <c r="L34" i="201"/>
  <c r="L38" i="201"/>
  <c r="L42" i="201"/>
  <c r="L48" i="201" s="1"/>
  <c r="K34" i="201"/>
  <c r="K38" i="201" s="1"/>
  <c r="K42" i="201" s="1"/>
  <c r="K48" i="201" s="1"/>
  <c r="K61" i="201" s="1"/>
  <c r="K62" i="201" s="1"/>
  <c r="K72" i="201" s="1"/>
  <c r="J34" i="201"/>
  <c r="J38" i="201" s="1"/>
  <c r="J42" i="201" s="1"/>
  <c r="I34" i="201"/>
  <c r="I38" i="201" s="1"/>
  <c r="I42" i="201" s="1"/>
  <c r="H34" i="201"/>
  <c r="G34" i="201"/>
  <c r="G38" i="201"/>
  <c r="G42" i="201" s="1"/>
  <c r="G48" i="201" s="1"/>
  <c r="G61" i="201" s="1"/>
  <c r="F34" i="201"/>
  <c r="F38" i="201"/>
  <c r="F42" i="201"/>
  <c r="E34" i="201"/>
  <c r="E38" i="201" s="1"/>
  <c r="E42" i="201" s="1"/>
  <c r="D34" i="201"/>
  <c r="C34" i="201"/>
  <c r="C38" i="201"/>
  <c r="B34" i="201"/>
  <c r="B38" i="201"/>
  <c r="B42" i="201"/>
  <c r="AD33" i="201"/>
  <c r="AR33" i="201" s="1"/>
  <c r="AC33" i="201"/>
  <c r="AQ33" i="201" s="1"/>
  <c r="AA33" i="201"/>
  <c r="AO33" i="201" s="1"/>
  <c r="Z33" i="201"/>
  <c r="AN33" i="201"/>
  <c r="Y33" i="201"/>
  <c r="AM33" i="201" s="1"/>
  <c r="X33" i="201"/>
  <c r="AL33" i="201"/>
  <c r="W33" i="201"/>
  <c r="AK33" i="201" s="1"/>
  <c r="V33" i="201"/>
  <c r="AJ33" i="201"/>
  <c r="U33" i="201"/>
  <c r="AI33" i="201" s="1"/>
  <c r="T33" i="201"/>
  <c r="AH33" i="201" s="1"/>
  <c r="S33" i="201"/>
  <c r="AG33" i="201"/>
  <c r="R33" i="201"/>
  <c r="AF33" i="201" s="1"/>
  <c r="Q33" i="201"/>
  <c r="AE33" i="201"/>
  <c r="N33" i="201"/>
  <c r="AB33" i="201" s="1"/>
  <c r="AP33" i="201" s="1"/>
  <c r="AC32" i="201"/>
  <c r="AQ32" i="201" s="1"/>
  <c r="AA32" i="201"/>
  <c r="AO32" i="201" s="1"/>
  <c r="Z32" i="201"/>
  <c r="AN32" i="201"/>
  <c r="Y32" i="201"/>
  <c r="AM32" i="201" s="1"/>
  <c r="X32" i="201"/>
  <c r="AL32" i="201"/>
  <c r="W32" i="201"/>
  <c r="AK32" i="201" s="1"/>
  <c r="V32" i="201"/>
  <c r="AJ32" i="201" s="1"/>
  <c r="U32" i="201"/>
  <c r="AI32" i="201" s="1"/>
  <c r="T32" i="201"/>
  <c r="AH32" i="201" s="1"/>
  <c r="S32" i="201"/>
  <c r="AG32" i="201"/>
  <c r="R32" i="201"/>
  <c r="AF32" i="201" s="1"/>
  <c r="Q32" i="201"/>
  <c r="AE32" i="201"/>
  <c r="P32" i="201"/>
  <c r="AD32" i="201" s="1"/>
  <c r="AR32" i="201" s="1"/>
  <c r="N32" i="201"/>
  <c r="AB32" i="201" s="1"/>
  <c r="AP32" i="201" s="1"/>
  <c r="N31" i="201"/>
  <c r="N34" i="201" s="1"/>
  <c r="N30" i="201"/>
  <c r="M26" i="201"/>
  <c r="L26" i="201"/>
  <c r="K26" i="201"/>
  <c r="J26" i="201"/>
  <c r="I26" i="201"/>
  <c r="H26" i="201"/>
  <c r="G26" i="201"/>
  <c r="F26" i="201"/>
  <c r="E26" i="201"/>
  <c r="D26" i="201"/>
  <c r="C26" i="201"/>
  <c r="N26" i="201" s="1"/>
  <c r="B26" i="201"/>
  <c r="M25" i="201"/>
  <c r="L25" i="201"/>
  <c r="K25" i="201"/>
  <c r="J25" i="201"/>
  <c r="I25" i="201"/>
  <c r="H25" i="201"/>
  <c r="G25" i="201"/>
  <c r="F25" i="201"/>
  <c r="E25" i="201"/>
  <c r="D25" i="201"/>
  <c r="C25" i="201"/>
  <c r="N25" i="201" s="1"/>
  <c r="B25" i="201"/>
  <c r="M24" i="201"/>
  <c r="L24" i="201"/>
  <c r="K24" i="201"/>
  <c r="J24" i="201"/>
  <c r="I24" i="201"/>
  <c r="H24" i="201"/>
  <c r="G24" i="201"/>
  <c r="F24" i="201"/>
  <c r="E24" i="201"/>
  <c r="D24" i="201"/>
  <c r="C24" i="201"/>
  <c r="C27" i="201" s="1"/>
  <c r="B24" i="201"/>
  <c r="M23" i="201"/>
  <c r="M27" i="201" s="1"/>
  <c r="M28" i="201" s="1"/>
  <c r="L23" i="201"/>
  <c r="L27" i="201" s="1"/>
  <c r="L28" i="201" s="1"/>
  <c r="K23" i="201"/>
  <c r="K27" i="201" s="1"/>
  <c r="J23" i="201"/>
  <c r="J27" i="201"/>
  <c r="I23" i="201"/>
  <c r="I27" i="201" s="1"/>
  <c r="I28" i="201" s="1"/>
  <c r="H23" i="201"/>
  <c r="G23" i="201"/>
  <c r="F23" i="201"/>
  <c r="F27" i="201" s="1"/>
  <c r="E23" i="201"/>
  <c r="E27" i="201" s="1"/>
  <c r="D23" i="201"/>
  <c r="C23" i="201"/>
  <c r="B23" i="201"/>
  <c r="B27" i="201" s="1"/>
  <c r="B28" i="201" s="1"/>
  <c r="M20" i="201"/>
  <c r="L20" i="201"/>
  <c r="K20" i="201"/>
  <c r="J20" i="201"/>
  <c r="I20" i="201"/>
  <c r="H20" i="201"/>
  <c r="G20" i="201"/>
  <c r="F20" i="201"/>
  <c r="F48" i="201" s="1"/>
  <c r="E20" i="201"/>
  <c r="D20" i="201"/>
  <c r="C20" i="201"/>
  <c r="B20" i="201"/>
  <c r="B48" i="201" s="1"/>
  <c r="N19" i="201"/>
  <c r="N17" i="201"/>
  <c r="N16" i="201"/>
  <c r="N20" i="201" s="1"/>
  <c r="F11" i="201"/>
  <c r="E11" i="201"/>
  <c r="D11" i="201"/>
  <c r="C11" i="201"/>
  <c r="B11" i="201"/>
  <c r="N11" i="201" s="1"/>
  <c r="M9" i="201"/>
  <c r="M13" i="201"/>
  <c r="L9" i="201"/>
  <c r="L13" i="201" s="1"/>
  <c r="L62" i="201" s="1"/>
  <c r="K9" i="201"/>
  <c r="K13" i="201"/>
  <c r="J9" i="201"/>
  <c r="J13" i="201" s="1"/>
  <c r="I9" i="201"/>
  <c r="I13" i="201" s="1"/>
  <c r="H9" i="201"/>
  <c r="H13" i="201" s="1"/>
  <c r="G9" i="201"/>
  <c r="G13" i="201" s="1"/>
  <c r="F9" i="201"/>
  <c r="F13" i="201" s="1"/>
  <c r="E9" i="201"/>
  <c r="E13" i="201" s="1"/>
  <c r="D9" i="201"/>
  <c r="D13" i="201" s="1"/>
  <c r="C9" i="201"/>
  <c r="C13" i="201" s="1"/>
  <c r="B9" i="201"/>
  <c r="B13" i="201"/>
  <c r="N8" i="201"/>
  <c r="N7" i="201"/>
  <c r="N6" i="201"/>
  <c r="N5" i="201"/>
  <c r="N9" i="201" s="1"/>
  <c r="N4" i="201"/>
  <c r="E85" i="202"/>
  <c r="F83" i="202"/>
  <c r="E28" i="201"/>
  <c r="F28" i="201"/>
  <c r="K50" i="201"/>
  <c r="L72" i="201"/>
  <c r="D27" i="201"/>
  <c r="H27" i="201"/>
  <c r="H28" i="201"/>
  <c r="B58" i="201"/>
  <c r="G84" i="201"/>
  <c r="K84" i="201"/>
  <c r="H84" i="201"/>
  <c r="L84" i="201"/>
  <c r="N23" i="201"/>
  <c r="E84" i="201"/>
  <c r="I84" i="201"/>
  <c r="F11" i="200"/>
  <c r="M93" i="200"/>
  <c r="L93" i="200"/>
  <c r="K93" i="200"/>
  <c r="J93" i="200"/>
  <c r="I93" i="200"/>
  <c r="H93" i="200"/>
  <c r="G93" i="200"/>
  <c r="F93" i="200"/>
  <c r="E93" i="200"/>
  <c r="D93" i="200"/>
  <c r="C93" i="200"/>
  <c r="B93" i="200"/>
  <c r="M87" i="200"/>
  <c r="L87" i="200"/>
  <c r="K87" i="200"/>
  <c r="J87" i="200"/>
  <c r="I87" i="200"/>
  <c r="H87" i="200"/>
  <c r="G87" i="200"/>
  <c r="F87" i="200"/>
  <c r="E87" i="200"/>
  <c r="D87" i="200"/>
  <c r="C87" i="200"/>
  <c r="B87" i="200"/>
  <c r="C88" i="200"/>
  <c r="D88" i="200" s="1"/>
  <c r="E88" i="200" s="1"/>
  <c r="F88" i="200" s="1"/>
  <c r="G88" i="200" s="1"/>
  <c r="H88" i="200" s="1"/>
  <c r="I88" i="200" s="1"/>
  <c r="J88" i="200" s="1"/>
  <c r="K88" i="200" s="1"/>
  <c r="L88" i="200" s="1"/>
  <c r="M88" i="200" s="1"/>
  <c r="D84" i="200"/>
  <c r="C84" i="200"/>
  <c r="B84" i="200"/>
  <c r="B83" i="200"/>
  <c r="C83" i="200" s="1"/>
  <c r="N73" i="200"/>
  <c r="B68" i="200"/>
  <c r="C68" i="200" s="1"/>
  <c r="D68" i="200" s="1"/>
  <c r="E68" i="200" s="1"/>
  <c r="F68" i="200"/>
  <c r="G68" i="200" s="1"/>
  <c r="H68" i="200" s="1"/>
  <c r="I68" i="200" s="1"/>
  <c r="J68" i="200"/>
  <c r="K68" i="200" s="1"/>
  <c r="L68" i="200" s="1"/>
  <c r="M68" i="200" s="1"/>
  <c r="M58" i="200"/>
  <c r="L58" i="200"/>
  <c r="K58" i="200"/>
  <c r="J58" i="200"/>
  <c r="I58" i="200"/>
  <c r="H58" i="200"/>
  <c r="G58" i="200"/>
  <c r="F58" i="200"/>
  <c r="D58" i="200"/>
  <c r="C58" i="200"/>
  <c r="N57" i="200"/>
  <c r="N56" i="200"/>
  <c r="B55" i="200"/>
  <c r="N55" i="200" s="1"/>
  <c r="N54" i="200"/>
  <c r="E53" i="200"/>
  <c r="M84" i="200"/>
  <c r="M46" i="200"/>
  <c r="L46" i="200"/>
  <c r="K46" i="200"/>
  <c r="J46" i="200"/>
  <c r="I46" i="200"/>
  <c r="H46" i="200"/>
  <c r="G46" i="200"/>
  <c r="F46" i="200"/>
  <c r="E46" i="200"/>
  <c r="D46" i="200"/>
  <c r="C46" i="200"/>
  <c r="B46" i="200"/>
  <c r="B48" i="200" s="1"/>
  <c r="N45" i="200"/>
  <c r="N44" i="200"/>
  <c r="N41" i="200"/>
  <c r="N40" i="200"/>
  <c r="N39" i="200"/>
  <c r="N37" i="200"/>
  <c r="M34" i="200"/>
  <c r="M38" i="200"/>
  <c r="M42" i="200" s="1"/>
  <c r="M48" i="200" s="1"/>
  <c r="L34" i="200"/>
  <c r="L38" i="200"/>
  <c r="L42" i="200"/>
  <c r="K34" i="200"/>
  <c r="K38" i="200" s="1"/>
  <c r="K42" i="200" s="1"/>
  <c r="J34" i="200"/>
  <c r="J38" i="200" s="1"/>
  <c r="J42" i="200" s="1"/>
  <c r="I34" i="200"/>
  <c r="I38" i="200"/>
  <c r="I42" i="200" s="1"/>
  <c r="H34" i="200"/>
  <c r="H38" i="200"/>
  <c r="H42" i="200"/>
  <c r="G34" i="200"/>
  <c r="G38" i="200" s="1"/>
  <c r="G42" i="200" s="1"/>
  <c r="G48" i="200" s="1"/>
  <c r="F34" i="200"/>
  <c r="E34" i="200"/>
  <c r="E38" i="200"/>
  <c r="E42" i="200" s="1"/>
  <c r="D34" i="200"/>
  <c r="D38" i="200"/>
  <c r="D42" i="200"/>
  <c r="C34" i="200"/>
  <c r="C38" i="200" s="1"/>
  <c r="C42" i="200" s="1"/>
  <c r="B34" i="200"/>
  <c r="B38" i="200" s="1"/>
  <c r="B42" i="200" s="1"/>
  <c r="AD33" i="200"/>
  <c r="AR33" i="200"/>
  <c r="AC33" i="200"/>
  <c r="AQ33" i="200" s="1"/>
  <c r="AA33" i="200"/>
  <c r="AO33" i="200"/>
  <c r="Z33" i="200"/>
  <c r="AN33" i="200" s="1"/>
  <c r="Y33" i="200"/>
  <c r="AM33" i="200"/>
  <c r="X33" i="200"/>
  <c r="AL33" i="200" s="1"/>
  <c r="W33" i="200"/>
  <c r="AK33" i="200" s="1"/>
  <c r="V33" i="200"/>
  <c r="AJ33" i="200"/>
  <c r="U33" i="200"/>
  <c r="AI33" i="200" s="1"/>
  <c r="T33" i="200"/>
  <c r="AH33" i="200" s="1"/>
  <c r="S33" i="200"/>
  <c r="AG33" i="200" s="1"/>
  <c r="R33" i="200"/>
  <c r="AF33" i="200" s="1"/>
  <c r="Q33" i="200"/>
  <c r="AE33" i="200" s="1"/>
  <c r="N33" i="200"/>
  <c r="AB33" i="200"/>
  <c r="AP33" i="200" s="1"/>
  <c r="AC32" i="200"/>
  <c r="AQ32" i="200"/>
  <c r="AA32" i="200"/>
  <c r="AO32" i="200" s="1"/>
  <c r="Z32" i="200"/>
  <c r="AN32" i="200"/>
  <c r="Y32" i="200"/>
  <c r="AM32" i="200" s="1"/>
  <c r="X32" i="200"/>
  <c r="AL32" i="200"/>
  <c r="W32" i="200"/>
  <c r="AK32" i="200" s="1"/>
  <c r="V32" i="200"/>
  <c r="AJ32" i="200"/>
  <c r="U32" i="200"/>
  <c r="AI32" i="200" s="1"/>
  <c r="T32" i="200"/>
  <c r="AH32" i="200"/>
  <c r="S32" i="200"/>
  <c r="AG32" i="200" s="1"/>
  <c r="R32" i="200"/>
  <c r="AF32" i="200"/>
  <c r="Q32" i="200"/>
  <c r="AE32" i="200" s="1"/>
  <c r="P32" i="200"/>
  <c r="AD32" i="200"/>
  <c r="AR32" i="200" s="1"/>
  <c r="N32" i="200"/>
  <c r="AB32" i="200"/>
  <c r="AP32" i="200"/>
  <c r="N31" i="200"/>
  <c r="N30" i="200"/>
  <c r="M26" i="200"/>
  <c r="L26" i="200"/>
  <c r="K26" i="200"/>
  <c r="J26" i="200"/>
  <c r="I26" i="200"/>
  <c r="H26" i="200"/>
  <c r="G26" i="200"/>
  <c r="F26" i="200"/>
  <c r="E26" i="200"/>
  <c r="D26" i="200"/>
  <c r="N26" i="200" s="1"/>
  <c r="C26" i="200"/>
  <c r="B26" i="200"/>
  <c r="M25" i="200"/>
  <c r="L25" i="200"/>
  <c r="K25" i="200"/>
  <c r="J25" i="200"/>
  <c r="I25" i="200"/>
  <c r="H25" i="200"/>
  <c r="G25" i="200"/>
  <c r="F25" i="200"/>
  <c r="E25" i="200"/>
  <c r="D25" i="200"/>
  <c r="N25" i="200" s="1"/>
  <c r="C25" i="200"/>
  <c r="B25" i="200"/>
  <c r="M24" i="200"/>
  <c r="L24" i="200"/>
  <c r="L27" i="200" s="1"/>
  <c r="K24" i="200"/>
  <c r="J24" i="200"/>
  <c r="I24" i="200"/>
  <c r="H24" i="200"/>
  <c r="H27" i="200" s="1"/>
  <c r="H28" i="200" s="1"/>
  <c r="G24" i="200"/>
  <c r="F24" i="200"/>
  <c r="E24" i="200"/>
  <c r="D24" i="200"/>
  <c r="C24" i="200"/>
  <c r="B24" i="200"/>
  <c r="M23" i="200"/>
  <c r="M27" i="200"/>
  <c r="M28" i="200" s="1"/>
  <c r="L23" i="200"/>
  <c r="K23" i="200"/>
  <c r="J23" i="200"/>
  <c r="J27" i="200"/>
  <c r="J28" i="200" s="1"/>
  <c r="I23" i="200"/>
  <c r="I27" i="200" s="1"/>
  <c r="H23" i="200"/>
  <c r="G23" i="200"/>
  <c r="F23" i="200"/>
  <c r="E23" i="200"/>
  <c r="E27" i="200" s="1"/>
  <c r="E28" i="200" s="1"/>
  <c r="D23" i="200"/>
  <c r="C23" i="200"/>
  <c r="C27" i="200"/>
  <c r="B23" i="200"/>
  <c r="B27" i="200" s="1"/>
  <c r="M20" i="200"/>
  <c r="L20" i="200"/>
  <c r="L48" i="200" s="1"/>
  <c r="K20" i="200"/>
  <c r="J20" i="200"/>
  <c r="I20" i="200"/>
  <c r="H20" i="200"/>
  <c r="H48" i="200" s="1"/>
  <c r="G20" i="200"/>
  <c r="F20" i="200"/>
  <c r="E20" i="200"/>
  <c r="D20" i="200"/>
  <c r="C20" i="200"/>
  <c r="C48" i="200"/>
  <c r="B20" i="200"/>
  <c r="N19" i="200"/>
  <c r="N17" i="200"/>
  <c r="N16" i="200"/>
  <c r="E11" i="200"/>
  <c r="D11" i="200"/>
  <c r="C11" i="200"/>
  <c r="B11" i="200"/>
  <c r="M9" i="200"/>
  <c r="M13" i="200" s="1"/>
  <c r="L9" i="200"/>
  <c r="L13" i="200"/>
  <c r="K9" i="200"/>
  <c r="K13" i="200" s="1"/>
  <c r="J9" i="200"/>
  <c r="J13" i="200"/>
  <c r="I9" i="200"/>
  <c r="I13" i="200" s="1"/>
  <c r="H9" i="200"/>
  <c r="H13" i="200"/>
  <c r="G9" i="200"/>
  <c r="G13" i="200" s="1"/>
  <c r="F9" i="200"/>
  <c r="E9" i="200"/>
  <c r="D9" i="200"/>
  <c r="D13" i="200" s="1"/>
  <c r="C9" i="200"/>
  <c r="B9" i="200"/>
  <c r="B13" i="200" s="1"/>
  <c r="N8" i="200"/>
  <c r="N7" i="200"/>
  <c r="N6" i="200"/>
  <c r="N5" i="200"/>
  <c r="N4" i="200"/>
  <c r="F85" i="202"/>
  <c r="G83" i="202"/>
  <c r="F13" i="200"/>
  <c r="N20" i="200"/>
  <c r="N46" i="200"/>
  <c r="L50" i="201"/>
  <c r="N87" i="200"/>
  <c r="F27" i="200"/>
  <c r="N9" i="200"/>
  <c r="N13" i="200" s="1"/>
  <c r="E48" i="200"/>
  <c r="I48" i="200"/>
  <c r="I28" i="200"/>
  <c r="B28" i="200"/>
  <c r="N34" i="200"/>
  <c r="F28" i="200"/>
  <c r="N11" i="200"/>
  <c r="D48" i="200"/>
  <c r="D61" i="200"/>
  <c r="D62" i="200" s="1"/>
  <c r="D72" i="200" s="1"/>
  <c r="L28" i="200"/>
  <c r="C61" i="200"/>
  <c r="G61" i="200"/>
  <c r="E13" i="200"/>
  <c r="I50" i="200"/>
  <c r="I61" i="200"/>
  <c r="I62" i="200"/>
  <c r="I72" i="200"/>
  <c r="B85" i="200"/>
  <c r="B58" i="200"/>
  <c r="G84" i="200"/>
  <c r="K84" i="200"/>
  <c r="H84" i="200"/>
  <c r="L84" i="200"/>
  <c r="N23" i="200"/>
  <c r="N53" i="200"/>
  <c r="N58" i="200" s="1"/>
  <c r="E84" i="200"/>
  <c r="I84" i="200"/>
  <c r="E53" i="199"/>
  <c r="L84" i="199"/>
  <c r="E11" i="199"/>
  <c r="E13" i="199" s="1"/>
  <c r="M93" i="199"/>
  <c r="L93" i="199"/>
  <c r="K93" i="199"/>
  <c r="J93" i="199"/>
  <c r="I93" i="199"/>
  <c r="H93" i="199"/>
  <c r="G93" i="199"/>
  <c r="F93" i="199"/>
  <c r="E93" i="199"/>
  <c r="D93" i="199"/>
  <c r="C93" i="199"/>
  <c r="B93" i="199"/>
  <c r="M87" i="199"/>
  <c r="L87" i="199"/>
  <c r="K87" i="199"/>
  <c r="J87" i="199"/>
  <c r="I87" i="199"/>
  <c r="H87" i="199"/>
  <c r="G87" i="199"/>
  <c r="F87" i="199"/>
  <c r="E87" i="199"/>
  <c r="D87" i="199"/>
  <c r="C87" i="199"/>
  <c r="B87" i="199"/>
  <c r="C88" i="199" s="1"/>
  <c r="M84" i="199"/>
  <c r="K84" i="199"/>
  <c r="J84" i="199"/>
  <c r="I84" i="199"/>
  <c r="G84" i="199"/>
  <c r="F84" i="199"/>
  <c r="E84" i="199"/>
  <c r="D84" i="199"/>
  <c r="C84" i="199"/>
  <c r="B84" i="199"/>
  <c r="B83" i="199"/>
  <c r="B85" i="199" s="1"/>
  <c r="C83" i="199"/>
  <c r="C85" i="199" s="1"/>
  <c r="N73" i="199"/>
  <c r="B68" i="199"/>
  <c r="C68" i="199"/>
  <c r="D68" i="199"/>
  <c r="E68" i="199" s="1"/>
  <c r="F68" i="199" s="1"/>
  <c r="G68" i="199" s="1"/>
  <c r="H68" i="199"/>
  <c r="I68" i="199" s="1"/>
  <c r="J68" i="199" s="1"/>
  <c r="K68" i="199" s="1"/>
  <c r="L68" i="199"/>
  <c r="M68" i="199" s="1"/>
  <c r="M58" i="199"/>
  <c r="L58" i="199"/>
  <c r="K58" i="199"/>
  <c r="J58" i="199"/>
  <c r="I58" i="199"/>
  <c r="H58" i="199"/>
  <c r="G58" i="199"/>
  <c r="G61" i="199" s="1"/>
  <c r="G62" i="199" s="1"/>
  <c r="G72" i="199" s="1"/>
  <c r="F58" i="199"/>
  <c r="E58" i="199"/>
  <c r="D58" i="199"/>
  <c r="C58" i="199"/>
  <c r="N57" i="199"/>
  <c r="N56" i="199"/>
  <c r="N87" i="199" s="1"/>
  <c r="B55" i="199"/>
  <c r="N55" i="199" s="1"/>
  <c r="N54" i="199"/>
  <c r="N53" i="199"/>
  <c r="M46" i="199"/>
  <c r="L46" i="199"/>
  <c r="K46" i="199"/>
  <c r="J46" i="199"/>
  <c r="I46" i="199"/>
  <c r="H46" i="199"/>
  <c r="G46" i="199"/>
  <c r="F46" i="199"/>
  <c r="E46" i="199"/>
  <c r="D46" i="199"/>
  <c r="C46" i="199"/>
  <c r="B46" i="199"/>
  <c r="N45" i="199"/>
  <c r="N46" i="199" s="1"/>
  <c r="N44" i="199"/>
  <c r="N41" i="199"/>
  <c r="N40" i="199"/>
  <c r="N39" i="199"/>
  <c r="N37" i="199"/>
  <c r="M34" i="199"/>
  <c r="M38" i="199" s="1"/>
  <c r="M42" i="199"/>
  <c r="M48" i="199" s="1"/>
  <c r="L34" i="199"/>
  <c r="L38" i="199"/>
  <c r="L42" i="199" s="1"/>
  <c r="K34" i="199"/>
  <c r="K38" i="199" s="1"/>
  <c r="K42" i="199" s="1"/>
  <c r="J34" i="199"/>
  <c r="J38" i="199"/>
  <c r="J42" i="199" s="1"/>
  <c r="J48" i="199" s="1"/>
  <c r="J61" i="199" s="1"/>
  <c r="I34" i="199"/>
  <c r="I38" i="199" s="1"/>
  <c r="I42" i="199"/>
  <c r="H34" i="199"/>
  <c r="H38" i="199"/>
  <c r="H42" i="199" s="1"/>
  <c r="G34" i="199"/>
  <c r="G38" i="199" s="1"/>
  <c r="G42" i="199" s="1"/>
  <c r="F34" i="199"/>
  <c r="F38" i="199"/>
  <c r="F42" i="199" s="1"/>
  <c r="F48" i="199" s="1"/>
  <c r="F61" i="199" s="1"/>
  <c r="E34" i="199"/>
  <c r="E38" i="199" s="1"/>
  <c r="E42" i="199" s="1"/>
  <c r="E48" i="199" s="1"/>
  <c r="E61" i="199" s="1"/>
  <c r="D34" i="199"/>
  <c r="D38" i="199"/>
  <c r="D42" i="199" s="1"/>
  <c r="C34" i="199"/>
  <c r="B34" i="199"/>
  <c r="B38" i="199"/>
  <c r="AD33" i="199"/>
  <c r="AR33" i="199" s="1"/>
  <c r="AC33" i="199"/>
  <c r="AQ33" i="199" s="1"/>
  <c r="AA33" i="199"/>
  <c r="AO33" i="199" s="1"/>
  <c r="Z33" i="199"/>
  <c r="AN33" i="199" s="1"/>
  <c r="Y33" i="199"/>
  <c r="AM33" i="199" s="1"/>
  <c r="X33" i="199"/>
  <c r="AL33" i="199" s="1"/>
  <c r="W33" i="199"/>
  <c r="AK33" i="199" s="1"/>
  <c r="V33" i="199"/>
  <c r="AJ33" i="199" s="1"/>
  <c r="U33" i="199"/>
  <c r="AI33" i="199" s="1"/>
  <c r="T33" i="199"/>
  <c r="AH33" i="199" s="1"/>
  <c r="S33" i="199"/>
  <c r="AG33" i="199" s="1"/>
  <c r="R33" i="199"/>
  <c r="AF33" i="199" s="1"/>
  <c r="Q33" i="199"/>
  <c r="AE33" i="199" s="1"/>
  <c r="N33" i="199"/>
  <c r="AC32" i="199"/>
  <c r="AQ32" i="199"/>
  <c r="AA32" i="199"/>
  <c r="AO32" i="199"/>
  <c r="Z32" i="199"/>
  <c r="AN32" i="199"/>
  <c r="Y32" i="199"/>
  <c r="AM32" i="199"/>
  <c r="X32" i="199"/>
  <c r="AL32" i="199"/>
  <c r="W32" i="199"/>
  <c r="AK32" i="199"/>
  <c r="V32" i="199"/>
  <c r="AJ32" i="199"/>
  <c r="U32" i="199"/>
  <c r="AI32" i="199"/>
  <c r="T32" i="199"/>
  <c r="AH32" i="199"/>
  <c r="S32" i="199"/>
  <c r="AG32" i="199"/>
  <c r="R32" i="199"/>
  <c r="AF32" i="199"/>
  <c r="Q32" i="199"/>
  <c r="AE32" i="199"/>
  <c r="P32" i="199"/>
  <c r="AD32" i="199"/>
  <c r="AR32" i="199" s="1"/>
  <c r="N32" i="199"/>
  <c r="AB32" i="199" s="1"/>
  <c r="AP32" i="199" s="1"/>
  <c r="N31" i="199"/>
  <c r="N30" i="199"/>
  <c r="M26" i="199"/>
  <c r="L26" i="199"/>
  <c r="K26" i="199"/>
  <c r="J26" i="199"/>
  <c r="I26" i="199"/>
  <c r="H26" i="199"/>
  <c r="G26" i="199"/>
  <c r="F26" i="199"/>
  <c r="E26" i="199"/>
  <c r="D26" i="199"/>
  <c r="N26" i="199" s="1"/>
  <c r="C26" i="199"/>
  <c r="B26" i="199"/>
  <c r="M25" i="199"/>
  <c r="L25" i="199"/>
  <c r="K25" i="199"/>
  <c r="J25" i="199"/>
  <c r="I25" i="199"/>
  <c r="H25" i="199"/>
  <c r="G25" i="199"/>
  <c r="F25" i="199"/>
  <c r="E25" i="199"/>
  <c r="D25" i="199"/>
  <c r="C25" i="199"/>
  <c r="B25" i="199"/>
  <c r="M24" i="199"/>
  <c r="L24" i="199"/>
  <c r="L27" i="199" s="1"/>
  <c r="K24" i="199"/>
  <c r="J24" i="199"/>
  <c r="I24" i="199"/>
  <c r="H24" i="199"/>
  <c r="G24" i="199"/>
  <c r="F24" i="199"/>
  <c r="E24" i="199"/>
  <c r="D24" i="199"/>
  <c r="N24" i="199" s="1"/>
  <c r="C24" i="199"/>
  <c r="B24" i="199"/>
  <c r="M23" i="199"/>
  <c r="M27" i="199"/>
  <c r="M28" i="199" s="1"/>
  <c r="L23" i="199"/>
  <c r="K23" i="199"/>
  <c r="J23" i="199"/>
  <c r="J27" i="199" s="1"/>
  <c r="J28" i="199" s="1"/>
  <c r="I23" i="199"/>
  <c r="I27" i="199" s="1"/>
  <c r="I28" i="199" s="1"/>
  <c r="H23" i="199"/>
  <c r="G23" i="199"/>
  <c r="G27" i="199" s="1"/>
  <c r="G28" i="199" s="1"/>
  <c r="F23" i="199"/>
  <c r="E23" i="199"/>
  <c r="D23" i="199"/>
  <c r="C23" i="199"/>
  <c r="B23" i="199"/>
  <c r="M20" i="199"/>
  <c r="L20" i="199"/>
  <c r="L48" i="199" s="1"/>
  <c r="K20" i="199"/>
  <c r="J20" i="199"/>
  <c r="I20" i="199"/>
  <c r="H20" i="199"/>
  <c r="H48" i="199" s="1"/>
  <c r="H61" i="199" s="1"/>
  <c r="G20" i="199"/>
  <c r="F20" i="199"/>
  <c r="E20" i="199"/>
  <c r="D20" i="199"/>
  <c r="C20" i="199"/>
  <c r="B20" i="199"/>
  <c r="N19" i="199"/>
  <c r="N17" i="199"/>
  <c r="N20" i="199" s="1"/>
  <c r="N16" i="199"/>
  <c r="D11" i="199"/>
  <c r="C11" i="199"/>
  <c r="B11" i="199"/>
  <c r="M9" i="199"/>
  <c r="M13" i="199"/>
  <c r="L9" i="199"/>
  <c r="L13" i="199"/>
  <c r="L50" i="199" s="1"/>
  <c r="K9" i="199"/>
  <c r="K13" i="199"/>
  <c r="J9" i="199"/>
  <c r="J13" i="199"/>
  <c r="I9" i="199"/>
  <c r="I13" i="199"/>
  <c r="H9" i="199"/>
  <c r="H13" i="199"/>
  <c r="G9" i="199"/>
  <c r="G13" i="199"/>
  <c r="F9" i="199"/>
  <c r="F13" i="199"/>
  <c r="E9" i="199"/>
  <c r="D9" i="199"/>
  <c r="D13" i="199"/>
  <c r="C9" i="199"/>
  <c r="B9" i="199"/>
  <c r="B13" i="199" s="1"/>
  <c r="N8" i="199"/>
  <c r="N9" i="199" s="1"/>
  <c r="N7" i="199"/>
  <c r="N6" i="199"/>
  <c r="N5" i="199"/>
  <c r="N4" i="199"/>
  <c r="H83" i="202"/>
  <c r="E50" i="200"/>
  <c r="D50" i="200"/>
  <c r="H84" i="199"/>
  <c r="E27" i="199"/>
  <c r="E28" i="199"/>
  <c r="C13" i="199"/>
  <c r="N25" i="199"/>
  <c r="B27" i="199"/>
  <c r="B28" i="199" s="1"/>
  <c r="K27" i="199"/>
  <c r="K28" i="199" s="1"/>
  <c r="N58" i="199"/>
  <c r="L61" i="199"/>
  <c r="C27" i="199"/>
  <c r="C28" i="199"/>
  <c r="D88" i="199"/>
  <c r="E88" i="199" s="1"/>
  <c r="F88" i="199" s="1"/>
  <c r="G88" i="199" s="1"/>
  <c r="H88" i="199"/>
  <c r="I88" i="199" s="1"/>
  <c r="J88" i="199" s="1"/>
  <c r="K88" i="199" s="1"/>
  <c r="L88" i="199" s="1"/>
  <c r="M88" i="199" s="1"/>
  <c r="L28" i="199"/>
  <c r="N11" i="199"/>
  <c r="G48" i="199"/>
  <c r="G50" i="199" s="1"/>
  <c r="K48" i="199"/>
  <c r="K50" i="199" s="1"/>
  <c r="B58" i="199"/>
  <c r="D83" i="199"/>
  <c r="D85" i="199" s="1"/>
  <c r="D11" i="198"/>
  <c r="M93" i="198"/>
  <c r="L93" i="198"/>
  <c r="K93" i="198"/>
  <c r="J93" i="198"/>
  <c r="I93" i="198"/>
  <c r="H93" i="198"/>
  <c r="G93" i="198"/>
  <c r="F93" i="198"/>
  <c r="E93" i="198"/>
  <c r="D93" i="198"/>
  <c r="C93" i="198"/>
  <c r="B93" i="198"/>
  <c r="M87" i="198"/>
  <c r="L87" i="198"/>
  <c r="K87" i="198"/>
  <c r="J87" i="198"/>
  <c r="I87" i="198"/>
  <c r="H87" i="198"/>
  <c r="G87" i="198"/>
  <c r="F87" i="198"/>
  <c r="E87" i="198"/>
  <c r="D87" i="198"/>
  <c r="C87" i="198"/>
  <c r="C88" i="198" s="1"/>
  <c r="D88" i="198" s="1"/>
  <c r="E88" i="198" s="1"/>
  <c r="F88" i="198" s="1"/>
  <c r="G88" i="198" s="1"/>
  <c r="H88" i="198" s="1"/>
  <c r="I88" i="198" s="1"/>
  <c r="J88" i="198" s="1"/>
  <c r="K88" i="198" s="1"/>
  <c r="L88" i="198" s="1"/>
  <c r="M88" i="198" s="1"/>
  <c r="B87" i="198"/>
  <c r="M84" i="198"/>
  <c r="L84" i="198"/>
  <c r="K84" i="198"/>
  <c r="J84" i="198"/>
  <c r="I84" i="198"/>
  <c r="H84" i="198"/>
  <c r="G84" i="198"/>
  <c r="F84" i="198"/>
  <c r="E84" i="198"/>
  <c r="D84" i="198"/>
  <c r="C84" i="198"/>
  <c r="B84" i="198"/>
  <c r="B83" i="198"/>
  <c r="B85" i="198" s="1"/>
  <c r="N73" i="198"/>
  <c r="B68" i="198"/>
  <c r="C68" i="198"/>
  <c r="D68" i="198" s="1"/>
  <c r="E68" i="198" s="1"/>
  <c r="F68" i="198" s="1"/>
  <c r="G68" i="198"/>
  <c r="H68" i="198" s="1"/>
  <c r="I68" i="198" s="1"/>
  <c r="J68" i="198" s="1"/>
  <c r="K68" i="198"/>
  <c r="L68" i="198" s="1"/>
  <c r="M68" i="198" s="1"/>
  <c r="M58" i="198"/>
  <c r="L58" i="198"/>
  <c r="K58" i="198"/>
  <c r="J58" i="198"/>
  <c r="I58" i="198"/>
  <c r="H58" i="198"/>
  <c r="G58" i="198"/>
  <c r="F58" i="198"/>
  <c r="E58" i="198"/>
  <c r="D58" i="198"/>
  <c r="C58" i="198"/>
  <c r="N57" i="198"/>
  <c r="N56" i="198"/>
  <c r="B55" i="198"/>
  <c r="N54" i="198"/>
  <c r="N53" i="198"/>
  <c r="M46" i="198"/>
  <c r="L46" i="198"/>
  <c r="K46" i="198"/>
  <c r="J46" i="198"/>
  <c r="I46" i="198"/>
  <c r="H46" i="198"/>
  <c r="G46" i="198"/>
  <c r="F46" i="198"/>
  <c r="E46" i="198"/>
  <c r="E48" i="198" s="1"/>
  <c r="E61" i="198" s="1"/>
  <c r="D46" i="198"/>
  <c r="C46" i="198"/>
  <c r="B46" i="198"/>
  <c r="N45" i="198"/>
  <c r="N46" i="198" s="1"/>
  <c r="N44" i="198"/>
  <c r="N41" i="198"/>
  <c r="N40" i="198"/>
  <c r="N39" i="198"/>
  <c r="N37" i="198"/>
  <c r="M34" i="198"/>
  <c r="M38" i="198"/>
  <c r="M42" i="198" s="1"/>
  <c r="M48" i="198" s="1"/>
  <c r="M61" i="198" s="1"/>
  <c r="L34" i="198"/>
  <c r="L38" i="198" s="1"/>
  <c r="L42" i="198" s="1"/>
  <c r="L48" i="198" s="1"/>
  <c r="L50" i="198" s="1"/>
  <c r="K34" i="198"/>
  <c r="K38" i="198"/>
  <c r="K42" i="198" s="1"/>
  <c r="J34" i="198"/>
  <c r="I34" i="198"/>
  <c r="I38" i="198" s="1"/>
  <c r="I42" i="198" s="1"/>
  <c r="H34" i="198"/>
  <c r="G34" i="198"/>
  <c r="G38" i="198"/>
  <c r="G42" i="198" s="1"/>
  <c r="F34" i="198"/>
  <c r="F38" i="198" s="1"/>
  <c r="F42" i="198"/>
  <c r="F48" i="198" s="1"/>
  <c r="E34" i="198"/>
  <c r="E38" i="198" s="1"/>
  <c r="E42" i="198" s="1"/>
  <c r="D34" i="198"/>
  <c r="D38" i="198" s="1"/>
  <c r="D42" i="198" s="1"/>
  <c r="D48" i="198" s="1"/>
  <c r="D50" i="198" s="1"/>
  <c r="C34" i="198"/>
  <c r="C38" i="198"/>
  <c r="C42" i="198" s="1"/>
  <c r="B34" i="198"/>
  <c r="AD33" i="198"/>
  <c r="AR33" i="198" s="1"/>
  <c r="AC33" i="198"/>
  <c r="AQ33" i="198" s="1"/>
  <c r="AA33" i="198"/>
  <c r="AO33" i="198" s="1"/>
  <c r="Z33" i="198"/>
  <c r="AN33" i="198" s="1"/>
  <c r="Y33" i="198"/>
  <c r="AM33" i="198" s="1"/>
  <c r="X33" i="198"/>
  <c r="AL33" i="198" s="1"/>
  <c r="W33" i="198"/>
  <c r="AK33" i="198" s="1"/>
  <c r="V33" i="198"/>
  <c r="AJ33" i="198" s="1"/>
  <c r="U33" i="198"/>
  <c r="AI33" i="198" s="1"/>
  <c r="T33" i="198"/>
  <c r="AH33" i="198" s="1"/>
  <c r="S33" i="198"/>
  <c r="AG33" i="198" s="1"/>
  <c r="R33" i="198"/>
  <c r="AF33" i="198" s="1"/>
  <c r="Q33" i="198"/>
  <c r="AE33" i="198" s="1"/>
  <c r="N33" i="198"/>
  <c r="AC32" i="198"/>
  <c r="AQ32" i="198"/>
  <c r="AA32" i="198"/>
  <c r="AO32" i="198"/>
  <c r="Z32" i="198"/>
  <c r="AN32" i="198"/>
  <c r="Y32" i="198"/>
  <c r="AM32" i="198"/>
  <c r="X32" i="198"/>
  <c r="AL32" i="198"/>
  <c r="W32" i="198"/>
  <c r="AK32" i="198"/>
  <c r="V32" i="198"/>
  <c r="AJ32" i="198"/>
  <c r="U32" i="198"/>
  <c r="AI32" i="198"/>
  <c r="T32" i="198"/>
  <c r="AH32" i="198"/>
  <c r="S32" i="198"/>
  <c r="AG32" i="198"/>
  <c r="R32" i="198"/>
  <c r="AF32" i="198"/>
  <c r="Q32" i="198"/>
  <c r="AE32" i="198"/>
  <c r="P32" i="198"/>
  <c r="AD32" i="198"/>
  <c r="AR32" i="198" s="1"/>
  <c r="N32" i="198"/>
  <c r="AB32" i="198" s="1"/>
  <c r="AP32" i="198"/>
  <c r="N31" i="198"/>
  <c r="N30" i="198"/>
  <c r="M26" i="198"/>
  <c r="L26" i="198"/>
  <c r="K26" i="198"/>
  <c r="J26" i="198"/>
  <c r="I26" i="198"/>
  <c r="H26" i="198"/>
  <c r="G26" i="198"/>
  <c r="F26" i="198"/>
  <c r="E26" i="198"/>
  <c r="D26" i="198"/>
  <c r="N26" i="198" s="1"/>
  <c r="C26" i="198"/>
  <c r="B26" i="198"/>
  <c r="M25" i="198"/>
  <c r="L25" i="198"/>
  <c r="K25" i="198"/>
  <c r="J25" i="198"/>
  <c r="I25" i="198"/>
  <c r="H25" i="198"/>
  <c r="G25" i="198"/>
  <c r="F25" i="198"/>
  <c r="E25" i="198"/>
  <c r="D25" i="198"/>
  <c r="N25" i="198" s="1"/>
  <c r="C25" i="198"/>
  <c r="B25" i="198"/>
  <c r="M24" i="198"/>
  <c r="L24" i="198"/>
  <c r="L27" i="198" s="1"/>
  <c r="K24" i="198"/>
  <c r="J24" i="198"/>
  <c r="I24" i="198"/>
  <c r="H24" i="198"/>
  <c r="H27" i="198" s="1"/>
  <c r="G24" i="198"/>
  <c r="F24" i="198"/>
  <c r="E24" i="198"/>
  <c r="D24" i="198"/>
  <c r="D27" i="198" s="1"/>
  <c r="D28" i="198" s="1"/>
  <c r="C24" i="198"/>
  <c r="B24" i="198"/>
  <c r="M23" i="198"/>
  <c r="M27" i="198"/>
  <c r="L23" i="198"/>
  <c r="K23" i="198"/>
  <c r="K27" i="198"/>
  <c r="K28" i="198" s="1"/>
  <c r="J23" i="198"/>
  <c r="J27" i="198"/>
  <c r="I23" i="198"/>
  <c r="I27" i="198"/>
  <c r="I28" i="198" s="1"/>
  <c r="H23" i="198"/>
  <c r="G23" i="198"/>
  <c r="G27" i="198"/>
  <c r="G28" i="198" s="1"/>
  <c r="F23" i="198"/>
  <c r="F27" i="198"/>
  <c r="E23" i="198"/>
  <c r="E27" i="198"/>
  <c r="E28" i="198" s="1"/>
  <c r="D23" i="198"/>
  <c r="C23" i="198"/>
  <c r="C27" i="198" s="1"/>
  <c r="C28" i="198" s="1"/>
  <c r="B23" i="198"/>
  <c r="M20" i="198"/>
  <c r="L20" i="198"/>
  <c r="K20" i="198"/>
  <c r="J20" i="198"/>
  <c r="I20" i="198"/>
  <c r="H20" i="198"/>
  <c r="G20" i="198"/>
  <c r="F20" i="198"/>
  <c r="E20" i="198"/>
  <c r="D20" i="198"/>
  <c r="C20" i="198"/>
  <c r="B20" i="198"/>
  <c r="N19" i="198"/>
  <c r="N17" i="198"/>
  <c r="N16" i="198"/>
  <c r="N20" i="198" s="1"/>
  <c r="C11" i="198"/>
  <c r="B11" i="198"/>
  <c r="M9" i="198"/>
  <c r="M13" i="198"/>
  <c r="L9" i="198"/>
  <c r="L13" i="198"/>
  <c r="K9" i="198"/>
  <c r="K13" i="198"/>
  <c r="J9" i="198"/>
  <c r="J13" i="198"/>
  <c r="I9" i="198"/>
  <c r="I13" i="198"/>
  <c r="H9" i="198"/>
  <c r="H13" i="198"/>
  <c r="G9" i="198"/>
  <c r="G13" i="198"/>
  <c r="F9" i="198"/>
  <c r="F13" i="198"/>
  <c r="E9" i="198"/>
  <c r="E13" i="198"/>
  <c r="D9" i="198"/>
  <c r="D13" i="198"/>
  <c r="C9" i="198"/>
  <c r="C13" i="198"/>
  <c r="B9" i="198"/>
  <c r="B13" i="198"/>
  <c r="N8" i="198"/>
  <c r="N7" i="198"/>
  <c r="N9" i="198" s="1"/>
  <c r="N13" i="198" s="1"/>
  <c r="N6" i="198"/>
  <c r="N5" i="198"/>
  <c r="N4" i="198"/>
  <c r="I83" i="202"/>
  <c r="H85" i="202"/>
  <c r="K61" i="199"/>
  <c r="K62" i="199" s="1"/>
  <c r="K72" i="199" s="1"/>
  <c r="M28" i="198"/>
  <c r="F28" i="198"/>
  <c r="J28" i="198"/>
  <c r="L28" i="198"/>
  <c r="E83" i="199"/>
  <c r="N11" i="198"/>
  <c r="F61" i="198"/>
  <c r="F62" i="198" s="1"/>
  <c r="F72" i="198" s="1"/>
  <c r="N87" i="198"/>
  <c r="I48" i="198"/>
  <c r="I61" i="198" s="1"/>
  <c r="G48" i="198"/>
  <c r="F50" i="198"/>
  <c r="C83" i="198"/>
  <c r="D83" i="198" s="1"/>
  <c r="E83" i="198" s="1"/>
  <c r="E85" i="198" s="1"/>
  <c r="C11" i="197"/>
  <c r="M93" i="197"/>
  <c r="L93" i="197"/>
  <c r="K93" i="197"/>
  <c r="J93" i="197"/>
  <c r="I93" i="197"/>
  <c r="H93" i="197"/>
  <c r="G93" i="197"/>
  <c r="F93" i="197"/>
  <c r="E93" i="197"/>
  <c r="D93" i="197"/>
  <c r="C93" i="197"/>
  <c r="B93" i="197"/>
  <c r="M87" i="197"/>
  <c r="L87" i="197"/>
  <c r="K87" i="197"/>
  <c r="J87" i="197"/>
  <c r="I87" i="197"/>
  <c r="H87" i="197"/>
  <c r="G87" i="197"/>
  <c r="F87" i="197"/>
  <c r="E87" i="197"/>
  <c r="D87" i="197"/>
  <c r="C87" i="197"/>
  <c r="C88" i="197" s="1"/>
  <c r="D88" i="197" s="1"/>
  <c r="B87" i="197"/>
  <c r="M84" i="197"/>
  <c r="L84" i="197"/>
  <c r="K84" i="197"/>
  <c r="J84" i="197"/>
  <c r="I84" i="197"/>
  <c r="H84" i="197"/>
  <c r="G84" i="197"/>
  <c r="F84" i="197"/>
  <c r="E84" i="197"/>
  <c r="D84" i="197"/>
  <c r="C84" i="197"/>
  <c r="B84" i="197"/>
  <c r="B83" i="197"/>
  <c r="N73" i="197"/>
  <c r="B68" i="197"/>
  <c r="C68" i="197"/>
  <c r="D68" i="197" s="1"/>
  <c r="E68" i="197" s="1"/>
  <c r="F68" i="197" s="1"/>
  <c r="G68" i="197"/>
  <c r="H68" i="197" s="1"/>
  <c r="I68" i="197" s="1"/>
  <c r="J68" i="197" s="1"/>
  <c r="K68" i="197"/>
  <c r="L68" i="197" s="1"/>
  <c r="M68" i="197" s="1"/>
  <c r="M58" i="197"/>
  <c r="L58" i="197"/>
  <c r="K58" i="197"/>
  <c r="J58" i="197"/>
  <c r="I58" i="197"/>
  <c r="H58" i="197"/>
  <c r="G58" i="197"/>
  <c r="F58" i="197"/>
  <c r="E58" i="197"/>
  <c r="D58" i="197"/>
  <c r="C58" i="197"/>
  <c r="N57" i="197"/>
  <c r="N56" i="197"/>
  <c r="B55" i="197"/>
  <c r="N54" i="197"/>
  <c r="N53" i="197"/>
  <c r="M46" i="197"/>
  <c r="L46" i="197"/>
  <c r="K46" i="197"/>
  <c r="J46" i="197"/>
  <c r="I46" i="197"/>
  <c r="H46" i="197"/>
  <c r="G46" i="197"/>
  <c r="F46" i="197"/>
  <c r="E46" i="197"/>
  <c r="D46" i="197"/>
  <c r="C46" i="197"/>
  <c r="B46" i="197"/>
  <c r="N45" i="197"/>
  <c r="N46" i="197" s="1"/>
  <c r="N44" i="197"/>
  <c r="N41" i="197"/>
  <c r="N40" i="197"/>
  <c r="N39" i="197"/>
  <c r="N37" i="197"/>
  <c r="M34" i="197"/>
  <c r="M38" i="197"/>
  <c r="M42" i="197" s="1"/>
  <c r="L34" i="197"/>
  <c r="L38" i="197" s="1"/>
  <c r="L42" i="197" s="1"/>
  <c r="L48" i="197" s="1"/>
  <c r="L50" i="197" s="1"/>
  <c r="K34" i="197"/>
  <c r="K38" i="197"/>
  <c r="K42" i="197" s="1"/>
  <c r="K48" i="197" s="1"/>
  <c r="J34" i="197"/>
  <c r="I34" i="197"/>
  <c r="I38" i="197"/>
  <c r="I42" i="197" s="1"/>
  <c r="H34" i="197"/>
  <c r="H38" i="197" s="1"/>
  <c r="H42" i="197" s="1"/>
  <c r="H48" i="197" s="1"/>
  <c r="G34" i="197"/>
  <c r="G38" i="197"/>
  <c r="G42" i="197" s="1"/>
  <c r="G48" i="197" s="1"/>
  <c r="F34" i="197"/>
  <c r="E34" i="197"/>
  <c r="E38" i="197"/>
  <c r="E42" i="197" s="1"/>
  <c r="D34" i="197"/>
  <c r="D38" i="197" s="1"/>
  <c r="D42" i="197"/>
  <c r="D48" i="197" s="1"/>
  <c r="C34" i="197"/>
  <c r="C38" i="197"/>
  <c r="C42" i="197" s="1"/>
  <c r="C48" i="197" s="1"/>
  <c r="B34" i="197"/>
  <c r="AD33" i="197"/>
  <c r="AR33" i="197" s="1"/>
  <c r="AC33" i="197"/>
  <c r="AQ33" i="197" s="1"/>
  <c r="AA33" i="197"/>
  <c r="AO33" i="197" s="1"/>
  <c r="Z33" i="197"/>
  <c r="AN33" i="197" s="1"/>
  <c r="Y33" i="197"/>
  <c r="AM33" i="197" s="1"/>
  <c r="X33" i="197"/>
  <c r="AL33" i="197" s="1"/>
  <c r="W33" i="197"/>
  <c r="AK33" i="197"/>
  <c r="V33" i="197"/>
  <c r="AJ33" i="197"/>
  <c r="U33" i="197"/>
  <c r="AI33" i="197"/>
  <c r="T33" i="197"/>
  <c r="AH33" i="197"/>
  <c r="S33" i="197"/>
  <c r="AG33" i="197"/>
  <c r="R33" i="197"/>
  <c r="AF33" i="197"/>
  <c r="Q33" i="197"/>
  <c r="AE33" i="197"/>
  <c r="N33" i="197"/>
  <c r="AB33" i="197"/>
  <c r="AP33" i="197" s="1"/>
  <c r="AC32" i="197"/>
  <c r="AQ32" i="197" s="1"/>
  <c r="AA32" i="197"/>
  <c r="AO32" i="197" s="1"/>
  <c r="Z32" i="197"/>
  <c r="AN32" i="197" s="1"/>
  <c r="Y32" i="197"/>
  <c r="AM32" i="197" s="1"/>
  <c r="X32" i="197"/>
  <c r="AL32" i="197"/>
  <c r="W32" i="197"/>
  <c r="AK32" i="197"/>
  <c r="V32" i="197"/>
  <c r="AJ32" i="197"/>
  <c r="U32" i="197"/>
  <c r="AI32" i="197"/>
  <c r="T32" i="197"/>
  <c r="AH32" i="197"/>
  <c r="S32" i="197"/>
  <c r="AG32" i="197"/>
  <c r="R32" i="197"/>
  <c r="AF32" i="197"/>
  <c r="Q32" i="197"/>
  <c r="AE32" i="197"/>
  <c r="P32" i="197"/>
  <c r="AD32" i="197"/>
  <c r="AR32" i="197" s="1"/>
  <c r="N32" i="197"/>
  <c r="AB32" i="197" s="1"/>
  <c r="AP32" i="197" s="1"/>
  <c r="N31" i="197"/>
  <c r="N30" i="197"/>
  <c r="M26" i="197"/>
  <c r="L26" i="197"/>
  <c r="K26" i="197"/>
  <c r="J26" i="197"/>
  <c r="I26" i="197"/>
  <c r="H26" i="197"/>
  <c r="G26" i="197"/>
  <c r="F26" i="197"/>
  <c r="E26" i="197"/>
  <c r="D26" i="197"/>
  <c r="C26" i="197"/>
  <c r="B26" i="197"/>
  <c r="M25" i="197"/>
  <c r="L25" i="197"/>
  <c r="K25" i="197"/>
  <c r="J25" i="197"/>
  <c r="I25" i="197"/>
  <c r="H25" i="197"/>
  <c r="G25" i="197"/>
  <c r="F25" i="197"/>
  <c r="E25" i="197"/>
  <c r="D25" i="197"/>
  <c r="C25" i="197"/>
  <c r="B25" i="197"/>
  <c r="N25" i="197" s="1"/>
  <c r="M24" i="197"/>
  <c r="L24" i="197"/>
  <c r="K24" i="197"/>
  <c r="J24" i="197"/>
  <c r="I24" i="197"/>
  <c r="H24" i="197"/>
  <c r="G24" i="197"/>
  <c r="F24" i="197"/>
  <c r="E24" i="197"/>
  <c r="D24" i="197"/>
  <c r="C24" i="197"/>
  <c r="B24" i="197"/>
  <c r="N24" i="197" s="1"/>
  <c r="M23" i="197"/>
  <c r="M27" i="197"/>
  <c r="L23" i="197"/>
  <c r="L27" i="197"/>
  <c r="K23" i="197"/>
  <c r="K27" i="197"/>
  <c r="J23" i="197"/>
  <c r="J27" i="197"/>
  <c r="I23" i="197"/>
  <c r="I27" i="197"/>
  <c r="H23" i="197"/>
  <c r="H27" i="197"/>
  <c r="G23" i="197"/>
  <c r="G27" i="197"/>
  <c r="F23" i="197"/>
  <c r="F27" i="197"/>
  <c r="E23" i="197"/>
  <c r="E27" i="197"/>
  <c r="D23" i="197"/>
  <c r="D27" i="197"/>
  <c r="C23" i="197"/>
  <c r="B23" i="197"/>
  <c r="B27" i="197" s="1"/>
  <c r="M20" i="197"/>
  <c r="L20" i="197"/>
  <c r="K20" i="197"/>
  <c r="J20" i="197"/>
  <c r="I20" i="197"/>
  <c r="I48" i="197" s="1"/>
  <c r="H20" i="197"/>
  <c r="G20" i="197"/>
  <c r="F20" i="197"/>
  <c r="E20" i="197"/>
  <c r="E48" i="197" s="1"/>
  <c r="E50" i="197" s="1"/>
  <c r="D20" i="197"/>
  <c r="C20" i="197"/>
  <c r="B20" i="197"/>
  <c r="N19" i="197"/>
  <c r="N20" i="197" s="1"/>
  <c r="N17" i="197"/>
  <c r="N16" i="197"/>
  <c r="B11" i="197"/>
  <c r="N11" i="197"/>
  <c r="M9" i="197"/>
  <c r="M13" i="197"/>
  <c r="L9" i="197"/>
  <c r="L13" i="197"/>
  <c r="K9" i="197"/>
  <c r="K13" i="197"/>
  <c r="J9" i="197"/>
  <c r="J13" i="197"/>
  <c r="I9" i="197"/>
  <c r="I13" i="197"/>
  <c r="H9" i="197"/>
  <c r="H13" i="197"/>
  <c r="G9" i="197"/>
  <c r="G13" i="197"/>
  <c r="F9" i="197"/>
  <c r="F13" i="197"/>
  <c r="E9" i="197"/>
  <c r="E13" i="197"/>
  <c r="D9" i="197"/>
  <c r="D13" i="197"/>
  <c r="C9" i="197"/>
  <c r="C13" i="197"/>
  <c r="B9" i="197"/>
  <c r="B13" i="197"/>
  <c r="N8" i="197"/>
  <c r="N7" i="197"/>
  <c r="N6" i="197"/>
  <c r="N5" i="197"/>
  <c r="N9" i="197" s="1"/>
  <c r="N13" i="197" s="1"/>
  <c r="N4" i="197"/>
  <c r="I85" i="202"/>
  <c r="J83" i="202"/>
  <c r="G61" i="198"/>
  <c r="C85" i="198"/>
  <c r="N87" i="197"/>
  <c r="C27" i="197"/>
  <c r="E88" i="197"/>
  <c r="F88" i="197" s="1"/>
  <c r="G88" i="197" s="1"/>
  <c r="H88" i="197" s="1"/>
  <c r="I88" i="197" s="1"/>
  <c r="J88" i="197" s="1"/>
  <c r="K88" i="197" s="1"/>
  <c r="L88" i="197" s="1"/>
  <c r="M88" i="197" s="1"/>
  <c r="N26" i="197"/>
  <c r="E61" i="197"/>
  <c r="E62" i="197" s="1"/>
  <c r="E72" i="197" s="1"/>
  <c r="N23" i="197"/>
  <c r="B55" i="196"/>
  <c r="J85" i="202"/>
  <c r="K83" i="202"/>
  <c r="D85" i="198"/>
  <c r="B11" i="196"/>
  <c r="L83" i="202"/>
  <c r="M83" i="202" s="1"/>
  <c r="M85" i="202" s="1"/>
  <c r="F83" i="198"/>
  <c r="F85" i="198" s="1"/>
  <c r="M93" i="196"/>
  <c r="L93" i="196"/>
  <c r="K93" i="196"/>
  <c r="J93" i="196"/>
  <c r="I93" i="196"/>
  <c r="H93" i="196"/>
  <c r="G93" i="196"/>
  <c r="F93" i="196"/>
  <c r="E93" i="196"/>
  <c r="D93" i="196"/>
  <c r="C93" i="196"/>
  <c r="B93" i="196"/>
  <c r="M87" i="196"/>
  <c r="L87" i="196"/>
  <c r="K87" i="196"/>
  <c r="J87" i="196"/>
  <c r="I87" i="196"/>
  <c r="H87" i="196"/>
  <c r="G87" i="196"/>
  <c r="F87" i="196"/>
  <c r="E87" i="196"/>
  <c r="D87" i="196"/>
  <c r="C87" i="196"/>
  <c r="B87" i="196"/>
  <c r="C88" i="196"/>
  <c r="D88" i="196" s="1"/>
  <c r="E88" i="196" s="1"/>
  <c r="F88" i="196" s="1"/>
  <c r="G88" i="196"/>
  <c r="H88" i="196" s="1"/>
  <c r="I88" i="196" s="1"/>
  <c r="J88" i="196" s="1"/>
  <c r="K88" i="196" s="1"/>
  <c r="L88" i="196" s="1"/>
  <c r="M88" i="196" s="1"/>
  <c r="M84" i="196"/>
  <c r="L84" i="196"/>
  <c r="K84" i="196"/>
  <c r="J84" i="196"/>
  <c r="I84" i="196"/>
  <c r="H84" i="196"/>
  <c r="G84" i="196"/>
  <c r="F84" i="196"/>
  <c r="E84" i="196"/>
  <c r="D84" i="196"/>
  <c r="C84" i="196"/>
  <c r="B84" i="196"/>
  <c r="B83" i="196"/>
  <c r="N73" i="196"/>
  <c r="B68" i="196"/>
  <c r="C68" i="196"/>
  <c r="D68" i="196" s="1"/>
  <c r="E68" i="196" s="1"/>
  <c r="F68" i="196" s="1"/>
  <c r="G68" i="196" s="1"/>
  <c r="H68" i="196" s="1"/>
  <c r="I68" i="196" s="1"/>
  <c r="J68" i="196" s="1"/>
  <c r="K68" i="196" s="1"/>
  <c r="L68" i="196" s="1"/>
  <c r="M68" i="196" s="1"/>
  <c r="M58" i="196"/>
  <c r="L58" i="196"/>
  <c r="K58" i="196"/>
  <c r="J58" i="196"/>
  <c r="I58" i="196"/>
  <c r="H58" i="196"/>
  <c r="G58" i="196"/>
  <c r="F58" i="196"/>
  <c r="E58" i="196"/>
  <c r="D58" i="196"/>
  <c r="C58" i="196"/>
  <c r="B58" i="196"/>
  <c r="N57" i="196"/>
  <c r="N56" i="196"/>
  <c r="N87" i="196" s="1"/>
  <c r="N55" i="196"/>
  <c r="N54" i="196"/>
  <c r="N58" i="196" s="1"/>
  <c r="N53" i="196"/>
  <c r="M46" i="196"/>
  <c r="L46" i="196"/>
  <c r="K46" i="196"/>
  <c r="K48" i="196" s="1"/>
  <c r="K61" i="196" s="1"/>
  <c r="K62" i="196" s="1"/>
  <c r="K72" i="196" s="1"/>
  <c r="J46" i="196"/>
  <c r="I46" i="196"/>
  <c r="H46" i="196"/>
  <c r="G46" i="196"/>
  <c r="F46" i="196"/>
  <c r="E46" i="196"/>
  <c r="D46" i="196"/>
  <c r="C46" i="196"/>
  <c r="B46" i="196"/>
  <c r="N45" i="196"/>
  <c r="N44" i="196"/>
  <c r="N46" i="196"/>
  <c r="N41" i="196"/>
  <c r="N40" i="196"/>
  <c r="N39" i="196"/>
  <c r="N37" i="196"/>
  <c r="M34" i="196"/>
  <c r="M38" i="196"/>
  <c r="M42" i="196" s="1"/>
  <c r="L34" i="196"/>
  <c r="L38" i="196" s="1"/>
  <c r="L42" i="196" s="1"/>
  <c r="K34" i="196"/>
  <c r="K38" i="196"/>
  <c r="K42" i="196" s="1"/>
  <c r="J34" i="196"/>
  <c r="I34" i="196"/>
  <c r="I38" i="196"/>
  <c r="I42" i="196" s="1"/>
  <c r="H34" i="196"/>
  <c r="H38" i="196" s="1"/>
  <c r="H42" i="196" s="1"/>
  <c r="G34" i="196"/>
  <c r="G38" i="196"/>
  <c r="G42" i="196" s="1"/>
  <c r="G48" i="196" s="1"/>
  <c r="G61" i="196" s="1"/>
  <c r="F34" i="196"/>
  <c r="E34" i="196"/>
  <c r="E38" i="196"/>
  <c r="E42" i="196" s="1"/>
  <c r="D34" i="196"/>
  <c r="D38" i="196" s="1"/>
  <c r="D42" i="196" s="1"/>
  <c r="C34" i="196"/>
  <c r="C38" i="196"/>
  <c r="C42" i="196" s="1"/>
  <c r="C48" i="196" s="1"/>
  <c r="C61" i="196" s="1"/>
  <c r="C62" i="196" s="1"/>
  <c r="C72" i="196" s="1"/>
  <c r="B34" i="196"/>
  <c r="AD33" i="196"/>
  <c r="AR33" i="196" s="1"/>
  <c r="AC33" i="196"/>
  <c r="AQ33" i="196" s="1"/>
  <c r="AA33" i="196"/>
  <c r="AO33" i="196" s="1"/>
  <c r="Z33" i="196"/>
  <c r="AN33" i="196"/>
  <c r="Y33" i="196"/>
  <c r="AM33" i="196"/>
  <c r="X33" i="196"/>
  <c r="AL33" i="196"/>
  <c r="W33" i="196"/>
  <c r="AK33" i="196"/>
  <c r="V33" i="196"/>
  <c r="AJ33" i="196"/>
  <c r="U33" i="196"/>
  <c r="AI33" i="196"/>
  <c r="T33" i="196"/>
  <c r="AH33" i="196"/>
  <c r="S33" i="196"/>
  <c r="AG33" i="196" s="1"/>
  <c r="R33" i="196"/>
  <c r="AF33" i="196" s="1"/>
  <c r="Q33" i="196"/>
  <c r="AE33" i="196" s="1"/>
  <c r="N33" i="196"/>
  <c r="AB33" i="196" s="1"/>
  <c r="AP33" i="196" s="1"/>
  <c r="AC32" i="196"/>
  <c r="AQ32" i="196"/>
  <c r="AA32" i="196"/>
  <c r="AO32" i="196"/>
  <c r="Z32" i="196"/>
  <c r="AN32" i="196"/>
  <c r="Y32" i="196"/>
  <c r="AM32" i="196"/>
  <c r="X32" i="196"/>
  <c r="AL32" i="196"/>
  <c r="W32" i="196"/>
  <c r="AK32" i="196"/>
  <c r="V32" i="196"/>
  <c r="AJ32" i="196"/>
  <c r="U32" i="196"/>
  <c r="AI32" i="196"/>
  <c r="T32" i="196"/>
  <c r="AH32" i="196"/>
  <c r="S32" i="196"/>
  <c r="AG32" i="196"/>
  <c r="R32" i="196"/>
  <c r="AF32" i="196"/>
  <c r="Q32" i="196"/>
  <c r="AE32" i="196"/>
  <c r="P32" i="196"/>
  <c r="AD32" i="196"/>
  <c r="AR32" i="196" s="1"/>
  <c r="N32" i="196"/>
  <c r="AB32" i="196" s="1"/>
  <c r="AP32" i="196" s="1"/>
  <c r="N31" i="196"/>
  <c r="N30" i="196"/>
  <c r="N34" i="196" s="1"/>
  <c r="M26" i="196"/>
  <c r="L26" i="196"/>
  <c r="K26" i="196"/>
  <c r="J26" i="196"/>
  <c r="I26" i="196"/>
  <c r="H26" i="196"/>
  <c r="G26" i="196"/>
  <c r="F26" i="196"/>
  <c r="E26" i="196"/>
  <c r="D26" i="196"/>
  <c r="C26" i="196"/>
  <c r="B26" i="196"/>
  <c r="N26" i="196" s="1"/>
  <c r="M25" i="196"/>
  <c r="L25" i="196"/>
  <c r="K25" i="196"/>
  <c r="J25" i="196"/>
  <c r="I25" i="196"/>
  <c r="H25" i="196"/>
  <c r="G25" i="196"/>
  <c r="F25" i="196"/>
  <c r="E25" i="196"/>
  <c r="D25" i="196"/>
  <c r="C25" i="196"/>
  <c r="B25" i="196"/>
  <c r="N25" i="196" s="1"/>
  <c r="M24" i="196"/>
  <c r="L24" i="196"/>
  <c r="K24" i="196"/>
  <c r="J24" i="196"/>
  <c r="I24" i="196"/>
  <c r="H24" i="196"/>
  <c r="G24" i="196"/>
  <c r="F24" i="196"/>
  <c r="E24" i="196"/>
  <c r="D24" i="196"/>
  <c r="C24" i="196"/>
  <c r="B24" i="196"/>
  <c r="M23" i="196"/>
  <c r="M27" i="196"/>
  <c r="L23" i="196"/>
  <c r="L27" i="196"/>
  <c r="K23" i="196"/>
  <c r="J23" i="196"/>
  <c r="I23" i="196"/>
  <c r="I27" i="196" s="1"/>
  <c r="H23" i="196"/>
  <c r="H27" i="196" s="1"/>
  <c r="G23" i="196"/>
  <c r="G27" i="196" s="1"/>
  <c r="F23" i="196"/>
  <c r="E23" i="196"/>
  <c r="E27" i="196" s="1"/>
  <c r="D23" i="196"/>
  <c r="D27" i="196" s="1"/>
  <c r="C23" i="196"/>
  <c r="B23" i="196"/>
  <c r="M20" i="196"/>
  <c r="M48" i="196" s="1"/>
  <c r="L20" i="196"/>
  <c r="K20" i="196"/>
  <c r="J20" i="196"/>
  <c r="I20" i="196"/>
  <c r="H20" i="196"/>
  <c r="G20" i="196"/>
  <c r="F20" i="196"/>
  <c r="E20" i="196"/>
  <c r="E48" i="196" s="1"/>
  <c r="D20" i="196"/>
  <c r="C20" i="196"/>
  <c r="B20" i="196"/>
  <c r="N19" i="196"/>
  <c r="N17" i="196"/>
  <c r="N16" i="196"/>
  <c r="N20" i="196" s="1"/>
  <c r="N11" i="196"/>
  <c r="M9" i="196"/>
  <c r="M13" i="196"/>
  <c r="L9" i="196"/>
  <c r="L13" i="196"/>
  <c r="K9" i="196"/>
  <c r="K13" i="196"/>
  <c r="J9" i="196"/>
  <c r="J13" i="196"/>
  <c r="I9" i="196"/>
  <c r="I13" i="196"/>
  <c r="H9" i="196"/>
  <c r="H13" i="196"/>
  <c r="G9" i="196"/>
  <c r="G13" i="196"/>
  <c r="F9" i="196"/>
  <c r="F13" i="196"/>
  <c r="E9" i="196"/>
  <c r="E13" i="196"/>
  <c r="D9" i="196"/>
  <c r="D13" i="196"/>
  <c r="C9" i="196"/>
  <c r="C13" i="196"/>
  <c r="B9" i="196"/>
  <c r="B13" i="196"/>
  <c r="N8" i="196"/>
  <c r="N7" i="196"/>
  <c r="N6" i="196"/>
  <c r="N5" i="196"/>
  <c r="N9" i="196" s="1"/>
  <c r="N13" i="196" s="1"/>
  <c r="N4" i="196"/>
  <c r="B68" i="195"/>
  <c r="C68" i="195" s="1"/>
  <c r="D68" i="195" s="1"/>
  <c r="E68" i="195" s="1"/>
  <c r="F68" i="195" s="1"/>
  <c r="G68" i="195" s="1"/>
  <c r="H68" i="195" s="1"/>
  <c r="I68" i="195" s="1"/>
  <c r="J68" i="195" s="1"/>
  <c r="K68" i="195" s="1"/>
  <c r="L68" i="195" s="1"/>
  <c r="M68" i="195" s="1"/>
  <c r="M93" i="195"/>
  <c r="L93" i="195"/>
  <c r="K93" i="195"/>
  <c r="J93" i="195"/>
  <c r="I93" i="195"/>
  <c r="H93" i="195"/>
  <c r="G93" i="195"/>
  <c r="F93" i="195"/>
  <c r="E93" i="195"/>
  <c r="D93" i="195"/>
  <c r="C93" i="195"/>
  <c r="B93" i="195"/>
  <c r="L85" i="202"/>
  <c r="B85" i="196"/>
  <c r="E61" i="196"/>
  <c r="M61" i="196"/>
  <c r="K27" i="196"/>
  <c r="N24" i="196"/>
  <c r="C83" i="196"/>
  <c r="N53" i="195"/>
  <c r="D83" i="196"/>
  <c r="D85" i="196" s="1"/>
  <c r="C85" i="196"/>
  <c r="M87" i="195"/>
  <c r="L87" i="195"/>
  <c r="K87" i="195"/>
  <c r="J87" i="195"/>
  <c r="I87" i="195"/>
  <c r="H87" i="195"/>
  <c r="G87" i="195"/>
  <c r="B87" i="195"/>
  <c r="M84" i="195"/>
  <c r="L84" i="195"/>
  <c r="K84" i="195"/>
  <c r="J84" i="195"/>
  <c r="I84" i="195"/>
  <c r="H84" i="195"/>
  <c r="G84" i="195"/>
  <c r="F84" i="195"/>
  <c r="E84" i="195"/>
  <c r="D84" i="195"/>
  <c r="C84" i="195"/>
  <c r="C85" i="195" s="1"/>
  <c r="B84" i="195"/>
  <c r="B83" i="195"/>
  <c r="C83" i="195"/>
  <c r="N73" i="195"/>
  <c r="L58" i="195"/>
  <c r="K58" i="195"/>
  <c r="J58" i="195"/>
  <c r="I58" i="195"/>
  <c r="H58" i="195"/>
  <c r="G58" i="195"/>
  <c r="N57" i="195"/>
  <c r="F58" i="195"/>
  <c r="E87" i="195"/>
  <c r="D87" i="195"/>
  <c r="C58" i="195"/>
  <c r="B58" i="195"/>
  <c r="N54" i="195"/>
  <c r="M58" i="195"/>
  <c r="L46" i="195"/>
  <c r="K46" i="195"/>
  <c r="J46" i="195"/>
  <c r="I46" i="195"/>
  <c r="H46" i="195"/>
  <c r="G46" i="195"/>
  <c r="F46" i="195"/>
  <c r="E46" i="195"/>
  <c r="D46" i="195"/>
  <c r="C46" i="195"/>
  <c r="B46" i="195"/>
  <c r="M46" i="195"/>
  <c r="N44" i="195"/>
  <c r="N41" i="195"/>
  <c r="N40" i="195"/>
  <c r="N39" i="195"/>
  <c r="N37" i="195"/>
  <c r="M34" i="195"/>
  <c r="M38" i="195" s="1"/>
  <c r="M42" i="195" s="1"/>
  <c r="L34" i="195"/>
  <c r="L38" i="195"/>
  <c r="L42" i="195" s="1"/>
  <c r="K34" i="195"/>
  <c r="K38" i="195"/>
  <c r="K42" i="195"/>
  <c r="J34" i="195"/>
  <c r="J38" i="195" s="1"/>
  <c r="J42" i="195" s="1"/>
  <c r="J48" i="195" s="1"/>
  <c r="J61" i="195" s="1"/>
  <c r="I34" i="195"/>
  <c r="I38" i="195" s="1"/>
  <c r="I42" i="195" s="1"/>
  <c r="H34" i="195"/>
  <c r="H38" i="195"/>
  <c r="H42" i="195" s="1"/>
  <c r="G34" i="195"/>
  <c r="G38" i="195"/>
  <c r="G42" i="195"/>
  <c r="F34" i="195"/>
  <c r="F38" i="195" s="1"/>
  <c r="F42" i="195" s="1"/>
  <c r="E34" i="195"/>
  <c r="E38" i="195" s="1"/>
  <c r="E42" i="195" s="1"/>
  <c r="D34" i="195"/>
  <c r="D38" i="195"/>
  <c r="D42" i="195" s="1"/>
  <c r="C34" i="195"/>
  <c r="C38" i="195"/>
  <c r="C42" i="195"/>
  <c r="B34" i="195"/>
  <c r="B38" i="195" s="1"/>
  <c r="B42" i="195" s="1"/>
  <c r="B48" i="195" s="1"/>
  <c r="AD33" i="195"/>
  <c r="AR33" i="195"/>
  <c r="AC33" i="195"/>
  <c r="AQ33" i="195" s="1"/>
  <c r="AA33" i="195"/>
  <c r="AO33" i="195" s="1"/>
  <c r="Z33" i="195"/>
  <c r="AN33" i="195" s="1"/>
  <c r="Y33" i="195"/>
  <c r="AM33" i="195"/>
  <c r="X33" i="195"/>
  <c r="AL33" i="195" s="1"/>
  <c r="W33" i="195"/>
  <c r="AK33" i="195"/>
  <c r="V33" i="195"/>
  <c r="AJ33" i="195" s="1"/>
  <c r="U33" i="195"/>
  <c r="AI33" i="195"/>
  <c r="T33" i="195"/>
  <c r="AH33" i="195" s="1"/>
  <c r="S33" i="195"/>
  <c r="AG33" i="195" s="1"/>
  <c r="R33" i="195"/>
  <c r="AF33" i="195"/>
  <c r="Q33" i="195"/>
  <c r="AE33" i="195" s="1"/>
  <c r="N33" i="195"/>
  <c r="AB33" i="195"/>
  <c r="AP33" i="195" s="1"/>
  <c r="AC32" i="195"/>
  <c r="AQ32" i="195"/>
  <c r="AA32" i="195"/>
  <c r="AO32" i="195" s="1"/>
  <c r="Z32" i="195"/>
  <c r="AN32" i="195"/>
  <c r="Y32" i="195"/>
  <c r="AM32" i="195" s="1"/>
  <c r="X32" i="195"/>
  <c r="AL32" i="195"/>
  <c r="W32" i="195"/>
  <c r="AK32" i="195" s="1"/>
  <c r="V32" i="195"/>
  <c r="AJ32" i="195"/>
  <c r="U32" i="195"/>
  <c r="AI32" i="195" s="1"/>
  <c r="T32" i="195"/>
  <c r="AH32" i="195"/>
  <c r="S32" i="195"/>
  <c r="AG32" i="195" s="1"/>
  <c r="R32" i="195"/>
  <c r="AF32" i="195"/>
  <c r="Q32" i="195"/>
  <c r="AE32" i="195" s="1"/>
  <c r="P32" i="195"/>
  <c r="AD32" i="195"/>
  <c r="AR32" i="195"/>
  <c r="N32" i="195"/>
  <c r="AB32" i="195" s="1"/>
  <c r="AP32" i="195" s="1"/>
  <c r="N31" i="195"/>
  <c r="N34" i="195" s="1"/>
  <c r="N30" i="195"/>
  <c r="M26" i="195"/>
  <c r="L26" i="195"/>
  <c r="K26" i="195"/>
  <c r="J26" i="195"/>
  <c r="I26" i="195"/>
  <c r="H26" i="195"/>
  <c r="G26" i="195"/>
  <c r="F26" i="195"/>
  <c r="E26" i="195"/>
  <c r="D26" i="195"/>
  <c r="C26" i="195"/>
  <c r="N26" i="195" s="1"/>
  <c r="B26" i="195"/>
  <c r="M25" i="195"/>
  <c r="L25" i="195"/>
  <c r="K25" i="195"/>
  <c r="J25" i="195"/>
  <c r="I25" i="195"/>
  <c r="H25" i="195"/>
  <c r="G25" i="195"/>
  <c r="F25" i="195"/>
  <c r="E25" i="195"/>
  <c r="D25" i="195"/>
  <c r="C25" i="195"/>
  <c r="B25" i="195"/>
  <c r="M24" i="195"/>
  <c r="L24" i="195"/>
  <c r="K24" i="195"/>
  <c r="K27" i="195" s="1"/>
  <c r="J24" i="195"/>
  <c r="I24" i="195"/>
  <c r="H24" i="195"/>
  <c r="G24" i="195"/>
  <c r="G27" i="195" s="1"/>
  <c r="F24" i="195"/>
  <c r="E24" i="195"/>
  <c r="D24" i="195"/>
  <c r="C24" i="195"/>
  <c r="N24" i="195" s="1"/>
  <c r="B24" i="195"/>
  <c r="M23" i="195"/>
  <c r="M27" i="195"/>
  <c r="L23" i="195"/>
  <c r="L27" i="195" s="1"/>
  <c r="K23" i="195"/>
  <c r="J23" i="195"/>
  <c r="J27" i="195"/>
  <c r="I23" i="195"/>
  <c r="I27" i="195" s="1"/>
  <c r="H23" i="195"/>
  <c r="H27" i="195"/>
  <c r="G23" i="195"/>
  <c r="F23" i="195"/>
  <c r="F27" i="195"/>
  <c r="E23" i="195"/>
  <c r="D23" i="195"/>
  <c r="C23" i="195"/>
  <c r="B23" i="195"/>
  <c r="B27" i="195" s="1"/>
  <c r="M20" i="195"/>
  <c r="L20" i="195"/>
  <c r="L48" i="195" s="1"/>
  <c r="L61" i="195" s="1"/>
  <c r="K20" i="195"/>
  <c r="J20" i="195"/>
  <c r="I20" i="195"/>
  <c r="H20" i="195"/>
  <c r="H48" i="195" s="1"/>
  <c r="G20" i="195"/>
  <c r="G48" i="195" s="1"/>
  <c r="G61" i="195" s="1"/>
  <c r="F20" i="195"/>
  <c r="E20" i="195"/>
  <c r="E48" i="195"/>
  <c r="D20" i="195"/>
  <c r="D48" i="195" s="1"/>
  <c r="D50" i="195" s="1"/>
  <c r="C20" i="195"/>
  <c r="B20" i="195"/>
  <c r="N19" i="195"/>
  <c r="N20" i="195" s="1"/>
  <c r="N17" i="195"/>
  <c r="N16" i="195"/>
  <c r="N11" i="195"/>
  <c r="M9" i="195"/>
  <c r="M13" i="195" s="1"/>
  <c r="L9" i="195"/>
  <c r="L13" i="195"/>
  <c r="K9" i="195"/>
  <c r="K13" i="195" s="1"/>
  <c r="J9" i="195"/>
  <c r="J13" i="195"/>
  <c r="J50" i="195" s="1"/>
  <c r="I9" i="195"/>
  <c r="I13" i="195" s="1"/>
  <c r="H9" i="195"/>
  <c r="H13" i="195"/>
  <c r="G9" i="195"/>
  <c r="G13" i="195" s="1"/>
  <c r="G50" i="195" s="1"/>
  <c r="F9" i="195"/>
  <c r="F13" i="195"/>
  <c r="E9" i="195"/>
  <c r="E13" i="195" s="1"/>
  <c r="D9" i="195"/>
  <c r="D13" i="195"/>
  <c r="C9" i="195"/>
  <c r="C13" i="195" s="1"/>
  <c r="B9" i="195"/>
  <c r="B13" i="195"/>
  <c r="B50" i="195" s="1"/>
  <c r="N8" i="195"/>
  <c r="N7" i="195"/>
  <c r="N6" i="195"/>
  <c r="N5" i="195"/>
  <c r="N9" i="195" s="1"/>
  <c r="N13" i="195" s="1"/>
  <c r="N4" i="195"/>
  <c r="I48" i="195"/>
  <c r="D27" i="195"/>
  <c r="C48" i="195"/>
  <c r="C61" i="195" s="1"/>
  <c r="G62" i="195"/>
  <c r="G72" i="195" s="1"/>
  <c r="D58" i="195"/>
  <c r="N38" i="195"/>
  <c r="N42" i="195" s="1"/>
  <c r="D83" i="195"/>
  <c r="D85" i="195" s="1"/>
  <c r="N45" i="195"/>
  <c r="N46" i="195"/>
  <c r="N55" i="195"/>
  <c r="N58" i="195" s="1"/>
  <c r="E58" i="195"/>
  <c r="B85" i="195"/>
  <c r="F87" i="195"/>
  <c r="C87" i="195"/>
  <c r="C88" i="195" s="1"/>
  <c r="D88" i="195" s="1"/>
  <c r="E88" i="195" s="1"/>
  <c r="N56" i="195"/>
  <c r="N87" i="195" s="1"/>
  <c r="E9" i="192"/>
  <c r="N39" i="192"/>
  <c r="M45" i="192"/>
  <c r="M87" i="194"/>
  <c r="L87" i="194"/>
  <c r="K87" i="194"/>
  <c r="J87" i="194"/>
  <c r="I87" i="194"/>
  <c r="H87" i="194"/>
  <c r="G87" i="194"/>
  <c r="B87" i="194"/>
  <c r="L84" i="194"/>
  <c r="K84" i="194"/>
  <c r="J84" i="194"/>
  <c r="I84" i="194"/>
  <c r="H84" i="194"/>
  <c r="G84" i="194"/>
  <c r="F84" i="194"/>
  <c r="E84" i="194"/>
  <c r="D84" i="194"/>
  <c r="C84" i="194"/>
  <c r="B84" i="194"/>
  <c r="B83" i="194"/>
  <c r="N73" i="194"/>
  <c r="L58" i="194"/>
  <c r="K58" i="194"/>
  <c r="K61" i="194" s="1"/>
  <c r="J58" i="194"/>
  <c r="I58" i="194"/>
  <c r="H58" i="194"/>
  <c r="G58" i="194"/>
  <c r="F57" i="194"/>
  <c r="N57" i="194" s="1"/>
  <c r="F56" i="194"/>
  <c r="F58" i="194"/>
  <c r="E56" i="194"/>
  <c r="D56" i="194"/>
  <c r="D87" i="194"/>
  <c r="C56" i="194"/>
  <c r="B55" i="194"/>
  <c r="B58" i="194"/>
  <c r="N54" i="194"/>
  <c r="M53" i="194"/>
  <c r="N53" i="194" s="1"/>
  <c r="M84" i="194"/>
  <c r="L46" i="194"/>
  <c r="K46" i="194"/>
  <c r="J46" i="194"/>
  <c r="I46" i="194"/>
  <c r="H46" i="194"/>
  <c r="G46" i="194"/>
  <c r="F46" i="194"/>
  <c r="E46" i="194"/>
  <c r="D46" i="194"/>
  <c r="C46" i="194"/>
  <c r="B46" i="194"/>
  <c r="M45" i="194"/>
  <c r="N45" i="194" s="1"/>
  <c r="N46" i="194" s="1"/>
  <c r="M46" i="194"/>
  <c r="N44" i="194"/>
  <c r="N41" i="194"/>
  <c r="N40" i="194"/>
  <c r="N37" i="194"/>
  <c r="M34" i="194"/>
  <c r="M38" i="194" s="1"/>
  <c r="M42" i="194" s="1"/>
  <c r="L34" i="194"/>
  <c r="L38" i="194"/>
  <c r="L42" i="194"/>
  <c r="K34" i="194"/>
  <c r="K38" i="194" s="1"/>
  <c r="K42" i="194" s="1"/>
  <c r="K48" i="194" s="1"/>
  <c r="J34" i="194"/>
  <c r="J38" i="194" s="1"/>
  <c r="J42" i="194" s="1"/>
  <c r="I34" i="194"/>
  <c r="I38" i="194" s="1"/>
  <c r="I42" i="194" s="1"/>
  <c r="H34" i="194"/>
  <c r="H38" i="194" s="1"/>
  <c r="H42" i="194" s="1"/>
  <c r="G34" i="194"/>
  <c r="G38" i="194"/>
  <c r="G42" i="194" s="1"/>
  <c r="F34" i="194"/>
  <c r="F38" i="194"/>
  <c r="F42" i="194"/>
  <c r="E34" i="194"/>
  <c r="E38" i="194" s="1"/>
  <c r="E42" i="194" s="1"/>
  <c r="D34" i="194"/>
  <c r="D38" i="194"/>
  <c r="D42" i="194"/>
  <c r="C34" i="194"/>
  <c r="C38" i="194" s="1"/>
  <c r="C42" i="194" s="1"/>
  <c r="B34" i="194"/>
  <c r="AD33" i="194"/>
  <c r="AR33" i="194"/>
  <c r="AC33" i="194"/>
  <c r="AQ33" i="194" s="1"/>
  <c r="AA33" i="194"/>
  <c r="AO33" i="194"/>
  <c r="Z33" i="194"/>
  <c r="AN33" i="194" s="1"/>
  <c r="Y33" i="194"/>
  <c r="AM33" i="194"/>
  <c r="X33" i="194"/>
  <c r="AL33" i="194" s="1"/>
  <c r="W33" i="194"/>
  <c r="AK33" i="194" s="1"/>
  <c r="V33" i="194"/>
  <c r="AJ33" i="194"/>
  <c r="U33" i="194"/>
  <c r="AI33" i="194" s="1"/>
  <c r="T33" i="194"/>
  <c r="AH33" i="194" s="1"/>
  <c r="S33" i="194"/>
  <c r="AG33" i="194" s="1"/>
  <c r="R33" i="194"/>
  <c r="AF33" i="194"/>
  <c r="Q33" i="194"/>
  <c r="AE33" i="194" s="1"/>
  <c r="N33" i="194"/>
  <c r="AB33" i="194"/>
  <c r="AP33" i="194"/>
  <c r="AC32" i="194"/>
  <c r="AQ32" i="194" s="1"/>
  <c r="AA32" i="194"/>
  <c r="AO32" i="194"/>
  <c r="Z32" i="194"/>
  <c r="AN32" i="194" s="1"/>
  <c r="Y32" i="194"/>
  <c r="AM32" i="194" s="1"/>
  <c r="X32" i="194"/>
  <c r="AL32" i="194"/>
  <c r="W32" i="194"/>
  <c r="AK32" i="194" s="1"/>
  <c r="V32" i="194"/>
  <c r="AJ32" i="194"/>
  <c r="U32" i="194"/>
  <c r="AI32" i="194" s="1"/>
  <c r="T32" i="194"/>
  <c r="AH32" i="194"/>
  <c r="S32" i="194"/>
  <c r="AG32" i="194" s="1"/>
  <c r="R32" i="194"/>
  <c r="AF32" i="194"/>
  <c r="Q32" i="194"/>
  <c r="AE32" i="194" s="1"/>
  <c r="P32" i="194"/>
  <c r="AD32" i="194" s="1"/>
  <c r="AR32" i="194" s="1"/>
  <c r="N32" i="194"/>
  <c r="AB32" i="194" s="1"/>
  <c r="AP32" i="194" s="1"/>
  <c r="N31" i="194"/>
  <c r="N30" i="194"/>
  <c r="M26" i="194"/>
  <c r="L26" i="194"/>
  <c r="K26" i="194"/>
  <c r="J26" i="194"/>
  <c r="I26" i="194"/>
  <c r="H26" i="194"/>
  <c r="G26" i="194"/>
  <c r="F26" i="194"/>
  <c r="E26" i="194"/>
  <c r="D26" i="194"/>
  <c r="C26" i="194"/>
  <c r="B26" i="194"/>
  <c r="M25" i="194"/>
  <c r="L25" i="194"/>
  <c r="K25" i="194"/>
  <c r="J25" i="194"/>
  <c r="I25" i="194"/>
  <c r="H25" i="194"/>
  <c r="G25" i="194"/>
  <c r="F25" i="194"/>
  <c r="E25" i="194"/>
  <c r="D25" i="194"/>
  <c r="C25" i="194"/>
  <c r="B25" i="194"/>
  <c r="M24" i="194"/>
  <c r="L24" i="194"/>
  <c r="K24" i="194"/>
  <c r="K27" i="194" s="1"/>
  <c r="J24" i="194"/>
  <c r="I24" i="194"/>
  <c r="H24" i="194"/>
  <c r="G24" i="194"/>
  <c r="F24" i="194"/>
  <c r="E24" i="194"/>
  <c r="D24" i="194"/>
  <c r="C24" i="194"/>
  <c r="N24" i="194" s="1"/>
  <c r="B24" i="194"/>
  <c r="M23" i="194"/>
  <c r="M27" i="194"/>
  <c r="L23" i="194"/>
  <c r="L27" i="194" s="1"/>
  <c r="K23" i="194"/>
  <c r="J23" i="194"/>
  <c r="J27" i="194" s="1"/>
  <c r="I23" i="194"/>
  <c r="H23" i="194"/>
  <c r="H27" i="194"/>
  <c r="G23" i="194"/>
  <c r="G27" i="194" s="1"/>
  <c r="F23" i="194"/>
  <c r="F27" i="194"/>
  <c r="E23" i="194"/>
  <c r="E27" i="194" s="1"/>
  <c r="D23" i="194"/>
  <c r="D27" i="194"/>
  <c r="C23" i="194"/>
  <c r="C27" i="194" s="1"/>
  <c r="B23" i="194"/>
  <c r="M20" i="194"/>
  <c r="M48" i="194" s="1"/>
  <c r="M61" i="194" s="1"/>
  <c r="L20" i="194"/>
  <c r="L48" i="194" s="1"/>
  <c r="L61" i="194" s="1"/>
  <c r="K20" i="194"/>
  <c r="J20" i="194"/>
  <c r="I20" i="194"/>
  <c r="I48" i="194" s="1"/>
  <c r="H20" i="194"/>
  <c r="H48" i="194" s="1"/>
  <c r="H61" i="194" s="1"/>
  <c r="G20" i="194"/>
  <c r="F20" i="194"/>
  <c r="F48" i="194"/>
  <c r="F61" i="194" s="1"/>
  <c r="E20" i="194"/>
  <c r="D20" i="194"/>
  <c r="C20" i="194"/>
  <c r="B20" i="194"/>
  <c r="N19" i="194"/>
  <c r="N17" i="194"/>
  <c r="N16" i="194"/>
  <c r="N20" i="194" s="1"/>
  <c r="E13" i="194"/>
  <c r="E50" i="194" s="1"/>
  <c r="M11" i="194"/>
  <c r="L11" i="194"/>
  <c r="J11" i="194"/>
  <c r="I11" i="194"/>
  <c r="H11" i="194"/>
  <c r="F11" i="194"/>
  <c r="N11" i="194"/>
  <c r="M9" i="194"/>
  <c r="M13" i="194" s="1"/>
  <c r="M50" i="194" s="1"/>
  <c r="L9" i="194"/>
  <c r="L13" i="194"/>
  <c r="K9" i="194"/>
  <c r="K13" i="194" s="1"/>
  <c r="J9" i="194"/>
  <c r="I9" i="194"/>
  <c r="I13" i="194" s="1"/>
  <c r="H9" i="194"/>
  <c r="H13" i="194"/>
  <c r="G9" i="194"/>
  <c r="G13" i="194" s="1"/>
  <c r="F9" i="194"/>
  <c r="D9" i="194"/>
  <c r="D13" i="194"/>
  <c r="C9" i="194"/>
  <c r="C13" i="194" s="1"/>
  <c r="B9" i="194"/>
  <c r="B13" i="194" s="1"/>
  <c r="N8" i="194"/>
  <c r="N7" i="194"/>
  <c r="N6" i="194"/>
  <c r="N5" i="194"/>
  <c r="N4" i="194"/>
  <c r="F88" i="195"/>
  <c r="G88" i="195" s="1"/>
  <c r="H88" i="195" s="1"/>
  <c r="I88" i="195" s="1"/>
  <c r="J88" i="195" s="1"/>
  <c r="K88" i="195" s="1"/>
  <c r="L88" i="195" s="1"/>
  <c r="M88" i="195" s="1"/>
  <c r="B61" i="195"/>
  <c r="B62" i="195" s="1"/>
  <c r="E83" i="195"/>
  <c r="F83" i="195" s="1"/>
  <c r="G83" i="195" s="1"/>
  <c r="H83" i="195" s="1"/>
  <c r="H85" i="195" s="1"/>
  <c r="E48" i="194"/>
  <c r="I61" i="194"/>
  <c r="K50" i="194"/>
  <c r="D58" i="194"/>
  <c r="M58" i="194"/>
  <c r="N55" i="194"/>
  <c r="E85" i="195"/>
  <c r="K62" i="194"/>
  <c r="K72" i="194" s="1"/>
  <c r="G85" i="195"/>
  <c r="I83" i="195"/>
  <c r="I85" i="195" s="1"/>
  <c r="J83" i="195"/>
  <c r="K83" i="195" s="1"/>
  <c r="L83" i="195" s="1"/>
  <c r="L85" i="195" s="1"/>
  <c r="M56" i="192"/>
  <c r="M53" i="192"/>
  <c r="N53" i="192" s="1"/>
  <c r="M87" i="193"/>
  <c r="L87" i="193"/>
  <c r="K87" i="193"/>
  <c r="J87" i="193"/>
  <c r="I87" i="193"/>
  <c r="H87" i="193"/>
  <c r="G87" i="193"/>
  <c r="B87" i="193"/>
  <c r="M84" i="193"/>
  <c r="L84" i="193"/>
  <c r="K84" i="193"/>
  <c r="J84" i="193"/>
  <c r="I84" i="193"/>
  <c r="H84" i="193"/>
  <c r="G84" i="193"/>
  <c r="F84" i="193"/>
  <c r="E84" i="193"/>
  <c r="D84" i="193"/>
  <c r="C84" i="193"/>
  <c r="B84" i="193"/>
  <c r="B83" i="193"/>
  <c r="C83" i="193" s="1"/>
  <c r="D83" i="193" s="1"/>
  <c r="N73" i="193"/>
  <c r="M58" i="193"/>
  <c r="L58" i="193"/>
  <c r="K58" i="193"/>
  <c r="J58" i="193"/>
  <c r="I58" i="193"/>
  <c r="H58" i="193"/>
  <c r="G58" i="193"/>
  <c r="F57" i="193"/>
  <c r="N57" i="193"/>
  <c r="F56" i="193"/>
  <c r="F58" i="193" s="1"/>
  <c r="E56" i="193"/>
  <c r="E87" i="193"/>
  <c r="D56" i="193"/>
  <c r="D87" i="193" s="1"/>
  <c r="C56" i="193"/>
  <c r="C58" i="193" s="1"/>
  <c r="C87" i="193"/>
  <c r="B55" i="193"/>
  <c r="B58" i="193" s="1"/>
  <c r="N54" i="193"/>
  <c r="N53" i="193"/>
  <c r="N58" i="193" s="1"/>
  <c r="M46" i="193"/>
  <c r="L46" i="193"/>
  <c r="K46" i="193"/>
  <c r="J46" i="193"/>
  <c r="I46" i="193"/>
  <c r="H46" i="193"/>
  <c r="G46" i="193"/>
  <c r="F46" i="193"/>
  <c r="E46" i="193"/>
  <c r="D46" i="193"/>
  <c r="C46" i="193"/>
  <c r="B46" i="193"/>
  <c r="N45" i="193"/>
  <c r="N44" i="193"/>
  <c r="N41" i="193"/>
  <c r="N40" i="193"/>
  <c r="N37" i="193"/>
  <c r="M34" i="193"/>
  <c r="M38" i="193"/>
  <c r="M42" i="193"/>
  <c r="L34" i="193"/>
  <c r="L38" i="193" s="1"/>
  <c r="L42" i="193" s="1"/>
  <c r="K34" i="193"/>
  <c r="K38" i="193" s="1"/>
  <c r="K42" i="193" s="1"/>
  <c r="J34" i="193"/>
  <c r="J38" i="193"/>
  <c r="J42" i="193" s="1"/>
  <c r="I34" i="193"/>
  <c r="I38" i="193"/>
  <c r="I42" i="193" s="1"/>
  <c r="H34" i="193"/>
  <c r="H38" i="193" s="1"/>
  <c r="H42" i="193" s="1"/>
  <c r="G34" i="193"/>
  <c r="G38" i="193" s="1"/>
  <c r="G42" i="193" s="1"/>
  <c r="F34" i="193"/>
  <c r="F38" i="193"/>
  <c r="F42" i="193"/>
  <c r="E34" i="193"/>
  <c r="E38" i="193" s="1"/>
  <c r="E42" i="193" s="1"/>
  <c r="D34" i="193"/>
  <c r="C34" i="193"/>
  <c r="C38" i="193" s="1"/>
  <c r="C42" i="193" s="1"/>
  <c r="B34" i="193"/>
  <c r="B38" i="193"/>
  <c r="AD33" i="193"/>
  <c r="AR33" i="193" s="1"/>
  <c r="AC33" i="193"/>
  <c r="AQ33" i="193" s="1"/>
  <c r="AA33" i="193"/>
  <c r="AO33" i="193" s="1"/>
  <c r="Z33" i="193"/>
  <c r="AN33" i="193" s="1"/>
  <c r="Y33" i="193"/>
  <c r="AM33" i="193" s="1"/>
  <c r="X33" i="193"/>
  <c r="AL33" i="193"/>
  <c r="W33" i="193"/>
  <c r="AK33" i="193" s="1"/>
  <c r="V33" i="193"/>
  <c r="AJ33" i="193" s="1"/>
  <c r="U33" i="193"/>
  <c r="AI33" i="193"/>
  <c r="T33" i="193"/>
  <c r="AH33" i="193" s="1"/>
  <c r="S33" i="193"/>
  <c r="AG33" i="193" s="1"/>
  <c r="R33" i="193"/>
  <c r="AF33" i="193" s="1"/>
  <c r="Q33" i="193"/>
  <c r="AE33" i="193" s="1"/>
  <c r="N33" i="193"/>
  <c r="AB33" i="193"/>
  <c r="AP33" i="193" s="1"/>
  <c r="AC32" i="193"/>
  <c r="AQ32" i="193"/>
  <c r="AA32" i="193"/>
  <c r="AO32" i="193" s="1"/>
  <c r="Z32" i="193"/>
  <c r="AN32" i="193" s="1"/>
  <c r="Y32" i="193"/>
  <c r="AM32" i="193"/>
  <c r="X32" i="193"/>
  <c r="AL32" i="193" s="1"/>
  <c r="W32" i="193"/>
  <c r="AK32" i="193" s="1"/>
  <c r="V32" i="193"/>
  <c r="AJ32" i="193"/>
  <c r="U32" i="193"/>
  <c r="AI32" i="193" s="1"/>
  <c r="T32" i="193"/>
  <c r="AH32" i="193" s="1"/>
  <c r="S32" i="193"/>
  <c r="AG32" i="193" s="1"/>
  <c r="R32" i="193"/>
  <c r="AF32" i="193" s="1"/>
  <c r="Q32" i="193"/>
  <c r="AE32" i="193"/>
  <c r="P32" i="193"/>
  <c r="AD32" i="193" s="1"/>
  <c r="AR32" i="193" s="1"/>
  <c r="N32" i="193"/>
  <c r="AB32" i="193"/>
  <c r="AP32" i="193"/>
  <c r="N31" i="193"/>
  <c r="N30" i="193"/>
  <c r="N34" i="193"/>
  <c r="M26" i="193"/>
  <c r="M27" i="193" s="1"/>
  <c r="L26" i="193"/>
  <c r="K26" i="193"/>
  <c r="J26" i="193"/>
  <c r="I26" i="193"/>
  <c r="I27" i="193" s="1"/>
  <c r="H26" i="193"/>
  <c r="G26" i="193"/>
  <c r="F26" i="193"/>
  <c r="E26" i="193"/>
  <c r="D26" i="193"/>
  <c r="C26" i="193"/>
  <c r="B26" i="193"/>
  <c r="N26" i="193"/>
  <c r="M25" i="193"/>
  <c r="L25" i="193"/>
  <c r="K25" i="193"/>
  <c r="J25" i="193"/>
  <c r="I25" i="193"/>
  <c r="H25" i="193"/>
  <c r="G25" i="193"/>
  <c r="F25" i="193"/>
  <c r="F27" i="193" s="1"/>
  <c r="E25" i="193"/>
  <c r="D25" i="193"/>
  <c r="C25" i="193"/>
  <c r="B25" i="193"/>
  <c r="M24" i="193"/>
  <c r="L24" i="193"/>
  <c r="K24" i="193"/>
  <c r="J24" i="193"/>
  <c r="I24" i="193"/>
  <c r="H24" i="193"/>
  <c r="G24" i="193"/>
  <c r="F24" i="193"/>
  <c r="E24" i="193"/>
  <c r="D24" i="193"/>
  <c r="C24" i="193"/>
  <c r="B24" i="193"/>
  <c r="M23" i="193"/>
  <c r="L23" i="193"/>
  <c r="L27" i="193" s="1"/>
  <c r="K23" i="193"/>
  <c r="J23" i="193"/>
  <c r="I23" i="193"/>
  <c r="H23" i="193"/>
  <c r="H27" i="193" s="1"/>
  <c r="G23" i="193"/>
  <c r="F23" i="193"/>
  <c r="E23" i="193"/>
  <c r="E27" i="193" s="1"/>
  <c r="D23" i="193"/>
  <c r="D27" i="193"/>
  <c r="C23" i="193"/>
  <c r="B23" i="193"/>
  <c r="M20" i="193"/>
  <c r="L20" i="193"/>
  <c r="L48" i="193" s="1"/>
  <c r="L61" i="193" s="1"/>
  <c r="K20" i="193"/>
  <c r="J20" i="193"/>
  <c r="J48" i="193" s="1"/>
  <c r="I20" i="193"/>
  <c r="I48" i="193" s="1"/>
  <c r="H20" i="193"/>
  <c r="H48" i="193"/>
  <c r="H61" i="193" s="1"/>
  <c r="H62" i="193" s="1"/>
  <c r="H72" i="193" s="1"/>
  <c r="G20" i="193"/>
  <c r="G48" i="193" s="1"/>
  <c r="G61" i="193" s="1"/>
  <c r="F20" i="193"/>
  <c r="E20" i="193"/>
  <c r="D20" i="193"/>
  <c r="C20" i="193"/>
  <c r="C48" i="193" s="1"/>
  <c r="B20" i="193"/>
  <c r="N19" i="193"/>
  <c r="N17" i="193"/>
  <c r="N16" i="193"/>
  <c r="N20" i="193" s="1"/>
  <c r="E13" i="193"/>
  <c r="L11" i="193"/>
  <c r="J11" i="193"/>
  <c r="I11" i="193"/>
  <c r="N11" i="193" s="1"/>
  <c r="H11" i="193"/>
  <c r="F11" i="193"/>
  <c r="M9" i="193"/>
  <c r="M13" i="193" s="1"/>
  <c r="L9" i="193"/>
  <c r="L13" i="193" s="1"/>
  <c r="K9" i="193"/>
  <c r="K13" i="193"/>
  <c r="J9" i="193"/>
  <c r="J13" i="193" s="1"/>
  <c r="I9" i="193"/>
  <c r="H9" i="193"/>
  <c r="H13" i="193"/>
  <c r="H50" i="193" s="1"/>
  <c r="G9" i="193"/>
  <c r="G13" i="193" s="1"/>
  <c r="F9" i="193"/>
  <c r="F13" i="193" s="1"/>
  <c r="D9" i="193"/>
  <c r="D13" i="193" s="1"/>
  <c r="C9" i="193"/>
  <c r="C13" i="193" s="1"/>
  <c r="B9" i="193"/>
  <c r="B13" i="193"/>
  <c r="N8" i="193"/>
  <c r="N7" i="193"/>
  <c r="N6" i="193"/>
  <c r="N5" i="193"/>
  <c r="N9" i="193" s="1"/>
  <c r="N4" i="193"/>
  <c r="N56" i="193"/>
  <c r="N87" i="193"/>
  <c r="C85" i="193"/>
  <c r="K48" i="193"/>
  <c r="K50" i="193" s="1"/>
  <c r="C50" i="193"/>
  <c r="D58" i="193"/>
  <c r="E58" i="193"/>
  <c r="N55" i="193"/>
  <c r="K61" i="193"/>
  <c r="M11" i="192"/>
  <c r="L11" i="192"/>
  <c r="M87" i="192"/>
  <c r="L87" i="192"/>
  <c r="K87" i="192"/>
  <c r="J87" i="192"/>
  <c r="I87" i="192"/>
  <c r="H87" i="192"/>
  <c r="G87" i="192"/>
  <c r="B87" i="192"/>
  <c r="L84" i="192"/>
  <c r="K84" i="192"/>
  <c r="J84" i="192"/>
  <c r="I84" i="192"/>
  <c r="H84" i="192"/>
  <c r="G84" i="192"/>
  <c r="F84" i="192"/>
  <c r="E84" i="192"/>
  <c r="D84" i="192"/>
  <c r="C84" i="192"/>
  <c r="B84" i="192"/>
  <c r="B83" i="192"/>
  <c r="N73" i="192"/>
  <c r="L58" i="192"/>
  <c r="K58" i="192"/>
  <c r="J58" i="192"/>
  <c r="I58" i="192"/>
  <c r="H58" i="192"/>
  <c r="G58" i="192"/>
  <c r="F57" i="192"/>
  <c r="N57" i="192" s="1"/>
  <c r="F56" i="192"/>
  <c r="F58" i="192"/>
  <c r="E56" i="192"/>
  <c r="E87" i="192" s="1"/>
  <c r="D56" i="192"/>
  <c r="D87" i="192" s="1"/>
  <c r="C56" i="192"/>
  <c r="C87" i="192" s="1"/>
  <c r="B55" i="192"/>
  <c r="B58" i="192" s="1"/>
  <c r="N54" i="192"/>
  <c r="M46" i="192"/>
  <c r="L46" i="192"/>
  <c r="K46" i="192"/>
  <c r="J46" i="192"/>
  <c r="I46" i="192"/>
  <c r="H46" i="192"/>
  <c r="G46" i="192"/>
  <c r="F46" i="192"/>
  <c r="E46" i="192"/>
  <c r="D46" i="192"/>
  <c r="C46" i="192"/>
  <c r="B46" i="192"/>
  <c r="N45" i="192"/>
  <c r="N44" i="192"/>
  <c r="N46" i="192" s="1"/>
  <c r="N41" i="192"/>
  <c r="N40" i="192"/>
  <c r="N37" i="192"/>
  <c r="M34" i="192"/>
  <c r="M38" i="192" s="1"/>
  <c r="M42" i="192" s="1"/>
  <c r="L34" i="192"/>
  <c r="L38" i="192" s="1"/>
  <c r="L42" i="192" s="1"/>
  <c r="L48" i="192" s="1"/>
  <c r="K34" i="192"/>
  <c r="K38" i="192"/>
  <c r="K42" i="192" s="1"/>
  <c r="J34" i="192"/>
  <c r="J38" i="192" s="1"/>
  <c r="J42" i="192"/>
  <c r="I34" i="192"/>
  <c r="I38" i="192" s="1"/>
  <c r="I42" i="192" s="1"/>
  <c r="H34" i="192"/>
  <c r="H38" i="192" s="1"/>
  <c r="H42" i="192" s="1"/>
  <c r="H48" i="192" s="1"/>
  <c r="G34" i="192"/>
  <c r="G38" i="192"/>
  <c r="G42" i="192" s="1"/>
  <c r="F34" i="192"/>
  <c r="F38" i="192" s="1"/>
  <c r="F42" i="192"/>
  <c r="E34" i="192"/>
  <c r="E38" i="192" s="1"/>
  <c r="E42" i="192" s="1"/>
  <c r="D34" i="192"/>
  <c r="D38" i="192" s="1"/>
  <c r="D42" i="192" s="1"/>
  <c r="C34" i="192"/>
  <c r="C38" i="192"/>
  <c r="C42" i="192" s="1"/>
  <c r="B34" i="192"/>
  <c r="B38" i="192" s="1"/>
  <c r="AD33" i="192"/>
  <c r="AR33" i="192" s="1"/>
  <c r="AC33" i="192"/>
  <c r="AQ33" i="192" s="1"/>
  <c r="AA33" i="192"/>
  <c r="AO33" i="192"/>
  <c r="Z33" i="192"/>
  <c r="AN33" i="192" s="1"/>
  <c r="Y33" i="192"/>
  <c r="AM33" i="192" s="1"/>
  <c r="X33" i="192"/>
  <c r="AL33" i="192" s="1"/>
  <c r="W33" i="192"/>
  <c r="AK33" i="192" s="1"/>
  <c r="V33" i="192"/>
  <c r="AJ33" i="192" s="1"/>
  <c r="U33" i="192"/>
  <c r="AI33" i="192" s="1"/>
  <c r="T33" i="192"/>
  <c r="AH33" i="192" s="1"/>
  <c r="S33" i="192"/>
  <c r="AG33" i="192"/>
  <c r="R33" i="192"/>
  <c r="AF33" i="192" s="1"/>
  <c r="Q33" i="192"/>
  <c r="AE33" i="192" s="1"/>
  <c r="N33" i="192"/>
  <c r="AB33" i="192" s="1"/>
  <c r="AP33" i="192" s="1"/>
  <c r="AC32" i="192"/>
  <c r="AQ32" i="192" s="1"/>
  <c r="AA32" i="192"/>
  <c r="AO32" i="192"/>
  <c r="Z32" i="192"/>
  <c r="AN32" i="192" s="1"/>
  <c r="Y32" i="192"/>
  <c r="AM32" i="192"/>
  <c r="X32" i="192"/>
  <c r="AL32" i="192" s="1"/>
  <c r="W32" i="192"/>
  <c r="AK32" i="192"/>
  <c r="V32" i="192"/>
  <c r="AJ32" i="192" s="1"/>
  <c r="U32" i="192"/>
  <c r="AI32" i="192"/>
  <c r="T32" i="192"/>
  <c r="AH32" i="192" s="1"/>
  <c r="S32" i="192"/>
  <c r="AG32" i="192"/>
  <c r="R32" i="192"/>
  <c r="AF32" i="192" s="1"/>
  <c r="Q32" i="192"/>
  <c r="AE32" i="192"/>
  <c r="P32" i="192"/>
  <c r="AD32" i="192" s="1"/>
  <c r="AR32" i="192" s="1"/>
  <c r="N32" i="192"/>
  <c r="AB32" i="192" s="1"/>
  <c r="AP32" i="192" s="1"/>
  <c r="N31" i="192"/>
  <c r="N30" i="192"/>
  <c r="N34" i="192" s="1"/>
  <c r="M26" i="192"/>
  <c r="L26" i="192"/>
  <c r="K26" i="192"/>
  <c r="J26" i="192"/>
  <c r="I26" i="192"/>
  <c r="H26" i="192"/>
  <c r="G26" i="192"/>
  <c r="F26" i="192"/>
  <c r="E26" i="192"/>
  <c r="D26" i="192"/>
  <c r="C26" i="192"/>
  <c r="B26" i="192"/>
  <c r="N26" i="192" s="1"/>
  <c r="M25" i="192"/>
  <c r="L25" i="192"/>
  <c r="K25" i="192"/>
  <c r="J25" i="192"/>
  <c r="I25" i="192"/>
  <c r="H25" i="192"/>
  <c r="G25" i="192"/>
  <c r="F25" i="192"/>
  <c r="E25" i="192"/>
  <c r="D25" i="192"/>
  <c r="C25" i="192"/>
  <c r="B25" i="192"/>
  <c r="N25" i="192" s="1"/>
  <c r="M24" i="192"/>
  <c r="L24" i="192"/>
  <c r="K24" i="192"/>
  <c r="J24" i="192"/>
  <c r="I24" i="192"/>
  <c r="I27" i="192" s="1"/>
  <c r="H24" i="192"/>
  <c r="G24" i="192"/>
  <c r="F24" i="192"/>
  <c r="E24" i="192"/>
  <c r="D24" i="192"/>
  <c r="C24" i="192"/>
  <c r="B24" i="192"/>
  <c r="M23" i="192"/>
  <c r="M27" i="192" s="1"/>
  <c r="L23" i="192"/>
  <c r="K23" i="192"/>
  <c r="K27" i="192"/>
  <c r="J23" i="192"/>
  <c r="I23" i="192"/>
  <c r="H23" i="192"/>
  <c r="H27" i="192" s="1"/>
  <c r="G23" i="192"/>
  <c r="G27" i="192"/>
  <c r="F23" i="192"/>
  <c r="E23" i="192"/>
  <c r="E27" i="192"/>
  <c r="D23" i="192"/>
  <c r="D27" i="192" s="1"/>
  <c r="C23" i="192"/>
  <c r="C27" i="192"/>
  <c r="B23" i="192"/>
  <c r="M20" i="192"/>
  <c r="L20" i="192"/>
  <c r="K20" i="192"/>
  <c r="K48" i="192" s="1"/>
  <c r="K61" i="192" s="1"/>
  <c r="J20" i="192"/>
  <c r="I20" i="192"/>
  <c r="H20" i="192"/>
  <c r="G20" i="192"/>
  <c r="G48" i="192" s="1"/>
  <c r="G61" i="192" s="1"/>
  <c r="F20" i="192"/>
  <c r="E20" i="192"/>
  <c r="D20" i="192"/>
  <c r="C20" i="192"/>
  <c r="C48" i="192" s="1"/>
  <c r="B20" i="192"/>
  <c r="N19" i="192"/>
  <c r="N17" i="192"/>
  <c r="N16" i="192"/>
  <c r="N20" i="192" s="1"/>
  <c r="E13" i="192"/>
  <c r="J11" i="192"/>
  <c r="I11" i="192"/>
  <c r="H11" i="192"/>
  <c r="F11" i="192"/>
  <c r="M9" i="192"/>
  <c r="M13" i="192" s="1"/>
  <c r="L9" i="192"/>
  <c r="L13" i="192" s="1"/>
  <c r="K9" i="192"/>
  <c r="K13" i="192" s="1"/>
  <c r="J9" i="192"/>
  <c r="J13" i="192" s="1"/>
  <c r="I9" i="192"/>
  <c r="I13" i="192" s="1"/>
  <c r="H9" i="192"/>
  <c r="G9" i="192"/>
  <c r="G13" i="192"/>
  <c r="F9" i="192"/>
  <c r="F13" i="192" s="1"/>
  <c r="D9" i="192"/>
  <c r="D13" i="192" s="1"/>
  <c r="C9" i="192"/>
  <c r="C13" i="192" s="1"/>
  <c r="B9" i="192"/>
  <c r="B13" i="192" s="1"/>
  <c r="N8" i="192"/>
  <c r="N7" i="192"/>
  <c r="N6" i="192"/>
  <c r="N5" i="192"/>
  <c r="N4" i="192"/>
  <c r="C88" i="192"/>
  <c r="D88" i="192" s="1"/>
  <c r="E88" i="192" s="1"/>
  <c r="F88" i="192" s="1"/>
  <c r="G88" i="192" s="1"/>
  <c r="H88" i="192" s="1"/>
  <c r="I88" i="192" s="1"/>
  <c r="J88" i="192" s="1"/>
  <c r="K88" i="192" s="1"/>
  <c r="L88" i="192" s="1"/>
  <c r="M88" i="192" s="1"/>
  <c r="N9" i="192"/>
  <c r="L27" i="192"/>
  <c r="D48" i="192"/>
  <c r="D61" i="192" s="1"/>
  <c r="N24" i="192"/>
  <c r="B42" i="192"/>
  <c r="B48" i="192" s="1"/>
  <c r="B50" i="192" s="1"/>
  <c r="N56" i="192"/>
  <c r="N87" i="192" s="1"/>
  <c r="C58" i="192"/>
  <c r="C61" i="192"/>
  <c r="F87" i="192"/>
  <c r="D58" i="192"/>
  <c r="E58" i="192"/>
  <c r="N55" i="192"/>
  <c r="H87" i="191"/>
  <c r="M87" i="191"/>
  <c r="L87" i="191"/>
  <c r="K87" i="191"/>
  <c r="J87" i="191"/>
  <c r="I87" i="191"/>
  <c r="G87" i="191"/>
  <c r="B87" i="191"/>
  <c r="M84" i="191"/>
  <c r="L84" i="191"/>
  <c r="K84" i="191"/>
  <c r="J84" i="191"/>
  <c r="I84" i="191"/>
  <c r="H84" i="191"/>
  <c r="G84" i="191"/>
  <c r="F84" i="191"/>
  <c r="E84" i="191"/>
  <c r="D84" i="191"/>
  <c r="C84" i="191"/>
  <c r="B84" i="191"/>
  <c r="B83" i="191"/>
  <c r="C83" i="191"/>
  <c r="N73" i="191"/>
  <c r="M58" i="191"/>
  <c r="L58" i="191"/>
  <c r="K58" i="191"/>
  <c r="J58" i="191"/>
  <c r="I58" i="191"/>
  <c r="H58" i="191"/>
  <c r="G58" i="191"/>
  <c r="F57" i="191"/>
  <c r="N57" i="191" s="1"/>
  <c r="F56" i="191"/>
  <c r="F58" i="191"/>
  <c r="E56" i="191"/>
  <c r="E87" i="191" s="1"/>
  <c r="D56" i="191"/>
  <c r="D87" i="191"/>
  <c r="C56" i="191"/>
  <c r="C58" i="191" s="1"/>
  <c r="C61" i="191" s="1"/>
  <c r="B55" i="191"/>
  <c r="B58" i="191"/>
  <c r="N54" i="191"/>
  <c r="N53" i="191"/>
  <c r="M46" i="191"/>
  <c r="L46" i="191"/>
  <c r="K46" i="191"/>
  <c r="J46" i="191"/>
  <c r="I46" i="191"/>
  <c r="H46" i="191"/>
  <c r="G46" i="191"/>
  <c r="F46" i="191"/>
  <c r="E46" i="191"/>
  <c r="D46" i="191"/>
  <c r="C46" i="191"/>
  <c r="B46" i="191"/>
  <c r="N45" i="191"/>
  <c r="N44" i="191"/>
  <c r="N46" i="191" s="1"/>
  <c r="N41" i="191"/>
  <c r="N40" i="191"/>
  <c r="N37" i="191"/>
  <c r="M34" i="191"/>
  <c r="M38" i="191" s="1"/>
  <c r="M42" i="191" s="1"/>
  <c r="L34" i="191"/>
  <c r="L38" i="191" s="1"/>
  <c r="L42" i="191" s="1"/>
  <c r="K34" i="191"/>
  <c r="K38" i="191"/>
  <c r="K42" i="191" s="1"/>
  <c r="K48" i="191" s="1"/>
  <c r="J34" i="191"/>
  <c r="J38" i="191" s="1"/>
  <c r="J42" i="191"/>
  <c r="J48" i="191" s="1"/>
  <c r="I34" i="191"/>
  <c r="I38" i="191" s="1"/>
  <c r="I42" i="191" s="1"/>
  <c r="H34" i="191"/>
  <c r="G34" i="191"/>
  <c r="G38" i="191"/>
  <c r="G42" i="191" s="1"/>
  <c r="F34" i="191"/>
  <c r="F38" i="191" s="1"/>
  <c r="F42" i="191" s="1"/>
  <c r="F48" i="191" s="1"/>
  <c r="E34" i="191"/>
  <c r="E38" i="191" s="1"/>
  <c r="E42" i="191" s="1"/>
  <c r="E48" i="191" s="1"/>
  <c r="D34" i="191"/>
  <c r="C34" i="191"/>
  <c r="C38" i="191"/>
  <c r="C42" i="191" s="1"/>
  <c r="B34" i="191"/>
  <c r="B38" i="191" s="1"/>
  <c r="AD33" i="191"/>
  <c r="AR33" i="191" s="1"/>
  <c r="AC33" i="191"/>
  <c r="AQ33" i="191" s="1"/>
  <c r="AA33" i="191"/>
  <c r="AO33" i="191" s="1"/>
  <c r="Z33" i="191"/>
  <c r="AN33" i="191" s="1"/>
  <c r="Y33" i="191"/>
  <c r="AM33" i="191" s="1"/>
  <c r="X33" i="191"/>
  <c r="AL33" i="191" s="1"/>
  <c r="W33" i="191"/>
  <c r="AK33" i="191" s="1"/>
  <c r="V33" i="191"/>
  <c r="AJ33" i="191" s="1"/>
  <c r="U33" i="191"/>
  <c r="AI33" i="191" s="1"/>
  <c r="T33" i="191"/>
  <c r="AH33" i="191" s="1"/>
  <c r="S33" i="191"/>
  <c r="AG33" i="191" s="1"/>
  <c r="R33" i="191"/>
  <c r="AF33" i="191" s="1"/>
  <c r="Q33" i="191"/>
  <c r="AE33" i="191" s="1"/>
  <c r="N33" i="191"/>
  <c r="AB33" i="191" s="1"/>
  <c r="AP33" i="191" s="1"/>
  <c r="AC32" i="191"/>
  <c r="AQ32" i="191" s="1"/>
  <c r="AA32" i="191"/>
  <c r="AO32" i="191"/>
  <c r="Z32" i="191"/>
  <c r="AN32" i="191" s="1"/>
  <c r="Y32" i="191"/>
  <c r="AM32" i="191"/>
  <c r="X32" i="191"/>
  <c r="AL32" i="191" s="1"/>
  <c r="W32" i="191"/>
  <c r="AK32" i="191"/>
  <c r="V32" i="191"/>
  <c r="AJ32" i="191" s="1"/>
  <c r="U32" i="191"/>
  <c r="AI32" i="191"/>
  <c r="T32" i="191"/>
  <c r="AH32" i="191" s="1"/>
  <c r="S32" i="191"/>
  <c r="AG32" i="191"/>
  <c r="R32" i="191"/>
  <c r="AF32" i="191" s="1"/>
  <c r="Q32" i="191"/>
  <c r="AE32" i="191"/>
  <c r="P32" i="191"/>
  <c r="AD32" i="191" s="1"/>
  <c r="AR32" i="191" s="1"/>
  <c r="N32" i="191"/>
  <c r="AB32" i="191" s="1"/>
  <c r="AP32" i="191" s="1"/>
  <c r="N31" i="191"/>
  <c r="N30" i="191"/>
  <c r="N34" i="191" s="1"/>
  <c r="M26" i="191"/>
  <c r="L26" i="191"/>
  <c r="K26" i="191"/>
  <c r="J26" i="191"/>
  <c r="I26" i="191"/>
  <c r="H26" i="191"/>
  <c r="G26" i="191"/>
  <c r="F26" i="191"/>
  <c r="E26" i="191"/>
  <c r="D26" i="191"/>
  <c r="C26" i="191"/>
  <c r="B26" i="191"/>
  <c r="N26" i="191" s="1"/>
  <c r="M25" i="191"/>
  <c r="L25" i="191"/>
  <c r="K25" i="191"/>
  <c r="J25" i="191"/>
  <c r="I25" i="191"/>
  <c r="H25" i="191"/>
  <c r="G25" i="191"/>
  <c r="F25" i="191"/>
  <c r="E25" i="191"/>
  <c r="D25" i="191"/>
  <c r="C25" i="191"/>
  <c r="B25" i="191"/>
  <c r="N25" i="191" s="1"/>
  <c r="M24" i="191"/>
  <c r="L24" i="191"/>
  <c r="K24" i="191"/>
  <c r="J24" i="191"/>
  <c r="J27" i="191" s="1"/>
  <c r="I24" i="191"/>
  <c r="H24" i="191"/>
  <c r="G24" i="191"/>
  <c r="F24" i="191"/>
  <c r="F27" i="191" s="1"/>
  <c r="E24" i="191"/>
  <c r="D24" i="191"/>
  <c r="C24" i="191"/>
  <c r="B24" i="191"/>
  <c r="N24" i="191" s="1"/>
  <c r="M23" i="191"/>
  <c r="M27" i="191" s="1"/>
  <c r="L23" i="191"/>
  <c r="L27" i="191"/>
  <c r="K23" i="191"/>
  <c r="K27" i="191" s="1"/>
  <c r="J23" i="191"/>
  <c r="I23" i="191"/>
  <c r="I27" i="191" s="1"/>
  <c r="H23" i="191"/>
  <c r="H27" i="191"/>
  <c r="G23" i="191"/>
  <c r="G27" i="191" s="1"/>
  <c r="F23" i="191"/>
  <c r="E23" i="191"/>
  <c r="E27" i="191" s="1"/>
  <c r="D23" i="191"/>
  <c r="D27" i="191" s="1"/>
  <c r="C23" i="191"/>
  <c r="C27" i="191" s="1"/>
  <c r="B23" i="191"/>
  <c r="M20" i="191"/>
  <c r="M48" i="191" s="1"/>
  <c r="L20" i="191"/>
  <c r="L48" i="191" s="1"/>
  <c r="K20" i="191"/>
  <c r="J20" i="191"/>
  <c r="I20" i="191"/>
  <c r="H20" i="191"/>
  <c r="G20" i="191"/>
  <c r="G48" i="191" s="1"/>
  <c r="F20" i="191"/>
  <c r="E20" i="191"/>
  <c r="D20" i="191"/>
  <c r="C20" i="191"/>
  <c r="C48" i="191" s="1"/>
  <c r="B20" i="191"/>
  <c r="N19" i="191"/>
  <c r="N17" i="191"/>
  <c r="N16" i="191"/>
  <c r="N20" i="191" s="1"/>
  <c r="E13" i="191"/>
  <c r="E50" i="191" s="1"/>
  <c r="J11" i="191"/>
  <c r="I11" i="191"/>
  <c r="H11" i="191"/>
  <c r="F11" i="191"/>
  <c r="M9" i="191"/>
  <c r="M13" i="191"/>
  <c r="L9" i="191"/>
  <c r="L13" i="191" s="1"/>
  <c r="K9" i="191"/>
  <c r="K13" i="191"/>
  <c r="J9" i="191"/>
  <c r="J13" i="191" s="1"/>
  <c r="I9" i="191"/>
  <c r="I13" i="191"/>
  <c r="H9" i="191"/>
  <c r="H13" i="191" s="1"/>
  <c r="G9" i="191"/>
  <c r="G13" i="191"/>
  <c r="F9" i="191"/>
  <c r="F13" i="191" s="1"/>
  <c r="D9" i="191"/>
  <c r="D13" i="191"/>
  <c r="C9" i="191"/>
  <c r="C13" i="191" s="1"/>
  <c r="B9" i="191"/>
  <c r="B13" i="191"/>
  <c r="N8" i="191"/>
  <c r="N7" i="191"/>
  <c r="N6" i="191"/>
  <c r="N5" i="191"/>
  <c r="N9" i="191" s="1"/>
  <c r="N4" i="191"/>
  <c r="M61" i="191"/>
  <c r="L61" i="191"/>
  <c r="B85" i="191"/>
  <c r="D58" i="191"/>
  <c r="N55" i="191"/>
  <c r="J11" i="190"/>
  <c r="M87" i="190"/>
  <c r="L87" i="190"/>
  <c r="K87" i="190"/>
  <c r="J87" i="190"/>
  <c r="I87" i="190"/>
  <c r="H87" i="190"/>
  <c r="G87" i="190"/>
  <c r="B87" i="190"/>
  <c r="M84" i="190"/>
  <c r="L84" i="190"/>
  <c r="K84" i="190"/>
  <c r="J84" i="190"/>
  <c r="I84" i="190"/>
  <c r="H84" i="190"/>
  <c r="G84" i="190"/>
  <c r="F84" i="190"/>
  <c r="E84" i="190"/>
  <c r="D84" i="190"/>
  <c r="C84" i="190"/>
  <c r="B84" i="190"/>
  <c r="B83" i="190"/>
  <c r="B85" i="190" s="1"/>
  <c r="N73" i="190"/>
  <c r="M58" i="190"/>
  <c r="L58" i="190"/>
  <c r="K58" i="190"/>
  <c r="J58" i="190"/>
  <c r="I58" i="190"/>
  <c r="H58" i="190"/>
  <c r="G58" i="190"/>
  <c r="F57" i="190"/>
  <c r="N57" i="190" s="1"/>
  <c r="F56" i="190"/>
  <c r="F58" i="190"/>
  <c r="E56" i="190"/>
  <c r="D56" i="190"/>
  <c r="D87" i="190"/>
  <c r="C56" i="190"/>
  <c r="N56" i="190" s="1"/>
  <c r="N87" i="190" s="1"/>
  <c r="B55" i="190"/>
  <c r="B58" i="190" s="1"/>
  <c r="N54" i="190"/>
  <c r="N53" i="190"/>
  <c r="N58" i="190" s="1"/>
  <c r="M46" i="190"/>
  <c r="L46" i="190"/>
  <c r="K46" i="190"/>
  <c r="J46" i="190"/>
  <c r="I46" i="190"/>
  <c r="H46" i="190"/>
  <c r="G46" i="190"/>
  <c r="F46" i="190"/>
  <c r="E46" i="190"/>
  <c r="D46" i="190"/>
  <c r="C46" i="190"/>
  <c r="B46" i="190"/>
  <c r="N45" i="190"/>
  <c r="N44" i="190"/>
  <c r="N41" i="190"/>
  <c r="N40" i="190"/>
  <c r="N37" i="190"/>
  <c r="M34" i="190"/>
  <c r="M38" i="190"/>
  <c r="M42" i="190"/>
  <c r="M48" i="190" s="1"/>
  <c r="M61" i="190" s="1"/>
  <c r="L34" i="190"/>
  <c r="L38" i="190" s="1"/>
  <c r="L42" i="190" s="1"/>
  <c r="L48" i="190" s="1"/>
  <c r="K34" i="190"/>
  <c r="K38" i="190" s="1"/>
  <c r="K42" i="190" s="1"/>
  <c r="J34" i="190"/>
  <c r="J38" i="190" s="1"/>
  <c r="J42" i="190" s="1"/>
  <c r="I34" i="190"/>
  <c r="I38" i="190"/>
  <c r="I42" i="190"/>
  <c r="I48" i="190" s="1"/>
  <c r="I61" i="190" s="1"/>
  <c r="H34" i="190"/>
  <c r="H38" i="190" s="1"/>
  <c r="H42" i="190" s="1"/>
  <c r="G34" i="190"/>
  <c r="F34" i="190"/>
  <c r="E34" i="190"/>
  <c r="E38" i="190"/>
  <c r="E42" i="190"/>
  <c r="D34" i="190"/>
  <c r="D38" i="190" s="1"/>
  <c r="D42" i="190" s="1"/>
  <c r="C34" i="190"/>
  <c r="C38" i="190" s="1"/>
  <c r="C42" i="190" s="1"/>
  <c r="B34" i="190"/>
  <c r="B38" i="190" s="1"/>
  <c r="AD33" i="190"/>
  <c r="AR33" i="190"/>
  <c r="AC33" i="190"/>
  <c r="AQ33" i="190" s="1"/>
  <c r="AA33" i="190"/>
  <c r="AO33" i="190"/>
  <c r="Z33" i="190"/>
  <c r="AN33" i="190" s="1"/>
  <c r="Y33" i="190"/>
  <c r="AM33" i="190"/>
  <c r="X33" i="190"/>
  <c r="AL33" i="190" s="1"/>
  <c r="W33" i="190"/>
  <c r="AK33" i="190"/>
  <c r="V33" i="190"/>
  <c r="AJ33" i="190" s="1"/>
  <c r="U33" i="190"/>
  <c r="AI33" i="190"/>
  <c r="T33" i="190"/>
  <c r="AH33" i="190" s="1"/>
  <c r="S33" i="190"/>
  <c r="AG33" i="190"/>
  <c r="R33" i="190"/>
  <c r="AF33" i="190" s="1"/>
  <c r="Q33" i="190"/>
  <c r="AE33" i="190"/>
  <c r="N33" i="190"/>
  <c r="AB33" i="190" s="1"/>
  <c r="AP33" i="190" s="1"/>
  <c r="AC32" i="190"/>
  <c r="AQ32" i="190"/>
  <c r="AA32" i="190"/>
  <c r="AO32" i="190" s="1"/>
  <c r="Z32" i="190"/>
  <c r="AN32" i="190"/>
  <c r="Y32" i="190"/>
  <c r="AM32" i="190" s="1"/>
  <c r="X32" i="190"/>
  <c r="AL32" i="190"/>
  <c r="W32" i="190"/>
  <c r="AK32" i="190" s="1"/>
  <c r="V32" i="190"/>
  <c r="AJ32" i="190"/>
  <c r="U32" i="190"/>
  <c r="AI32" i="190" s="1"/>
  <c r="T32" i="190"/>
  <c r="AH32" i="190"/>
  <c r="S32" i="190"/>
  <c r="AG32" i="190" s="1"/>
  <c r="R32" i="190"/>
  <c r="AF32" i="190"/>
  <c r="Q32" i="190"/>
  <c r="AE32" i="190" s="1"/>
  <c r="P32" i="190"/>
  <c r="AD32" i="190"/>
  <c r="AR32" i="190" s="1"/>
  <c r="N32" i="190"/>
  <c r="AB32" i="190"/>
  <c r="AP32" i="190"/>
  <c r="N31" i="190"/>
  <c r="N30" i="190"/>
  <c r="M26" i="190"/>
  <c r="L26" i="190"/>
  <c r="K26" i="190"/>
  <c r="J26" i="190"/>
  <c r="I26" i="190"/>
  <c r="H26" i="190"/>
  <c r="G26" i="190"/>
  <c r="F26" i="190"/>
  <c r="E26" i="190"/>
  <c r="D26" i="190"/>
  <c r="C26" i="190"/>
  <c r="B26" i="190"/>
  <c r="M25" i="190"/>
  <c r="L25" i="190"/>
  <c r="K25" i="190"/>
  <c r="J25" i="190"/>
  <c r="I25" i="190"/>
  <c r="H25" i="190"/>
  <c r="G25" i="190"/>
  <c r="F25" i="190"/>
  <c r="E25" i="190"/>
  <c r="D25" i="190"/>
  <c r="C25" i="190"/>
  <c r="B25" i="190"/>
  <c r="M24" i="190"/>
  <c r="L24" i="190"/>
  <c r="K24" i="190"/>
  <c r="J24" i="190"/>
  <c r="I24" i="190"/>
  <c r="H24" i="190"/>
  <c r="G24" i="190"/>
  <c r="G27" i="190" s="1"/>
  <c r="F24" i="190"/>
  <c r="E24" i="190"/>
  <c r="D24" i="190"/>
  <c r="C24" i="190"/>
  <c r="B24" i="190"/>
  <c r="M23" i="190"/>
  <c r="M27" i="190"/>
  <c r="L23" i="190"/>
  <c r="K23" i="190"/>
  <c r="K27" i="190"/>
  <c r="J23" i="190"/>
  <c r="J27" i="190" s="1"/>
  <c r="I23" i="190"/>
  <c r="I27" i="190" s="1"/>
  <c r="H23" i="190"/>
  <c r="H27" i="190"/>
  <c r="G23" i="190"/>
  <c r="F23" i="190"/>
  <c r="F27" i="190"/>
  <c r="E23" i="190"/>
  <c r="E27" i="190"/>
  <c r="D23" i="190"/>
  <c r="D27" i="190"/>
  <c r="C23" i="190"/>
  <c r="B23" i="190"/>
  <c r="B27" i="190" s="1"/>
  <c r="M20" i="190"/>
  <c r="L20" i="190"/>
  <c r="K20" i="190"/>
  <c r="J20" i="190"/>
  <c r="I20" i="190"/>
  <c r="H20" i="190"/>
  <c r="H48" i="190" s="1"/>
  <c r="H61" i="190" s="1"/>
  <c r="G20" i="190"/>
  <c r="F20" i="190"/>
  <c r="E20" i="190"/>
  <c r="D20" i="190"/>
  <c r="C20" i="190"/>
  <c r="B20" i="190"/>
  <c r="N19" i="190"/>
  <c r="N17" i="190"/>
  <c r="N16" i="190"/>
  <c r="E13" i="190"/>
  <c r="I11" i="190"/>
  <c r="H11" i="190"/>
  <c r="F11" i="190"/>
  <c r="N11" i="190"/>
  <c r="M9" i="190"/>
  <c r="M13" i="190" s="1"/>
  <c r="L9" i="190"/>
  <c r="L13" i="190"/>
  <c r="L50" i="190" s="1"/>
  <c r="K9" i="190"/>
  <c r="K13" i="190" s="1"/>
  <c r="K62" i="190" s="1"/>
  <c r="K72" i="190" s="1"/>
  <c r="J9" i="190"/>
  <c r="J13" i="190"/>
  <c r="I9" i="190"/>
  <c r="I13" i="190" s="1"/>
  <c r="H9" i="190"/>
  <c r="H13" i="190"/>
  <c r="H62" i="190" s="1"/>
  <c r="H72" i="190" s="1"/>
  <c r="G9" i="190"/>
  <c r="G13" i="190" s="1"/>
  <c r="F9" i="190"/>
  <c r="F13" i="190"/>
  <c r="D9" i="190"/>
  <c r="D13" i="190" s="1"/>
  <c r="C9" i="190"/>
  <c r="C13" i="190"/>
  <c r="B9" i="190"/>
  <c r="B13" i="190" s="1"/>
  <c r="N8" i="190"/>
  <c r="N7" i="190"/>
  <c r="N6" i="190"/>
  <c r="N9" i="190" s="1"/>
  <c r="N13" i="190" s="1"/>
  <c r="N5" i="190"/>
  <c r="N4" i="190"/>
  <c r="L50" i="191"/>
  <c r="C50" i="191"/>
  <c r="N46" i="190"/>
  <c r="N26" i="190"/>
  <c r="N34" i="190"/>
  <c r="N20" i="190"/>
  <c r="K48" i="190"/>
  <c r="K50" i="190"/>
  <c r="E48" i="190"/>
  <c r="D58" i="190"/>
  <c r="C87" i="190"/>
  <c r="C88" i="190" s="1"/>
  <c r="D88" i="190" s="1"/>
  <c r="C58" i="190"/>
  <c r="N55" i="190"/>
  <c r="I11" i="189"/>
  <c r="M87" i="189"/>
  <c r="L87" i="189"/>
  <c r="K87" i="189"/>
  <c r="J87" i="189"/>
  <c r="I87" i="189"/>
  <c r="H87" i="189"/>
  <c r="G87" i="189"/>
  <c r="B87" i="189"/>
  <c r="C88" i="189" s="1"/>
  <c r="D88" i="189" s="1"/>
  <c r="E88" i="189" s="1"/>
  <c r="M84" i="189"/>
  <c r="L84" i="189"/>
  <c r="K84" i="189"/>
  <c r="J84" i="189"/>
  <c r="J85" i="189" s="1"/>
  <c r="I84" i="189"/>
  <c r="H84" i="189"/>
  <c r="G84" i="189"/>
  <c r="G85" i="189" s="1"/>
  <c r="F84" i="189"/>
  <c r="F85" i="189" s="1"/>
  <c r="E84" i="189"/>
  <c r="D84" i="189"/>
  <c r="C84" i="189"/>
  <c r="C85" i="189" s="1"/>
  <c r="B84" i="189"/>
  <c r="B85" i="189" s="1"/>
  <c r="B83" i="189"/>
  <c r="C83" i="189"/>
  <c r="N73" i="189"/>
  <c r="M58" i="189"/>
  <c r="M61" i="189" s="1"/>
  <c r="M62" i="189" s="1"/>
  <c r="M72" i="189" s="1"/>
  <c r="L58" i="189"/>
  <c r="K58" i="189"/>
  <c r="J58" i="189"/>
  <c r="I58" i="189"/>
  <c r="H58" i="189"/>
  <c r="G58" i="189"/>
  <c r="F57" i="189"/>
  <c r="N57" i="189"/>
  <c r="F56" i="189"/>
  <c r="E56" i="189"/>
  <c r="E58" i="189" s="1"/>
  <c r="E87" i="189"/>
  <c r="D56" i="189"/>
  <c r="D87" i="189"/>
  <c r="C56" i="189"/>
  <c r="B55" i="189"/>
  <c r="N55" i="189" s="1"/>
  <c r="N54" i="189"/>
  <c r="N53" i="189"/>
  <c r="M46" i="189"/>
  <c r="L46" i="189"/>
  <c r="K46" i="189"/>
  <c r="J46" i="189"/>
  <c r="I46" i="189"/>
  <c r="H46" i="189"/>
  <c r="G46" i="189"/>
  <c r="F46" i="189"/>
  <c r="E46" i="189"/>
  <c r="D46" i="189"/>
  <c r="C46" i="189"/>
  <c r="B46" i="189"/>
  <c r="N45" i="189"/>
  <c r="N44" i="189"/>
  <c r="N46" i="189" s="1"/>
  <c r="N41" i="189"/>
  <c r="N40" i="189"/>
  <c r="N37" i="189"/>
  <c r="M34" i="189"/>
  <c r="M38" i="189" s="1"/>
  <c r="M42" i="189" s="1"/>
  <c r="L34" i="189"/>
  <c r="K34" i="189"/>
  <c r="K38" i="189"/>
  <c r="K42" i="189"/>
  <c r="K48" i="189" s="1"/>
  <c r="J34" i="189"/>
  <c r="J38" i="189"/>
  <c r="J42" i="189"/>
  <c r="I34" i="189"/>
  <c r="I38" i="189" s="1"/>
  <c r="H34" i="189"/>
  <c r="H38" i="189"/>
  <c r="H42" i="189"/>
  <c r="H48" i="189" s="1"/>
  <c r="H61" i="189" s="1"/>
  <c r="G34" i="189"/>
  <c r="G38" i="189" s="1"/>
  <c r="G42" i="189" s="1"/>
  <c r="F34" i="189"/>
  <c r="F38" i="189" s="1"/>
  <c r="F42" i="189" s="1"/>
  <c r="F48" i="189" s="1"/>
  <c r="E34" i="189"/>
  <c r="D34" i="189"/>
  <c r="D38" i="189" s="1"/>
  <c r="D42" i="189" s="1"/>
  <c r="C34" i="189"/>
  <c r="C38" i="189"/>
  <c r="C42" i="189"/>
  <c r="C48" i="189" s="1"/>
  <c r="B34" i="189"/>
  <c r="B38" i="189"/>
  <c r="B42" i="189"/>
  <c r="AD33" i="189"/>
  <c r="AR33" i="189" s="1"/>
  <c r="AC33" i="189"/>
  <c r="AQ33" i="189"/>
  <c r="AA33" i="189"/>
  <c r="AO33" i="189" s="1"/>
  <c r="Z33" i="189"/>
  <c r="AN33" i="189"/>
  <c r="Y33" i="189"/>
  <c r="AM33" i="189" s="1"/>
  <c r="X33" i="189"/>
  <c r="AL33" i="189"/>
  <c r="W33" i="189"/>
  <c r="AK33" i="189" s="1"/>
  <c r="V33" i="189"/>
  <c r="AJ33" i="189"/>
  <c r="U33" i="189"/>
  <c r="AI33" i="189" s="1"/>
  <c r="T33" i="189"/>
  <c r="AH33" i="189"/>
  <c r="S33" i="189"/>
  <c r="AG33" i="189" s="1"/>
  <c r="R33" i="189"/>
  <c r="AF33" i="189"/>
  <c r="Q33" i="189"/>
  <c r="AE33" i="189" s="1"/>
  <c r="N33" i="189"/>
  <c r="AB33" i="189"/>
  <c r="AP33" i="189" s="1"/>
  <c r="AC32" i="189"/>
  <c r="AQ32" i="189"/>
  <c r="AA32" i="189"/>
  <c r="AO32" i="189" s="1"/>
  <c r="Z32" i="189"/>
  <c r="AN32" i="189"/>
  <c r="Y32" i="189"/>
  <c r="AM32" i="189" s="1"/>
  <c r="X32" i="189"/>
  <c r="AL32" i="189"/>
  <c r="W32" i="189"/>
  <c r="AK32" i="189" s="1"/>
  <c r="V32" i="189"/>
  <c r="AJ32" i="189"/>
  <c r="U32" i="189"/>
  <c r="AI32" i="189" s="1"/>
  <c r="T32" i="189"/>
  <c r="AH32" i="189"/>
  <c r="S32" i="189"/>
  <c r="AG32" i="189" s="1"/>
  <c r="R32" i="189"/>
  <c r="AF32" i="189"/>
  <c r="Q32" i="189"/>
  <c r="AE32" i="189" s="1"/>
  <c r="P32" i="189"/>
  <c r="AD32" i="189"/>
  <c r="AR32" i="189"/>
  <c r="N32" i="189"/>
  <c r="AB32" i="189" s="1"/>
  <c r="AP32" i="189" s="1"/>
  <c r="N31" i="189"/>
  <c r="N30" i="189"/>
  <c r="N34" i="189" s="1"/>
  <c r="M26" i="189"/>
  <c r="L26" i="189"/>
  <c r="K26" i="189"/>
  <c r="J26" i="189"/>
  <c r="I26" i="189"/>
  <c r="H26" i="189"/>
  <c r="G26" i="189"/>
  <c r="F26" i="189"/>
  <c r="E26" i="189"/>
  <c r="D26" i="189"/>
  <c r="C26" i="189"/>
  <c r="B26" i="189"/>
  <c r="M25" i="189"/>
  <c r="L25" i="189"/>
  <c r="K25" i="189"/>
  <c r="J25" i="189"/>
  <c r="I25" i="189"/>
  <c r="H25" i="189"/>
  <c r="G25" i="189"/>
  <c r="F25" i="189"/>
  <c r="E25" i="189"/>
  <c r="D25" i="189"/>
  <c r="C25" i="189"/>
  <c r="B25" i="189"/>
  <c r="M24" i="189"/>
  <c r="L24" i="189"/>
  <c r="K24" i="189"/>
  <c r="K27" i="189" s="1"/>
  <c r="J24" i="189"/>
  <c r="J27" i="189" s="1"/>
  <c r="I24" i="189"/>
  <c r="H24" i="189"/>
  <c r="G24" i="189"/>
  <c r="F24" i="189"/>
  <c r="E24" i="189"/>
  <c r="D24" i="189"/>
  <c r="C24" i="189"/>
  <c r="B24" i="189"/>
  <c r="M23" i="189"/>
  <c r="M27" i="189"/>
  <c r="L23" i="189"/>
  <c r="L27" i="189"/>
  <c r="K23" i="189"/>
  <c r="J23" i="189"/>
  <c r="I23" i="189"/>
  <c r="I27" i="189" s="1"/>
  <c r="H23" i="189"/>
  <c r="H27" i="189"/>
  <c r="G23" i="189"/>
  <c r="G27" i="189" s="1"/>
  <c r="F23" i="189"/>
  <c r="F27" i="189"/>
  <c r="E23" i="189"/>
  <c r="E27" i="189" s="1"/>
  <c r="D23" i="189"/>
  <c r="C23" i="189"/>
  <c r="N23" i="189" s="1"/>
  <c r="C27" i="189"/>
  <c r="B23" i="189"/>
  <c r="M20" i="189"/>
  <c r="M48" i="189"/>
  <c r="L20" i="189"/>
  <c r="K20" i="189"/>
  <c r="J20" i="189"/>
  <c r="I20" i="189"/>
  <c r="I48" i="189" s="1"/>
  <c r="H20" i="189"/>
  <c r="G20" i="189"/>
  <c r="F20" i="189"/>
  <c r="E20" i="189"/>
  <c r="D20" i="189"/>
  <c r="C20" i="189"/>
  <c r="B20" i="189"/>
  <c r="N19" i="189"/>
  <c r="N20" i="189" s="1"/>
  <c r="N17" i="189"/>
  <c r="N16" i="189"/>
  <c r="E13" i="189"/>
  <c r="H11" i="189"/>
  <c r="F11" i="189"/>
  <c r="M9" i="189"/>
  <c r="M13" i="189"/>
  <c r="L9" i="189"/>
  <c r="L13" i="189" s="1"/>
  <c r="K9" i="189"/>
  <c r="K13" i="189"/>
  <c r="J9" i="189"/>
  <c r="J13" i="189" s="1"/>
  <c r="I9" i="189"/>
  <c r="I13" i="189"/>
  <c r="H9" i="189"/>
  <c r="G9" i="189"/>
  <c r="G13" i="189"/>
  <c r="F9" i="189"/>
  <c r="F13" i="189" s="1"/>
  <c r="D9" i="189"/>
  <c r="D13" i="189"/>
  <c r="C9" i="189"/>
  <c r="C13" i="189" s="1"/>
  <c r="B9" i="189"/>
  <c r="B13" i="189"/>
  <c r="N8" i="189"/>
  <c r="N7" i="189"/>
  <c r="N6" i="189"/>
  <c r="N5" i="189"/>
  <c r="N4" i="189"/>
  <c r="K61" i="190"/>
  <c r="N25" i="189"/>
  <c r="N26" i="189"/>
  <c r="D58" i="189"/>
  <c r="D27" i="189"/>
  <c r="N9" i="189"/>
  <c r="M50" i="189"/>
  <c r="D83" i="189"/>
  <c r="B58" i="189"/>
  <c r="G48" i="189"/>
  <c r="G61" i="189" s="1"/>
  <c r="E38" i="189"/>
  <c r="E42" i="189"/>
  <c r="C87" i="189"/>
  <c r="I42" i="189"/>
  <c r="H11" i="188"/>
  <c r="E83" i="189"/>
  <c r="D85" i="189"/>
  <c r="M87" i="188"/>
  <c r="L87" i="188"/>
  <c r="K87" i="188"/>
  <c r="J87" i="188"/>
  <c r="I87" i="188"/>
  <c r="H87" i="188"/>
  <c r="G87" i="188"/>
  <c r="B87" i="188"/>
  <c r="M84" i="188"/>
  <c r="L84" i="188"/>
  <c r="K84" i="188"/>
  <c r="J84" i="188"/>
  <c r="I84" i="188"/>
  <c r="H84" i="188"/>
  <c r="G84" i="188"/>
  <c r="F84" i="188"/>
  <c r="E84" i="188"/>
  <c r="D84" i="188"/>
  <c r="C84" i="188"/>
  <c r="B84" i="188"/>
  <c r="B83" i="188"/>
  <c r="C83" i="188"/>
  <c r="N73" i="188"/>
  <c r="M58" i="188"/>
  <c r="L58" i="188"/>
  <c r="K58" i="188"/>
  <c r="J58" i="188"/>
  <c r="I58" i="188"/>
  <c r="H58" i="188"/>
  <c r="G58" i="188"/>
  <c r="F57" i="188"/>
  <c r="F56" i="188"/>
  <c r="E56" i="188"/>
  <c r="E58" i="188" s="1"/>
  <c r="E61" i="188" s="1"/>
  <c r="E62" i="188" s="1"/>
  <c r="E72" i="188" s="1"/>
  <c r="D56" i="188"/>
  <c r="D58" i="188"/>
  <c r="C56" i="188"/>
  <c r="C87" i="188" s="1"/>
  <c r="C88" i="188" s="1"/>
  <c r="D88" i="188" s="1"/>
  <c r="B55" i="188"/>
  <c r="B58" i="188"/>
  <c r="N54" i="188"/>
  <c r="N53" i="188"/>
  <c r="M46" i="188"/>
  <c r="L46" i="188"/>
  <c r="K46" i="188"/>
  <c r="K48" i="188" s="1"/>
  <c r="J46" i="188"/>
  <c r="I46" i="188"/>
  <c r="H46" i="188"/>
  <c r="G46" i="188"/>
  <c r="F46" i="188"/>
  <c r="E46" i="188"/>
  <c r="D46" i="188"/>
  <c r="C46" i="188"/>
  <c r="B46" i="188"/>
  <c r="N45" i="188"/>
  <c r="N44" i="188"/>
  <c r="N41" i="188"/>
  <c r="N40" i="188"/>
  <c r="N37" i="188"/>
  <c r="M34" i="188"/>
  <c r="M38" i="188"/>
  <c r="M42" i="188" s="1"/>
  <c r="L34" i="188"/>
  <c r="L38" i="188"/>
  <c r="L42" i="188"/>
  <c r="L48" i="188" s="1"/>
  <c r="L61" i="188" s="1"/>
  <c r="K34" i="188"/>
  <c r="K38" i="188" s="1"/>
  <c r="K42" i="188" s="1"/>
  <c r="J34" i="188"/>
  <c r="J38" i="188"/>
  <c r="J42" i="188" s="1"/>
  <c r="I34" i="188"/>
  <c r="I38" i="188"/>
  <c r="I42" i="188" s="1"/>
  <c r="I48" i="188" s="1"/>
  <c r="I61" i="188" s="1"/>
  <c r="H34" i="188"/>
  <c r="H38" i="188"/>
  <c r="H42" i="188"/>
  <c r="G34" i="188"/>
  <c r="G38" i="188" s="1"/>
  <c r="G42" i="188" s="1"/>
  <c r="F34" i="188"/>
  <c r="F38" i="188"/>
  <c r="F42" i="188" s="1"/>
  <c r="E34" i="188"/>
  <c r="E38" i="188"/>
  <c r="E42" i="188"/>
  <c r="E48" i="188" s="1"/>
  <c r="D34" i="188"/>
  <c r="D38" i="188"/>
  <c r="D42" i="188"/>
  <c r="C34" i="188"/>
  <c r="C38" i="188" s="1"/>
  <c r="C42" i="188" s="1"/>
  <c r="B34" i="188"/>
  <c r="AD33" i="188"/>
  <c r="AR33" i="188"/>
  <c r="AC33" i="188"/>
  <c r="AQ33" i="188" s="1"/>
  <c r="AA33" i="188"/>
  <c r="AO33" i="188"/>
  <c r="Z33" i="188"/>
  <c r="AN33" i="188" s="1"/>
  <c r="Y33" i="188"/>
  <c r="AM33" i="188"/>
  <c r="X33" i="188"/>
  <c r="AL33" i="188" s="1"/>
  <c r="W33" i="188"/>
  <c r="AK33" i="188"/>
  <c r="V33" i="188"/>
  <c r="AJ33" i="188" s="1"/>
  <c r="U33" i="188"/>
  <c r="AI33" i="188"/>
  <c r="T33" i="188"/>
  <c r="AH33" i="188" s="1"/>
  <c r="S33" i="188"/>
  <c r="AG33" i="188"/>
  <c r="R33" i="188"/>
  <c r="AF33" i="188" s="1"/>
  <c r="Q33" i="188"/>
  <c r="AE33" i="188"/>
  <c r="N33" i="188"/>
  <c r="AB33" i="188" s="1"/>
  <c r="AP33" i="188" s="1"/>
  <c r="AC32" i="188"/>
  <c r="AQ32" i="188"/>
  <c r="AA32" i="188"/>
  <c r="AO32" i="188" s="1"/>
  <c r="Z32" i="188"/>
  <c r="AN32" i="188"/>
  <c r="Y32" i="188"/>
  <c r="AM32" i="188" s="1"/>
  <c r="X32" i="188"/>
  <c r="AL32" i="188"/>
  <c r="W32" i="188"/>
  <c r="AK32" i="188" s="1"/>
  <c r="V32" i="188"/>
  <c r="AJ32" i="188"/>
  <c r="U32" i="188"/>
  <c r="AI32" i="188" s="1"/>
  <c r="T32" i="188"/>
  <c r="AH32" i="188"/>
  <c r="S32" i="188"/>
  <c r="AG32" i="188" s="1"/>
  <c r="R32" i="188"/>
  <c r="AF32" i="188"/>
  <c r="Q32" i="188"/>
  <c r="AE32" i="188" s="1"/>
  <c r="P32" i="188"/>
  <c r="AD32" i="188"/>
  <c r="AR32" i="188" s="1"/>
  <c r="N32" i="188"/>
  <c r="AB32" i="188"/>
  <c r="AP32" i="188"/>
  <c r="N31" i="188"/>
  <c r="N30" i="188"/>
  <c r="M26" i="188"/>
  <c r="L26" i="188"/>
  <c r="K26" i="188"/>
  <c r="J26" i="188"/>
  <c r="I26" i="188"/>
  <c r="H26" i="188"/>
  <c r="G26" i="188"/>
  <c r="F26" i="188"/>
  <c r="E26" i="188"/>
  <c r="D26" i="188"/>
  <c r="C26" i="188"/>
  <c r="B26" i="188"/>
  <c r="M25" i="188"/>
  <c r="L25" i="188"/>
  <c r="K25" i="188"/>
  <c r="J25" i="188"/>
  <c r="I25" i="188"/>
  <c r="H25" i="188"/>
  <c r="G25" i="188"/>
  <c r="F25" i="188"/>
  <c r="E25" i="188"/>
  <c r="D25" i="188"/>
  <c r="C25" i="188"/>
  <c r="B25" i="188"/>
  <c r="M24" i="188"/>
  <c r="L24" i="188"/>
  <c r="K24" i="188"/>
  <c r="K27" i="188" s="1"/>
  <c r="J24" i="188"/>
  <c r="I24" i="188"/>
  <c r="H24" i="188"/>
  <c r="G24" i="188"/>
  <c r="F24" i="188"/>
  <c r="E24" i="188"/>
  <c r="D24" i="188"/>
  <c r="C24" i="188"/>
  <c r="B24" i="188"/>
  <c r="M23" i="188"/>
  <c r="L23" i="188"/>
  <c r="L27" i="188"/>
  <c r="K23" i="188"/>
  <c r="J23" i="188"/>
  <c r="I23" i="188"/>
  <c r="I27" i="188" s="1"/>
  <c r="H23" i="188"/>
  <c r="G23" i="188"/>
  <c r="G27" i="188"/>
  <c r="F23" i="188"/>
  <c r="F27" i="188" s="1"/>
  <c r="E23" i="188"/>
  <c r="D23" i="188"/>
  <c r="C23" i="188"/>
  <c r="C27" i="188" s="1"/>
  <c r="B23" i="188"/>
  <c r="B27" i="188"/>
  <c r="M20" i="188"/>
  <c r="L20" i="188"/>
  <c r="K20" i="188"/>
  <c r="J20" i="188"/>
  <c r="J48" i="188"/>
  <c r="I20" i="188"/>
  <c r="H20" i="188"/>
  <c r="H48" i="188" s="1"/>
  <c r="H61" i="188" s="1"/>
  <c r="G20" i="188"/>
  <c r="F20" i="188"/>
  <c r="E20" i="188"/>
  <c r="D20" i="188"/>
  <c r="D48" i="188" s="1"/>
  <c r="C20" i="188"/>
  <c r="B20" i="188"/>
  <c r="N19" i="188"/>
  <c r="N17" i="188"/>
  <c r="N16" i="188"/>
  <c r="E13" i="188"/>
  <c r="F11" i="188"/>
  <c r="N11" i="188"/>
  <c r="M9" i="188"/>
  <c r="M13" i="188" s="1"/>
  <c r="L9" i="188"/>
  <c r="L13" i="188"/>
  <c r="K9" i="188"/>
  <c r="K13" i="188" s="1"/>
  <c r="J9" i="188"/>
  <c r="J13" i="188"/>
  <c r="I9" i="188"/>
  <c r="I13" i="188" s="1"/>
  <c r="H9" i="188"/>
  <c r="H13" i="188"/>
  <c r="G9" i="188"/>
  <c r="G13" i="188" s="1"/>
  <c r="F9" i="188"/>
  <c r="F13" i="188"/>
  <c r="D9" i="188"/>
  <c r="D13" i="188" s="1"/>
  <c r="C9" i="188"/>
  <c r="C13" i="188"/>
  <c r="B9" i="188"/>
  <c r="B13" i="188" s="1"/>
  <c r="N8" i="188"/>
  <c r="N7" i="188"/>
  <c r="N6" i="188"/>
  <c r="N9" i="188" s="1"/>
  <c r="N13" i="188" s="1"/>
  <c r="N5" i="188"/>
  <c r="N4" i="188"/>
  <c r="E85" i="189"/>
  <c r="F83" i="189"/>
  <c r="D27" i="188"/>
  <c r="J27" i="188"/>
  <c r="N20" i="188"/>
  <c r="N46" i="188"/>
  <c r="N55" i="188"/>
  <c r="F87" i="188"/>
  <c r="B85" i="188"/>
  <c r="H27" i="188"/>
  <c r="N24" i="188"/>
  <c r="N25" i="188"/>
  <c r="J50" i="188"/>
  <c r="N56" i="188"/>
  <c r="N26" i="188"/>
  <c r="D61" i="188"/>
  <c r="D83" i="188"/>
  <c r="C85" i="188"/>
  <c r="E50" i="188"/>
  <c r="E27" i="188"/>
  <c r="M27" i="188"/>
  <c r="D87" i="188"/>
  <c r="M87" i="187"/>
  <c r="L87" i="187"/>
  <c r="K87" i="187"/>
  <c r="J87" i="187"/>
  <c r="I87" i="187"/>
  <c r="H87" i="187"/>
  <c r="G87" i="187"/>
  <c r="B87" i="187"/>
  <c r="M84" i="187"/>
  <c r="L84" i="187"/>
  <c r="K84" i="187"/>
  <c r="J84" i="187"/>
  <c r="I84" i="187"/>
  <c r="H84" i="187"/>
  <c r="G84" i="187"/>
  <c r="F84" i="187"/>
  <c r="E84" i="187"/>
  <c r="D84" i="187"/>
  <c r="C84" i="187"/>
  <c r="B84" i="187"/>
  <c r="B83" i="187"/>
  <c r="C83" i="187" s="1"/>
  <c r="C85" i="187" s="1"/>
  <c r="N73" i="187"/>
  <c r="M58" i="187"/>
  <c r="L58" i="187"/>
  <c r="K58" i="187"/>
  <c r="J58" i="187"/>
  <c r="I58" i="187"/>
  <c r="H58" i="187"/>
  <c r="G58" i="187"/>
  <c r="F57" i="187"/>
  <c r="F87" i="187" s="1"/>
  <c r="N57" i="187"/>
  <c r="F56" i="187"/>
  <c r="E56" i="187"/>
  <c r="E87" i="187"/>
  <c r="D56" i="187"/>
  <c r="C56" i="187"/>
  <c r="C87" i="187"/>
  <c r="B55" i="187"/>
  <c r="N54" i="187"/>
  <c r="N53" i="187"/>
  <c r="M46" i="187"/>
  <c r="L46" i="187"/>
  <c r="K46" i="187"/>
  <c r="J46" i="187"/>
  <c r="I46" i="187"/>
  <c r="I48" i="187" s="1"/>
  <c r="I61" i="187" s="1"/>
  <c r="H46" i="187"/>
  <c r="G46" i="187"/>
  <c r="F46" i="187"/>
  <c r="E46" i="187"/>
  <c r="D46" i="187"/>
  <c r="C46" i="187"/>
  <c r="B46" i="187"/>
  <c r="B48" i="187" s="1"/>
  <c r="B50" i="187" s="1"/>
  <c r="N45" i="187"/>
  <c r="N44" i="187"/>
  <c r="N41" i="187"/>
  <c r="N40" i="187"/>
  <c r="N37" i="187"/>
  <c r="M34" i="187"/>
  <c r="M38" i="187" s="1"/>
  <c r="M42" i="187"/>
  <c r="L34" i="187"/>
  <c r="L38" i="187" s="1"/>
  <c r="L42" i="187" s="1"/>
  <c r="K34" i="187"/>
  <c r="K38" i="187" s="1"/>
  <c r="K42" i="187" s="1"/>
  <c r="J34" i="187"/>
  <c r="J38" i="187"/>
  <c r="J42" i="187"/>
  <c r="J48" i="187" s="1"/>
  <c r="J61" i="187" s="1"/>
  <c r="I34" i="187"/>
  <c r="I38" i="187"/>
  <c r="I42" i="187"/>
  <c r="H34" i="187"/>
  <c r="G34" i="187"/>
  <c r="G38" i="187"/>
  <c r="G42" i="187" s="1"/>
  <c r="F34" i="187"/>
  <c r="F38" i="187"/>
  <c r="F42" i="187" s="1"/>
  <c r="E34" i="187"/>
  <c r="E38" i="187"/>
  <c r="E42" i="187"/>
  <c r="E48" i="187" s="1"/>
  <c r="E50" i="187" s="1"/>
  <c r="D34" i="187"/>
  <c r="D38" i="187" s="1"/>
  <c r="D42" i="187" s="1"/>
  <c r="C34" i="187"/>
  <c r="C38" i="187"/>
  <c r="C42" i="187" s="1"/>
  <c r="C48" i="187" s="1"/>
  <c r="C61" i="187" s="1"/>
  <c r="C62" i="187" s="1"/>
  <c r="C72" i="187" s="1"/>
  <c r="B34" i="187"/>
  <c r="B38" i="187"/>
  <c r="B42" i="187" s="1"/>
  <c r="AD33" i="187"/>
  <c r="AR33" i="187" s="1"/>
  <c r="AC33" i="187"/>
  <c r="AQ33" i="187"/>
  <c r="AA33" i="187"/>
  <c r="AO33" i="187" s="1"/>
  <c r="Z33" i="187"/>
  <c r="AN33" i="187"/>
  <c r="Y33" i="187"/>
  <c r="AM33" i="187" s="1"/>
  <c r="X33" i="187"/>
  <c r="AL33" i="187"/>
  <c r="W33" i="187"/>
  <c r="AK33" i="187" s="1"/>
  <c r="V33" i="187"/>
  <c r="AJ33" i="187"/>
  <c r="U33" i="187"/>
  <c r="AI33" i="187" s="1"/>
  <c r="T33" i="187"/>
  <c r="AH33" i="187"/>
  <c r="S33" i="187"/>
  <c r="AG33" i="187" s="1"/>
  <c r="R33" i="187"/>
  <c r="AF33" i="187"/>
  <c r="Q33" i="187"/>
  <c r="AE33" i="187" s="1"/>
  <c r="N33" i="187"/>
  <c r="AB33" i="187"/>
  <c r="AP33" i="187"/>
  <c r="AC32" i="187"/>
  <c r="AQ32" i="187"/>
  <c r="AA32" i="187"/>
  <c r="AO32" i="187"/>
  <c r="Z32" i="187"/>
  <c r="AN32" i="187"/>
  <c r="Y32" i="187"/>
  <c r="AM32" i="187"/>
  <c r="X32" i="187"/>
  <c r="AL32" i="187"/>
  <c r="W32" i="187"/>
  <c r="AK32" i="187"/>
  <c r="V32" i="187"/>
  <c r="AJ32" i="187"/>
  <c r="U32" i="187"/>
  <c r="AI32" i="187"/>
  <c r="T32" i="187"/>
  <c r="AH32" i="187"/>
  <c r="S32" i="187"/>
  <c r="AG32" i="187"/>
  <c r="R32" i="187"/>
  <c r="AF32" i="187"/>
  <c r="Q32" i="187"/>
  <c r="AE32" i="187"/>
  <c r="P32" i="187"/>
  <c r="AD32" i="187"/>
  <c r="AR32" i="187"/>
  <c r="N32" i="187"/>
  <c r="AB32" i="187" s="1"/>
  <c r="AP32" i="187" s="1"/>
  <c r="N31" i="187"/>
  <c r="N30" i="187"/>
  <c r="M26" i="187"/>
  <c r="L26" i="187"/>
  <c r="K26" i="187"/>
  <c r="J26" i="187"/>
  <c r="I26" i="187"/>
  <c r="H26" i="187"/>
  <c r="G26" i="187"/>
  <c r="F26" i="187"/>
  <c r="E26" i="187"/>
  <c r="D26" i="187"/>
  <c r="C26" i="187"/>
  <c r="N26" i="187" s="1"/>
  <c r="B26" i="187"/>
  <c r="M25" i="187"/>
  <c r="L25" i="187"/>
  <c r="K25" i="187"/>
  <c r="J25" i="187"/>
  <c r="I25" i="187"/>
  <c r="H25" i="187"/>
  <c r="G25" i="187"/>
  <c r="F25" i="187"/>
  <c r="E25" i="187"/>
  <c r="D25" i="187"/>
  <c r="C25" i="187"/>
  <c r="N25" i="187" s="1"/>
  <c r="B25" i="187"/>
  <c r="M24" i="187"/>
  <c r="L24" i="187"/>
  <c r="K24" i="187"/>
  <c r="J24" i="187"/>
  <c r="J27" i="187" s="1"/>
  <c r="I24" i="187"/>
  <c r="H24" i="187"/>
  <c r="G24" i="187"/>
  <c r="G27" i="187" s="1"/>
  <c r="F24" i="187"/>
  <c r="E24" i="187"/>
  <c r="D24" i="187"/>
  <c r="C24" i="187"/>
  <c r="C27" i="187" s="1"/>
  <c r="B24" i="187"/>
  <c r="M23" i="187"/>
  <c r="L23" i="187"/>
  <c r="K23" i="187"/>
  <c r="K27" i="187" s="1"/>
  <c r="J23" i="187"/>
  <c r="I23" i="187"/>
  <c r="H23" i="187"/>
  <c r="H27" i="187" s="1"/>
  <c r="G23" i="187"/>
  <c r="F23" i="187"/>
  <c r="F27" i="187"/>
  <c r="E23" i="187"/>
  <c r="E27" i="187" s="1"/>
  <c r="D23" i="187"/>
  <c r="C23" i="187"/>
  <c r="B23" i="187"/>
  <c r="B27" i="187" s="1"/>
  <c r="M20" i="187"/>
  <c r="L20" i="187"/>
  <c r="K20" i="187"/>
  <c r="J20" i="187"/>
  <c r="I20" i="187"/>
  <c r="H20" i="187"/>
  <c r="G20" i="187"/>
  <c r="F20" i="187"/>
  <c r="E20" i="187"/>
  <c r="D20" i="187"/>
  <c r="C20" i="187"/>
  <c r="B20" i="187"/>
  <c r="N19" i="187"/>
  <c r="N17" i="187"/>
  <c r="N16" i="187"/>
  <c r="N20" i="187" s="1"/>
  <c r="E13" i="187"/>
  <c r="F11" i="187"/>
  <c r="N11" i="187"/>
  <c r="M9" i="187"/>
  <c r="M13" i="187" s="1"/>
  <c r="L9" i="187"/>
  <c r="L13" i="187"/>
  <c r="L62" i="187" s="1"/>
  <c r="K9" i="187"/>
  <c r="K13" i="187" s="1"/>
  <c r="J9" i="187"/>
  <c r="J13" i="187"/>
  <c r="I9" i="187"/>
  <c r="I13" i="187" s="1"/>
  <c r="H9" i="187"/>
  <c r="H13" i="187"/>
  <c r="G9" i="187"/>
  <c r="G13" i="187" s="1"/>
  <c r="F9" i="187"/>
  <c r="F13" i="187"/>
  <c r="D9" i="187"/>
  <c r="D13" i="187" s="1"/>
  <c r="C9" i="187"/>
  <c r="C13" i="187"/>
  <c r="C50" i="187" s="1"/>
  <c r="B9" i="187"/>
  <c r="B13" i="187" s="1"/>
  <c r="N8" i="187"/>
  <c r="N7" i="187"/>
  <c r="N6" i="187"/>
  <c r="N5" i="187"/>
  <c r="N4" i="187"/>
  <c r="G83" i="189"/>
  <c r="N46" i="187"/>
  <c r="F58" i="187"/>
  <c r="D48" i="187"/>
  <c r="L48" i="187"/>
  <c r="L61" i="187" s="1"/>
  <c r="L72" i="187"/>
  <c r="D27" i="187"/>
  <c r="L27" i="187"/>
  <c r="B85" i="187"/>
  <c r="C88" i="187"/>
  <c r="N9" i="187"/>
  <c r="N13" i="187" s="1"/>
  <c r="D83" i="187"/>
  <c r="E83" i="187" s="1"/>
  <c r="E85" i="187" s="1"/>
  <c r="I27" i="187"/>
  <c r="M27" i="187"/>
  <c r="C58" i="187"/>
  <c r="D58" i="187"/>
  <c r="D61" i="187" s="1"/>
  <c r="E58" i="187"/>
  <c r="F11" i="186"/>
  <c r="H83" i="189"/>
  <c r="D62" i="187"/>
  <c r="D72" i="187" s="1"/>
  <c r="F57" i="186"/>
  <c r="F56" i="186"/>
  <c r="I83" i="189"/>
  <c r="H85" i="189"/>
  <c r="M87" i="186"/>
  <c r="L87" i="186"/>
  <c r="K87" i="186"/>
  <c r="J87" i="186"/>
  <c r="I87" i="186"/>
  <c r="H87" i="186"/>
  <c r="G87" i="186"/>
  <c r="B87" i="186"/>
  <c r="M84" i="186"/>
  <c r="L84" i="186"/>
  <c r="K84" i="186"/>
  <c r="J84" i="186"/>
  <c r="I84" i="186"/>
  <c r="H84" i="186"/>
  <c r="G84" i="186"/>
  <c r="F84" i="186"/>
  <c r="E84" i="186"/>
  <c r="D84" i="186"/>
  <c r="C84" i="186"/>
  <c r="B84" i="186"/>
  <c r="B83" i="186"/>
  <c r="B85" i="186" s="1"/>
  <c r="N73" i="186"/>
  <c r="M58" i="186"/>
  <c r="L58" i="186"/>
  <c r="K58" i="186"/>
  <c r="J58" i="186"/>
  <c r="I58" i="186"/>
  <c r="H58" i="186"/>
  <c r="G58" i="186"/>
  <c r="E56" i="186"/>
  <c r="E58" i="186" s="1"/>
  <c r="E61" i="186" s="1"/>
  <c r="E62" i="186" s="1"/>
  <c r="E72" i="186" s="1"/>
  <c r="E87" i="186"/>
  <c r="D56" i="186"/>
  <c r="D87" i="186" s="1"/>
  <c r="C56" i="186"/>
  <c r="C87" i="186"/>
  <c r="B55" i="186"/>
  <c r="B58" i="186" s="1"/>
  <c r="N54" i="186"/>
  <c r="N53" i="186"/>
  <c r="M46" i="186"/>
  <c r="L46" i="186"/>
  <c r="K46" i="186"/>
  <c r="J46" i="186"/>
  <c r="I46" i="186"/>
  <c r="H46" i="186"/>
  <c r="G46" i="186"/>
  <c r="F46" i="186"/>
  <c r="E46" i="186"/>
  <c r="D46" i="186"/>
  <c r="C46" i="186"/>
  <c r="B46" i="186"/>
  <c r="N45" i="186"/>
  <c r="N44" i="186"/>
  <c r="N41" i="186"/>
  <c r="N40" i="186"/>
  <c r="N37" i="186"/>
  <c r="M34" i="186"/>
  <c r="M38" i="186"/>
  <c r="M42" i="186" s="1"/>
  <c r="M48" i="186" s="1"/>
  <c r="L34" i="186"/>
  <c r="L38" i="186" s="1"/>
  <c r="L42" i="186"/>
  <c r="L48" i="186" s="1"/>
  <c r="L61" i="186" s="1"/>
  <c r="K34" i="186"/>
  <c r="K38" i="186" s="1"/>
  <c r="K42" i="186" s="1"/>
  <c r="J34" i="186"/>
  <c r="J38" i="186"/>
  <c r="J42" i="186" s="1"/>
  <c r="I34" i="186"/>
  <c r="I38" i="186"/>
  <c r="I42" i="186" s="1"/>
  <c r="I48" i="186" s="1"/>
  <c r="I50" i="186" s="1"/>
  <c r="H34" i="186"/>
  <c r="H38" i="186"/>
  <c r="H42" i="186"/>
  <c r="G34" i="186"/>
  <c r="G38" i="186" s="1"/>
  <c r="G42" i="186" s="1"/>
  <c r="F34" i="186"/>
  <c r="F38" i="186"/>
  <c r="F42" i="186" s="1"/>
  <c r="F48" i="186" s="1"/>
  <c r="E34" i="186"/>
  <c r="E38" i="186"/>
  <c r="E42" i="186"/>
  <c r="D34" i="186"/>
  <c r="D38" i="186"/>
  <c r="D42" i="186"/>
  <c r="C34" i="186"/>
  <c r="B34" i="186"/>
  <c r="B38" i="186" s="1"/>
  <c r="AD33" i="186"/>
  <c r="AR33" i="186"/>
  <c r="AC33" i="186"/>
  <c r="AQ33" i="186" s="1"/>
  <c r="AA33" i="186"/>
  <c r="AO33" i="186"/>
  <c r="Z33" i="186"/>
  <c r="AN33" i="186" s="1"/>
  <c r="Y33" i="186"/>
  <c r="AM33" i="186"/>
  <c r="X33" i="186"/>
  <c r="AL33" i="186" s="1"/>
  <c r="W33" i="186"/>
  <c r="AK33" i="186"/>
  <c r="V33" i="186"/>
  <c r="AJ33" i="186" s="1"/>
  <c r="U33" i="186"/>
  <c r="AI33" i="186"/>
  <c r="T33" i="186"/>
  <c r="AH33" i="186" s="1"/>
  <c r="S33" i="186"/>
  <c r="AG33" i="186"/>
  <c r="R33" i="186"/>
  <c r="AF33" i="186" s="1"/>
  <c r="Q33" i="186"/>
  <c r="AE33" i="186"/>
  <c r="N33" i="186"/>
  <c r="AB33" i="186" s="1"/>
  <c r="AP33" i="186" s="1"/>
  <c r="AC32" i="186"/>
  <c r="AQ32" i="186"/>
  <c r="AA32" i="186"/>
  <c r="AO32" i="186"/>
  <c r="Z32" i="186"/>
  <c r="AN32" i="186"/>
  <c r="Y32" i="186"/>
  <c r="AM32" i="186"/>
  <c r="X32" i="186"/>
  <c r="AL32" i="186"/>
  <c r="W32" i="186"/>
  <c r="AK32" i="186"/>
  <c r="V32" i="186"/>
  <c r="AJ32" i="186"/>
  <c r="U32" i="186"/>
  <c r="AI32" i="186"/>
  <c r="T32" i="186"/>
  <c r="AH32" i="186"/>
  <c r="S32" i="186"/>
  <c r="AG32" i="186"/>
  <c r="R32" i="186"/>
  <c r="AF32" i="186"/>
  <c r="Q32" i="186"/>
  <c r="AE32" i="186"/>
  <c r="P32" i="186"/>
  <c r="AD32" i="186"/>
  <c r="AR32" i="186" s="1"/>
  <c r="N32" i="186"/>
  <c r="AB32" i="186"/>
  <c r="AP32" i="186"/>
  <c r="N31" i="186"/>
  <c r="N30" i="186"/>
  <c r="M26" i="186"/>
  <c r="L26" i="186"/>
  <c r="K26" i="186"/>
  <c r="J26" i="186"/>
  <c r="I26" i="186"/>
  <c r="H26" i="186"/>
  <c r="G26" i="186"/>
  <c r="F26" i="186"/>
  <c r="E26" i="186"/>
  <c r="D26" i="186"/>
  <c r="N26" i="186" s="1"/>
  <c r="C26" i="186"/>
  <c r="B26" i="186"/>
  <c r="M25" i="186"/>
  <c r="L25" i="186"/>
  <c r="K25" i="186"/>
  <c r="J25" i="186"/>
  <c r="I25" i="186"/>
  <c r="H25" i="186"/>
  <c r="G25" i="186"/>
  <c r="F25" i="186"/>
  <c r="E25" i="186"/>
  <c r="D25" i="186"/>
  <c r="C25" i="186"/>
  <c r="B25" i="186"/>
  <c r="M24" i="186"/>
  <c r="L24" i="186"/>
  <c r="K24" i="186"/>
  <c r="J24" i="186"/>
  <c r="I24" i="186"/>
  <c r="H24" i="186"/>
  <c r="G24" i="186"/>
  <c r="F24" i="186"/>
  <c r="E24" i="186"/>
  <c r="D24" i="186"/>
  <c r="D27" i="186" s="1"/>
  <c r="C24" i="186"/>
  <c r="B24" i="186"/>
  <c r="M23" i="186"/>
  <c r="M27" i="186"/>
  <c r="L23" i="186"/>
  <c r="L27" i="186" s="1"/>
  <c r="K23" i="186"/>
  <c r="J23" i="186"/>
  <c r="J27" i="186" s="1"/>
  <c r="I23" i="186"/>
  <c r="I27" i="186"/>
  <c r="H23" i="186"/>
  <c r="G23" i="186"/>
  <c r="F23" i="186"/>
  <c r="F27" i="186" s="1"/>
  <c r="E23" i="186"/>
  <c r="E27" i="186" s="1"/>
  <c r="D23" i="186"/>
  <c r="C23" i="186"/>
  <c r="B23" i="186"/>
  <c r="N23" i="186" s="1"/>
  <c r="N27" i="186" s="1"/>
  <c r="M20" i="186"/>
  <c r="L20" i="186"/>
  <c r="K20" i="186"/>
  <c r="K48" i="186" s="1"/>
  <c r="J20" i="186"/>
  <c r="I20" i="186"/>
  <c r="H20" i="186"/>
  <c r="H48" i="186"/>
  <c r="H61" i="186" s="1"/>
  <c r="H62" i="186" s="1"/>
  <c r="H72" i="186" s="1"/>
  <c r="G20" i="186"/>
  <c r="F20" i="186"/>
  <c r="E20" i="186"/>
  <c r="D20" i="186"/>
  <c r="D48" i="186" s="1"/>
  <c r="C20" i="186"/>
  <c r="B20" i="186"/>
  <c r="N19" i="186"/>
  <c r="N17" i="186"/>
  <c r="N16" i="186"/>
  <c r="E13" i="186"/>
  <c r="N11" i="186"/>
  <c r="M9" i="186"/>
  <c r="M13" i="186" s="1"/>
  <c r="L9" i="186"/>
  <c r="L13" i="186" s="1"/>
  <c r="K9" i="186"/>
  <c r="K13" i="186" s="1"/>
  <c r="J9" i="186"/>
  <c r="J13" i="186"/>
  <c r="J50" i="186" s="1"/>
  <c r="I9" i="186"/>
  <c r="I13" i="186" s="1"/>
  <c r="H9" i="186"/>
  <c r="H13" i="186"/>
  <c r="H50" i="186" s="1"/>
  <c r="G9" i="186"/>
  <c r="G13" i="186" s="1"/>
  <c r="G62" i="186" s="1"/>
  <c r="G72" i="186" s="1"/>
  <c r="F9" i="186"/>
  <c r="F13" i="186"/>
  <c r="D9" i="186"/>
  <c r="D13" i="186" s="1"/>
  <c r="C9" i="186"/>
  <c r="C13" i="186" s="1"/>
  <c r="B9" i="186"/>
  <c r="B13" i="186" s="1"/>
  <c r="N8" i="186"/>
  <c r="N7" i="186"/>
  <c r="N9" i="186" s="1"/>
  <c r="N13" i="186" s="1"/>
  <c r="N6" i="186"/>
  <c r="N5" i="186"/>
  <c r="N4" i="186"/>
  <c r="I85" i="189"/>
  <c r="J83" i="189"/>
  <c r="N55" i="186"/>
  <c r="N46" i="186"/>
  <c r="N34" i="186"/>
  <c r="E48" i="186"/>
  <c r="E50" i="186" s="1"/>
  <c r="D58" i="186"/>
  <c r="C83" i="186"/>
  <c r="D83" i="186" s="1"/>
  <c r="C85" i="186"/>
  <c r="J48" i="186"/>
  <c r="N24" i="186"/>
  <c r="N25" i="186"/>
  <c r="G48" i="186"/>
  <c r="G61" i="186"/>
  <c r="D50" i="186"/>
  <c r="D61" i="186"/>
  <c r="L62" i="186"/>
  <c r="L72" i="186" s="1"/>
  <c r="F50" i="186"/>
  <c r="I61" i="186"/>
  <c r="I62" i="186" s="1"/>
  <c r="I72" i="186" s="1"/>
  <c r="C88" i="186"/>
  <c r="D88" i="186"/>
  <c r="E88" i="186" s="1"/>
  <c r="N20" i="186"/>
  <c r="C27" i="186"/>
  <c r="G27" i="186"/>
  <c r="K27" i="186"/>
  <c r="C58" i="186"/>
  <c r="E56" i="185"/>
  <c r="K83" i="189"/>
  <c r="J61" i="186"/>
  <c r="G50" i="186"/>
  <c r="M87" i="185"/>
  <c r="L87" i="185"/>
  <c r="K87" i="185"/>
  <c r="J87" i="185"/>
  <c r="I87" i="185"/>
  <c r="H87" i="185"/>
  <c r="G87" i="185"/>
  <c r="F87" i="185"/>
  <c r="E87" i="185"/>
  <c r="B87" i="185"/>
  <c r="M84" i="185"/>
  <c r="L84" i="185"/>
  <c r="K84" i="185"/>
  <c r="J84" i="185"/>
  <c r="I84" i="185"/>
  <c r="H84" i="185"/>
  <c r="G84" i="185"/>
  <c r="F84" i="185"/>
  <c r="E84" i="185"/>
  <c r="D84" i="185"/>
  <c r="C84" i="185"/>
  <c r="B84" i="185"/>
  <c r="B85" i="185" s="1"/>
  <c r="B83" i="185"/>
  <c r="N73" i="185"/>
  <c r="M58" i="185"/>
  <c r="M61" i="185" s="1"/>
  <c r="L58" i="185"/>
  <c r="K58" i="185"/>
  <c r="J58" i="185"/>
  <c r="I58" i="185"/>
  <c r="I61" i="185" s="1"/>
  <c r="I62" i="185" s="1"/>
  <c r="I72" i="185" s="1"/>
  <c r="H58" i="185"/>
  <c r="G58" i="185"/>
  <c r="F58" i="185"/>
  <c r="E58" i="185"/>
  <c r="N57" i="185"/>
  <c r="D56" i="185"/>
  <c r="D58" i="185"/>
  <c r="C56" i="185"/>
  <c r="C58" i="185" s="1"/>
  <c r="C61" i="185" s="1"/>
  <c r="B55" i="185"/>
  <c r="B58" i="185"/>
  <c r="N54" i="185"/>
  <c r="N53" i="185"/>
  <c r="M46" i="185"/>
  <c r="L46" i="185"/>
  <c r="K46" i="185"/>
  <c r="J46" i="185"/>
  <c r="I46" i="185"/>
  <c r="H46" i="185"/>
  <c r="G46" i="185"/>
  <c r="F46" i="185"/>
  <c r="E46" i="185"/>
  <c r="D46" i="185"/>
  <c r="C46" i="185"/>
  <c r="B46" i="185"/>
  <c r="N45" i="185"/>
  <c r="N44" i="185"/>
  <c r="N46" i="185"/>
  <c r="N41" i="185"/>
  <c r="N40" i="185"/>
  <c r="N37" i="185"/>
  <c r="M34" i="185"/>
  <c r="M38" i="185"/>
  <c r="M42" i="185" s="1"/>
  <c r="M48" i="185" s="1"/>
  <c r="M50" i="185" s="1"/>
  <c r="L34" i="185"/>
  <c r="L38" i="185"/>
  <c r="L42" i="185"/>
  <c r="L48" i="185" s="1"/>
  <c r="K34" i="185"/>
  <c r="K38" i="185"/>
  <c r="K42" i="185"/>
  <c r="J34" i="185"/>
  <c r="I34" i="185"/>
  <c r="I38" i="185"/>
  <c r="I42" i="185" s="1"/>
  <c r="H34" i="185"/>
  <c r="H38" i="185"/>
  <c r="H42" i="185"/>
  <c r="G34" i="185"/>
  <c r="G38" i="185"/>
  <c r="G42" i="185"/>
  <c r="F34" i="185"/>
  <c r="E34" i="185"/>
  <c r="E38" i="185"/>
  <c r="E42" i="185" s="1"/>
  <c r="D34" i="185"/>
  <c r="D38" i="185"/>
  <c r="D42" i="185"/>
  <c r="D48" i="185" s="1"/>
  <c r="C34" i="185"/>
  <c r="C38" i="185"/>
  <c r="C42" i="185"/>
  <c r="B34" i="185"/>
  <c r="B38" i="185" s="1"/>
  <c r="AD33" i="185"/>
  <c r="AR33" i="185"/>
  <c r="AC33" i="185"/>
  <c r="AQ33" i="185" s="1"/>
  <c r="AA33" i="185"/>
  <c r="AO33" i="185"/>
  <c r="Z33" i="185"/>
  <c r="AN33" i="185" s="1"/>
  <c r="Y33" i="185"/>
  <c r="AM33" i="185"/>
  <c r="X33" i="185"/>
  <c r="AL33" i="185" s="1"/>
  <c r="W33" i="185"/>
  <c r="AK33" i="185"/>
  <c r="V33" i="185"/>
  <c r="AJ33" i="185" s="1"/>
  <c r="U33" i="185"/>
  <c r="AI33" i="185"/>
  <c r="T33" i="185"/>
  <c r="AH33" i="185" s="1"/>
  <c r="S33" i="185"/>
  <c r="AG33" i="185"/>
  <c r="R33" i="185"/>
  <c r="AF33" i="185" s="1"/>
  <c r="Q33" i="185"/>
  <c r="AE33" i="185"/>
  <c r="N33" i="185"/>
  <c r="AB33" i="185" s="1"/>
  <c r="AP33" i="185" s="1"/>
  <c r="AC32" i="185"/>
  <c r="AQ32" i="185" s="1"/>
  <c r="AA32" i="185"/>
  <c r="AO32" i="185"/>
  <c r="Z32" i="185"/>
  <c r="AN32" i="185" s="1"/>
  <c r="Y32" i="185"/>
  <c r="AM32" i="185"/>
  <c r="X32" i="185"/>
  <c r="AL32" i="185" s="1"/>
  <c r="W32" i="185"/>
  <c r="AK32" i="185"/>
  <c r="V32" i="185"/>
  <c r="AJ32" i="185" s="1"/>
  <c r="U32" i="185"/>
  <c r="AI32" i="185"/>
  <c r="T32" i="185"/>
  <c r="AH32" i="185" s="1"/>
  <c r="S32" i="185"/>
  <c r="AG32" i="185"/>
  <c r="R32" i="185"/>
  <c r="AF32" i="185" s="1"/>
  <c r="Q32" i="185"/>
  <c r="AE32" i="185"/>
  <c r="P32" i="185"/>
  <c r="AD32" i="185" s="1"/>
  <c r="AR32" i="185" s="1"/>
  <c r="N32" i="185"/>
  <c r="AB32" i="185"/>
  <c r="AP32" i="185" s="1"/>
  <c r="N31" i="185"/>
  <c r="N30" i="185"/>
  <c r="M26" i="185"/>
  <c r="L26" i="185"/>
  <c r="K26" i="185"/>
  <c r="J26" i="185"/>
  <c r="I26" i="185"/>
  <c r="H26" i="185"/>
  <c r="G26" i="185"/>
  <c r="F26" i="185"/>
  <c r="E26" i="185"/>
  <c r="N26" i="185" s="1"/>
  <c r="D26" i="185"/>
  <c r="C26" i="185"/>
  <c r="B26" i="185"/>
  <c r="M25" i="185"/>
  <c r="L25" i="185"/>
  <c r="K25" i="185"/>
  <c r="J25" i="185"/>
  <c r="I25" i="185"/>
  <c r="H25" i="185"/>
  <c r="G25" i="185"/>
  <c r="F25" i="185"/>
  <c r="E25" i="185"/>
  <c r="D25" i="185"/>
  <c r="C25" i="185"/>
  <c r="B25" i="185"/>
  <c r="M24" i="185"/>
  <c r="L24" i="185"/>
  <c r="K24" i="185"/>
  <c r="J24" i="185"/>
  <c r="J27" i="185" s="1"/>
  <c r="I24" i="185"/>
  <c r="H24" i="185"/>
  <c r="G24" i="185"/>
  <c r="F24" i="185"/>
  <c r="E24" i="185"/>
  <c r="D24" i="185"/>
  <c r="C24" i="185"/>
  <c r="B24" i="185"/>
  <c r="M23" i="185"/>
  <c r="M27" i="185" s="1"/>
  <c r="L23" i="185"/>
  <c r="L27" i="185"/>
  <c r="K23" i="185"/>
  <c r="K27" i="185" s="1"/>
  <c r="J23" i="185"/>
  <c r="I23" i="185"/>
  <c r="I27" i="185"/>
  <c r="H23" i="185"/>
  <c r="H27" i="185" s="1"/>
  <c r="G23" i="185"/>
  <c r="G27" i="185"/>
  <c r="F23" i="185"/>
  <c r="F27" i="185" s="1"/>
  <c r="E23" i="185"/>
  <c r="E27" i="185"/>
  <c r="D23" i="185"/>
  <c r="D27" i="185" s="1"/>
  <c r="C23" i="185"/>
  <c r="C27" i="185"/>
  <c r="B23" i="185"/>
  <c r="M20" i="185"/>
  <c r="L20" i="185"/>
  <c r="K20" i="185"/>
  <c r="K48" i="185" s="1"/>
  <c r="K61" i="185" s="1"/>
  <c r="J20" i="185"/>
  <c r="I20" i="185"/>
  <c r="I48" i="185" s="1"/>
  <c r="H20" i="185"/>
  <c r="H48" i="185" s="1"/>
  <c r="H61" i="185" s="1"/>
  <c r="G20" i="185"/>
  <c r="G48" i="185" s="1"/>
  <c r="G61" i="185" s="1"/>
  <c r="G62" i="185" s="1"/>
  <c r="F20" i="185"/>
  <c r="E20" i="185"/>
  <c r="D20" i="185"/>
  <c r="C20" i="185"/>
  <c r="C48" i="185"/>
  <c r="B20" i="185"/>
  <c r="N19" i="185"/>
  <c r="N17" i="185"/>
  <c r="N16" i="185"/>
  <c r="N20" i="185"/>
  <c r="N11" i="185"/>
  <c r="M9" i="185"/>
  <c r="M13" i="185"/>
  <c r="L9" i="185"/>
  <c r="L13" i="185" s="1"/>
  <c r="K9" i="185"/>
  <c r="K13" i="185"/>
  <c r="K62" i="185" s="1"/>
  <c r="K72" i="185" s="1"/>
  <c r="J9" i="185"/>
  <c r="J13" i="185" s="1"/>
  <c r="I9" i="185"/>
  <c r="I13" i="185"/>
  <c r="I50" i="185" s="1"/>
  <c r="H9" i="185"/>
  <c r="H13" i="185" s="1"/>
  <c r="G9" i="185"/>
  <c r="G13" i="185"/>
  <c r="F9" i="185"/>
  <c r="F13" i="185" s="1"/>
  <c r="E13" i="185"/>
  <c r="D9" i="185"/>
  <c r="D13" i="185"/>
  <c r="C9" i="185"/>
  <c r="C13" i="185" s="1"/>
  <c r="C62" i="185" s="1"/>
  <c r="C72" i="185" s="1"/>
  <c r="B9" i="185"/>
  <c r="B13" i="185"/>
  <c r="N8" i="185"/>
  <c r="N7" i="185"/>
  <c r="N6" i="185"/>
  <c r="N5" i="185"/>
  <c r="N9" i="185" s="1"/>
  <c r="N13" i="185" s="1"/>
  <c r="N4" i="185"/>
  <c r="L83" i="189"/>
  <c r="K85" i="189"/>
  <c r="N55" i="185"/>
  <c r="N34" i="185"/>
  <c r="N23" i="185"/>
  <c r="G72" i="185"/>
  <c r="L61" i="185"/>
  <c r="B27" i="185"/>
  <c r="C83" i="185"/>
  <c r="C85" i="185" s="1"/>
  <c r="D87" i="185"/>
  <c r="M83" i="189"/>
  <c r="M85" i="189"/>
  <c r="L85" i="189"/>
  <c r="D83" i="185"/>
  <c r="D56" i="184"/>
  <c r="M87" i="184"/>
  <c r="L87" i="184"/>
  <c r="K87" i="184"/>
  <c r="J87" i="184"/>
  <c r="I87" i="184"/>
  <c r="H87" i="184"/>
  <c r="G87" i="184"/>
  <c r="F87" i="184"/>
  <c r="E87" i="184"/>
  <c r="D87" i="184"/>
  <c r="B87" i="184"/>
  <c r="M84" i="184"/>
  <c r="L84" i="184"/>
  <c r="K84" i="184"/>
  <c r="J84" i="184"/>
  <c r="I84" i="184"/>
  <c r="H84" i="184"/>
  <c r="G84" i="184"/>
  <c r="F84" i="184"/>
  <c r="E84" i="184"/>
  <c r="D84" i="184"/>
  <c r="C84" i="184"/>
  <c r="C85" i="184" s="1"/>
  <c r="B84" i="184"/>
  <c r="B83" i="184"/>
  <c r="B85" i="184"/>
  <c r="N82" i="184"/>
  <c r="N73" i="184"/>
  <c r="M58" i="184"/>
  <c r="L58" i="184"/>
  <c r="K58" i="184"/>
  <c r="J58" i="184"/>
  <c r="I58" i="184"/>
  <c r="H58" i="184"/>
  <c r="G58" i="184"/>
  <c r="F58" i="184"/>
  <c r="E58" i="184"/>
  <c r="D58" i="184"/>
  <c r="N57" i="184"/>
  <c r="C56" i="184"/>
  <c r="N56" i="184" s="1"/>
  <c r="B55" i="184"/>
  <c r="B58" i="184"/>
  <c r="N54" i="184"/>
  <c r="N53" i="184"/>
  <c r="M46" i="184"/>
  <c r="L46" i="184"/>
  <c r="K46" i="184"/>
  <c r="J46" i="184"/>
  <c r="I46" i="184"/>
  <c r="H46" i="184"/>
  <c r="G46" i="184"/>
  <c r="F46" i="184"/>
  <c r="E46" i="184"/>
  <c r="D46" i="184"/>
  <c r="C46" i="184"/>
  <c r="B46" i="184"/>
  <c r="N45" i="184"/>
  <c r="N44" i="184"/>
  <c r="N41" i="184"/>
  <c r="N40" i="184"/>
  <c r="N37" i="184"/>
  <c r="M34" i="184"/>
  <c r="L34" i="184"/>
  <c r="L38" i="184"/>
  <c r="L42" i="184" s="1"/>
  <c r="K34" i="184"/>
  <c r="K38" i="184"/>
  <c r="K42" i="184"/>
  <c r="K48" i="184" s="1"/>
  <c r="J34" i="184"/>
  <c r="J38" i="184"/>
  <c r="J42" i="184"/>
  <c r="I34" i="184"/>
  <c r="I38" i="184" s="1"/>
  <c r="I42" i="184" s="1"/>
  <c r="H34" i="184"/>
  <c r="H38" i="184"/>
  <c r="H42" i="184" s="1"/>
  <c r="G34" i="184"/>
  <c r="G38" i="184"/>
  <c r="G42" i="184"/>
  <c r="F34" i="184"/>
  <c r="F38" i="184" s="1"/>
  <c r="F42" i="184" s="1"/>
  <c r="F48" i="184" s="1"/>
  <c r="F61" i="184" s="1"/>
  <c r="E34" i="184"/>
  <c r="D34" i="184"/>
  <c r="D48" i="184" s="1"/>
  <c r="D61" i="184" s="1"/>
  <c r="D38" i="184"/>
  <c r="D42" i="184" s="1"/>
  <c r="C34" i="184"/>
  <c r="C38" i="184"/>
  <c r="C42" i="184"/>
  <c r="C48" i="184" s="1"/>
  <c r="C61" i="184" s="1"/>
  <c r="B34" i="184"/>
  <c r="B38" i="184"/>
  <c r="AD33" i="184"/>
  <c r="AR33" i="184"/>
  <c r="AC33" i="184"/>
  <c r="AQ33" i="184" s="1"/>
  <c r="AA33" i="184"/>
  <c r="AO33" i="184"/>
  <c r="Z33" i="184"/>
  <c r="AN33" i="184" s="1"/>
  <c r="Y33" i="184"/>
  <c r="AM33" i="184"/>
  <c r="X33" i="184"/>
  <c r="AL33" i="184" s="1"/>
  <c r="W33" i="184"/>
  <c r="AK33" i="184"/>
  <c r="V33" i="184"/>
  <c r="AJ33" i="184" s="1"/>
  <c r="U33" i="184"/>
  <c r="AI33" i="184"/>
  <c r="T33" i="184"/>
  <c r="AH33" i="184" s="1"/>
  <c r="S33" i="184"/>
  <c r="AG33" i="184"/>
  <c r="R33" i="184"/>
  <c r="AF33" i="184" s="1"/>
  <c r="Q33" i="184"/>
  <c r="AE33" i="184"/>
  <c r="N33" i="184"/>
  <c r="AB33" i="184" s="1"/>
  <c r="AP33" i="184" s="1"/>
  <c r="AC32" i="184"/>
  <c r="AQ32" i="184" s="1"/>
  <c r="AA32" i="184"/>
  <c r="AO32" i="184"/>
  <c r="Z32" i="184"/>
  <c r="AN32" i="184" s="1"/>
  <c r="Y32" i="184"/>
  <c r="AM32" i="184"/>
  <c r="X32" i="184"/>
  <c r="AL32" i="184" s="1"/>
  <c r="W32" i="184"/>
  <c r="AK32" i="184"/>
  <c r="V32" i="184"/>
  <c r="AJ32" i="184" s="1"/>
  <c r="U32" i="184"/>
  <c r="AI32" i="184"/>
  <c r="T32" i="184"/>
  <c r="AH32" i="184" s="1"/>
  <c r="S32" i="184"/>
  <c r="AG32" i="184"/>
  <c r="R32" i="184"/>
  <c r="AF32" i="184" s="1"/>
  <c r="Q32" i="184"/>
  <c r="AE32" i="184"/>
  <c r="P32" i="184"/>
  <c r="AD32" i="184" s="1"/>
  <c r="AR32" i="184" s="1"/>
  <c r="N32" i="184"/>
  <c r="AB32" i="184"/>
  <c r="AP32" i="184" s="1"/>
  <c r="N31" i="184"/>
  <c r="N30" i="184"/>
  <c r="N34" i="184" s="1"/>
  <c r="M26" i="184"/>
  <c r="L26" i="184"/>
  <c r="K26" i="184"/>
  <c r="J26" i="184"/>
  <c r="I26" i="184"/>
  <c r="H26" i="184"/>
  <c r="G26" i="184"/>
  <c r="F26" i="184"/>
  <c r="E26" i="184"/>
  <c r="D26" i="184"/>
  <c r="C26" i="184"/>
  <c r="B26" i="184"/>
  <c r="N26" i="184" s="1"/>
  <c r="M25" i="184"/>
  <c r="L25" i="184"/>
  <c r="K25" i="184"/>
  <c r="J25" i="184"/>
  <c r="I25" i="184"/>
  <c r="H25" i="184"/>
  <c r="G25" i="184"/>
  <c r="F25" i="184"/>
  <c r="E25" i="184"/>
  <c r="D25" i="184"/>
  <c r="C25" i="184"/>
  <c r="B25" i="184"/>
  <c r="M24" i="184"/>
  <c r="L24" i="184"/>
  <c r="K24" i="184"/>
  <c r="J24" i="184"/>
  <c r="I24" i="184"/>
  <c r="H24" i="184"/>
  <c r="G24" i="184"/>
  <c r="F24" i="184"/>
  <c r="E24" i="184"/>
  <c r="N24" i="184" s="1"/>
  <c r="D24" i="184"/>
  <c r="C24" i="184"/>
  <c r="B24" i="184"/>
  <c r="B27" i="184" s="1"/>
  <c r="M23" i="184"/>
  <c r="M27" i="184" s="1"/>
  <c r="L23" i="184"/>
  <c r="L27" i="184"/>
  <c r="K23" i="184"/>
  <c r="K27" i="184" s="1"/>
  <c r="J23" i="184"/>
  <c r="J27" i="184"/>
  <c r="I23" i="184"/>
  <c r="H23" i="184"/>
  <c r="H27" i="184"/>
  <c r="G23" i="184"/>
  <c r="G27" i="184" s="1"/>
  <c r="F23" i="184"/>
  <c r="F27" i="184"/>
  <c r="E23" i="184"/>
  <c r="D23" i="184"/>
  <c r="C23" i="184"/>
  <c r="C27" i="184"/>
  <c r="B23" i="184"/>
  <c r="M20" i="184"/>
  <c r="L20" i="184"/>
  <c r="L48" i="184" s="1"/>
  <c r="L61" i="184" s="1"/>
  <c r="K20" i="184"/>
  <c r="J20" i="184"/>
  <c r="J48" i="184"/>
  <c r="I20" i="184"/>
  <c r="H20" i="184"/>
  <c r="G20" i="184"/>
  <c r="F20" i="184"/>
  <c r="E20" i="184"/>
  <c r="D20" i="184"/>
  <c r="C20" i="184"/>
  <c r="B20" i="184"/>
  <c r="N19" i="184"/>
  <c r="N17" i="184"/>
  <c r="N16" i="184"/>
  <c r="N11" i="184"/>
  <c r="M9" i="184"/>
  <c r="M13" i="184" s="1"/>
  <c r="L9" i="184"/>
  <c r="L13" i="184"/>
  <c r="K9" i="184"/>
  <c r="K13" i="184" s="1"/>
  <c r="J9" i="184"/>
  <c r="J13" i="184"/>
  <c r="J50" i="184" s="1"/>
  <c r="I9" i="184"/>
  <c r="I13" i="184" s="1"/>
  <c r="H9" i="184"/>
  <c r="H13" i="184"/>
  <c r="G9" i="184"/>
  <c r="G13" i="184" s="1"/>
  <c r="F9" i="184"/>
  <c r="F13" i="184"/>
  <c r="E9" i="184"/>
  <c r="E13" i="184" s="1"/>
  <c r="D9" i="184"/>
  <c r="D13" i="184"/>
  <c r="D62" i="184" s="1"/>
  <c r="D72" i="184" s="1"/>
  <c r="C9" i="184"/>
  <c r="C13" i="184" s="1"/>
  <c r="B9" i="184"/>
  <c r="B13" i="184"/>
  <c r="N8" i="184"/>
  <c r="N7" i="184"/>
  <c r="N6" i="184"/>
  <c r="N5" i="184"/>
  <c r="N9" i="184" s="1"/>
  <c r="N13" i="184" s="1"/>
  <c r="N4" i="184"/>
  <c r="C58" i="184"/>
  <c r="D59" i="184"/>
  <c r="G48" i="184"/>
  <c r="N46" i="184"/>
  <c r="D27" i="184"/>
  <c r="N25" i="184"/>
  <c r="N20" i="184"/>
  <c r="B42" i="184"/>
  <c r="J61" i="184"/>
  <c r="J62" i="184"/>
  <c r="J72" i="184" s="1"/>
  <c r="C83" i="184"/>
  <c r="C87" i="184"/>
  <c r="C88" i="184"/>
  <c r="D88" i="184" s="1"/>
  <c r="E88" i="184" s="1"/>
  <c r="F88" i="184" s="1"/>
  <c r="G88" i="184" s="1"/>
  <c r="H88" i="184" s="1"/>
  <c r="I88" i="184" s="1"/>
  <c r="J88" i="184" s="1"/>
  <c r="K88" i="184" s="1"/>
  <c r="L88" i="184" s="1"/>
  <c r="M88" i="184" s="1"/>
  <c r="N55" i="184"/>
  <c r="N58" i="184" s="1"/>
  <c r="C9" i="183"/>
  <c r="C13" i="183"/>
  <c r="C56" i="183"/>
  <c r="N56" i="183" s="1"/>
  <c r="N87" i="183" s="1"/>
  <c r="M87" i="183"/>
  <c r="L87" i="183"/>
  <c r="K87" i="183"/>
  <c r="J87" i="183"/>
  <c r="I87" i="183"/>
  <c r="H87" i="183"/>
  <c r="G87" i="183"/>
  <c r="F87" i="183"/>
  <c r="E87" i="183"/>
  <c r="D87" i="183"/>
  <c r="B87" i="183"/>
  <c r="M84" i="183"/>
  <c r="L84" i="183"/>
  <c r="K84" i="183"/>
  <c r="J84" i="183"/>
  <c r="I84" i="183"/>
  <c r="H84" i="183"/>
  <c r="G84" i="183"/>
  <c r="F84" i="183"/>
  <c r="E84" i="183"/>
  <c r="D84" i="183"/>
  <c r="C84" i="183"/>
  <c r="B84" i="183"/>
  <c r="B85" i="183" s="1"/>
  <c r="B83" i="183"/>
  <c r="N82" i="183"/>
  <c r="N73" i="183"/>
  <c r="M58" i="183"/>
  <c r="L58" i="183"/>
  <c r="K58" i="183"/>
  <c r="J58" i="183"/>
  <c r="I58" i="183"/>
  <c r="H58" i="183"/>
  <c r="G58" i="183"/>
  <c r="F58" i="183"/>
  <c r="E58" i="183"/>
  <c r="D58" i="183"/>
  <c r="N57" i="183"/>
  <c r="B55" i="183"/>
  <c r="N55" i="183" s="1"/>
  <c r="N54" i="183"/>
  <c r="N53" i="183"/>
  <c r="M46" i="183"/>
  <c r="L46" i="183"/>
  <c r="K46" i="183"/>
  <c r="J46" i="183"/>
  <c r="I46" i="183"/>
  <c r="H46" i="183"/>
  <c r="G46" i="183"/>
  <c r="F46" i="183"/>
  <c r="E46" i="183"/>
  <c r="D46" i="183"/>
  <c r="C46" i="183"/>
  <c r="B46" i="183"/>
  <c r="N45" i="183"/>
  <c r="N44" i="183"/>
  <c r="N46" i="183"/>
  <c r="N41" i="183"/>
  <c r="N40" i="183"/>
  <c r="N37" i="183"/>
  <c r="M34" i="183"/>
  <c r="M38" i="183"/>
  <c r="M42" i="183" s="1"/>
  <c r="M48" i="183" s="1"/>
  <c r="M50" i="183" s="1"/>
  <c r="L34" i="183"/>
  <c r="L38" i="183"/>
  <c r="L42" i="183"/>
  <c r="L48" i="183" s="1"/>
  <c r="L61" i="183" s="1"/>
  <c r="K34" i="183"/>
  <c r="K38" i="183"/>
  <c r="K42" i="183"/>
  <c r="J34" i="183"/>
  <c r="J38" i="183" s="1"/>
  <c r="J42" i="183" s="1"/>
  <c r="I34" i="183"/>
  <c r="I38" i="183"/>
  <c r="I42" i="183" s="1"/>
  <c r="I48" i="183" s="1"/>
  <c r="I50" i="183" s="1"/>
  <c r="H34" i="183"/>
  <c r="H38" i="183"/>
  <c r="H42" i="183"/>
  <c r="G34" i="183"/>
  <c r="G38" i="183"/>
  <c r="G42" i="183"/>
  <c r="F34" i="183"/>
  <c r="E34" i="183"/>
  <c r="E48" i="183" s="1"/>
  <c r="E38" i="183"/>
  <c r="E42" i="183" s="1"/>
  <c r="D34" i="183"/>
  <c r="D38" i="183"/>
  <c r="D42" i="183"/>
  <c r="C34" i="183"/>
  <c r="C38" i="183" s="1"/>
  <c r="C42" i="183" s="1"/>
  <c r="B34" i="183"/>
  <c r="AD33" i="183"/>
  <c r="AR33" i="183"/>
  <c r="AC33" i="183"/>
  <c r="AQ33" i="183" s="1"/>
  <c r="AA33" i="183"/>
  <c r="AO33" i="183"/>
  <c r="Z33" i="183"/>
  <c r="AN33" i="183" s="1"/>
  <c r="Y33" i="183"/>
  <c r="AM33" i="183"/>
  <c r="X33" i="183"/>
  <c r="AL33" i="183" s="1"/>
  <c r="W33" i="183"/>
  <c r="AK33" i="183"/>
  <c r="V33" i="183"/>
  <c r="AJ33" i="183" s="1"/>
  <c r="U33" i="183"/>
  <c r="AI33" i="183"/>
  <c r="T33" i="183"/>
  <c r="AH33" i="183" s="1"/>
  <c r="S33" i="183"/>
  <c r="AG33" i="183"/>
  <c r="R33" i="183"/>
  <c r="AF33" i="183" s="1"/>
  <c r="Q33" i="183"/>
  <c r="AE33" i="183"/>
  <c r="N33" i="183"/>
  <c r="AB33" i="183" s="1"/>
  <c r="AP33" i="183" s="1"/>
  <c r="AC32" i="183"/>
  <c r="AQ32" i="183"/>
  <c r="AA32" i="183"/>
  <c r="AO32" i="183"/>
  <c r="Z32" i="183"/>
  <c r="AN32" i="183"/>
  <c r="Y32" i="183"/>
  <c r="AM32" i="183"/>
  <c r="X32" i="183"/>
  <c r="AL32" i="183"/>
  <c r="W32" i="183"/>
  <c r="AK32" i="183"/>
  <c r="V32" i="183"/>
  <c r="AJ32" i="183"/>
  <c r="U32" i="183"/>
  <c r="AI32" i="183"/>
  <c r="T32" i="183"/>
  <c r="AH32" i="183"/>
  <c r="S32" i="183"/>
  <c r="AG32" i="183"/>
  <c r="R32" i="183"/>
  <c r="AF32" i="183"/>
  <c r="Q32" i="183"/>
  <c r="AE32" i="183" s="1"/>
  <c r="P32" i="183"/>
  <c r="AD32" i="183"/>
  <c r="AR32" i="183" s="1"/>
  <c r="N32" i="183"/>
  <c r="AB32" i="183"/>
  <c r="AP32" i="183"/>
  <c r="N31" i="183"/>
  <c r="N30" i="183"/>
  <c r="M26" i="183"/>
  <c r="L26" i="183"/>
  <c r="K26" i="183"/>
  <c r="J26" i="183"/>
  <c r="I26" i="183"/>
  <c r="H26" i="183"/>
  <c r="G26" i="183"/>
  <c r="F26" i="183"/>
  <c r="E26" i="183"/>
  <c r="D26" i="183"/>
  <c r="N26" i="183" s="1"/>
  <c r="C26" i="183"/>
  <c r="B26" i="183"/>
  <c r="M25" i="183"/>
  <c r="L25" i="183"/>
  <c r="K25" i="183"/>
  <c r="J25" i="183"/>
  <c r="I25" i="183"/>
  <c r="H25" i="183"/>
  <c r="G25" i="183"/>
  <c r="F25" i="183"/>
  <c r="E25" i="183"/>
  <c r="D25" i="183"/>
  <c r="N25" i="183" s="1"/>
  <c r="C25" i="183"/>
  <c r="B25" i="183"/>
  <c r="M24" i="183"/>
  <c r="L24" i="183"/>
  <c r="K24" i="183"/>
  <c r="J24" i="183"/>
  <c r="I24" i="183"/>
  <c r="H24" i="183"/>
  <c r="G24" i="183"/>
  <c r="F24" i="183"/>
  <c r="E24" i="183"/>
  <c r="D24" i="183"/>
  <c r="C24" i="183"/>
  <c r="B24" i="183"/>
  <c r="M23" i="183"/>
  <c r="M27" i="183"/>
  <c r="L23" i="183"/>
  <c r="L27" i="183" s="1"/>
  <c r="K23" i="183"/>
  <c r="K27" i="183"/>
  <c r="J23" i="183"/>
  <c r="J27" i="183" s="1"/>
  <c r="I23" i="183"/>
  <c r="I27" i="183"/>
  <c r="H23" i="183"/>
  <c r="H27" i="183" s="1"/>
  <c r="G23" i="183"/>
  <c r="G27" i="183"/>
  <c r="F23" i="183"/>
  <c r="F27" i="183" s="1"/>
  <c r="E23" i="183"/>
  <c r="E27" i="183"/>
  <c r="D23" i="183"/>
  <c r="C23" i="183"/>
  <c r="C27" i="183"/>
  <c r="B23" i="183"/>
  <c r="B27" i="183" s="1"/>
  <c r="M20" i="183"/>
  <c r="L20" i="183"/>
  <c r="K20" i="183"/>
  <c r="K48" i="183" s="1"/>
  <c r="J20" i="183"/>
  <c r="I20" i="183"/>
  <c r="H20" i="183"/>
  <c r="H48" i="183" s="1"/>
  <c r="H61" i="183" s="1"/>
  <c r="G20" i="183"/>
  <c r="G48" i="183" s="1"/>
  <c r="F20" i="183"/>
  <c r="E20" i="183"/>
  <c r="D20" i="183"/>
  <c r="C20" i="183"/>
  <c r="C48" i="183" s="1"/>
  <c r="C50" i="183" s="1"/>
  <c r="B20" i="183"/>
  <c r="N19" i="183"/>
  <c r="N17" i="183"/>
  <c r="N16" i="183"/>
  <c r="N20" i="183" s="1"/>
  <c r="N11" i="183"/>
  <c r="M9" i="183"/>
  <c r="M13" i="183"/>
  <c r="L9" i="183"/>
  <c r="L13" i="183" s="1"/>
  <c r="K9" i="183"/>
  <c r="K13" i="183"/>
  <c r="J9" i="183"/>
  <c r="J13" i="183" s="1"/>
  <c r="I9" i="183"/>
  <c r="I13" i="183"/>
  <c r="H9" i="183"/>
  <c r="H13" i="183" s="1"/>
  <c r="H50" i="183" s="1"/>
  <c r="G9" i="183"/>
  <c r="G13" i="183"/>
  <c r="F9" i="183"/>
  <c r="F13" i="183" s="1"/>
  <c r="E9" i="183"/>
  <c r="E13" i="183"/>
  <c r="D9" i="183"/>
  <c r="D13" i="183" s="1"/>
  <c r="B9" i="183"/>
  <c r="B13" i="183"/>
  <c r="N8" i="183"/>
  <c r="N9" i="183" s="1"/>
  <c r="N7" i="183"/>
  <c r="N6" i="183"/>
  <c r="N5" i="183"/>
  <c r="N4" i="183"/>
  <c r="D50" i="184"/>
  <c r="D83" i="184"/>
  <c r="N13" i="183"/>
  <c r="N34" i="183"/>
  <c r="I61" i="183"/>
  <c r="M61" i="183"/>
  <c r="H62" i="183"/>
  <c r="H72" i="183" s="1"/>
  <c r="C83" i="183"/>
  <c r="B58" i="183"/>
  <c r="N23" i="183"/>
  <c r="M87" i="182"/>
  <c r="L87" i="182"/>
  <c r="K87" i="182"/>
  <c r="J87" i="182"/>
  <c r="I87" i="182"/>
  <c r="H87" i="182"/>
  <c r="G87" i="182"/>
  <c r="F87" i="182"/>
  <c r="E87" i="182"/>
  <c r="D87" i="182"/>
  <c r="C87" i="182"/>
  <c r="B87" i="182"/>
  <c r="C88" i="182" s="1"/>
  <c r="D88" i="182" s="1"/>
  <c r="E88" i="182" s="1"/>
  <c r="F88" i="182"/>
  <c r="G88" i="182" s="1"/>
  <c r="H88" i="182" s="1"/>
  <c r="I88" i="182" s="1"/>
  <c r="J88" i="182" s="1"/>
  <c r="K88" i="182" s="1"/>
  <c r="L88" i="182" s="1"/>
  <c r="M88" i="182" s="1"/>
  <c r="M84" i="182"/>
  <c r="L84" i="182"/>
  <c r="K84" i="182"/>
  <c r="J84" i="182"/>
  <c r="I84" i="182"/>
  <c r="H84" i="182"/>
  <c r="G84" i="182"/>
  <c r="F84" i="182"/>
  <c r="E84" i="182"/>
  <c r="D84" i="182"/>
  <c r="C84" i="182"/>
  <c r="B84" i="182"/>
  <c r="B83" i="182"/>
  <c r="N82" i="182"/>
  <c r="N73" i="182"/>
  <c r="M58" i="182"/>
  <c r="L58" i="182"/>
  <c r="L61" i="182" s="1"/>
  <c r="K58" i="182"/>
  <c r="J58" i="182"/>
  <c r="I58" i="182"/>
  <c r="H58" i="182"/>
  <c r="G58" i="182"/>
  <c r="F58" i="182"/>
  <c r="E58" i="182"/>
  <c r="D58" i="182"/>
  <c r="D61" i="182" s="1"/>
  <c r="D62" i="182" s="1"/>
  <c r="C58" i="182"/>
  <c r="N57" i="182"/>
  <c r="N56" i="182"/>
  <c r="N87" i="182"/>
  <c r="B55" i="182"/>
  <c r="N55" i="182"/>
  <c r="N54" i="182"/>
  <c r="N53" i="182"/>
  <c r="N58" i="182" s="1"/>
  <c r="M46" i="182"/>
  <c r="L46" i="182"/>
  <c r="K46" i="182"/>
  <c r="J46" i="182"/>
  <c r="I46" i="182"/>
  <c r="H46" i="182"/>
  <c r="G46" i="182"/>
  <c r="F46" i="182"/>
  <c r="E46" i="182"/>
  <c r="D46" i="182"/>
  <c r="C46" i="182"/>
  <c r="B46" i="182"/>
  <c r="N45" i="182"/>
  <c r="N44" i="182"/>
  <c r="N41" i="182"/>
  <c r="N40" i="182"/>
  <c r="N37" i="182"/>
  <c r="M34" i="182"/>
  <c r="M38" i="182"/>
  <c r="M42" i="182"/>
  <c r="M48" i="182" s="1"/>
  <c r="M61" i="182" s="1"/>
  <c r="L34" i="182"/>
  <c r="L38" i="182" s="1"/>
  <c r="L42" i="182" s="1"/>
  <c r="L48" i="182" s="1"/>
  <c r="K34" i="182"/>
  <c r="K38" i="182" s="1"/>
  <c r="K42" i="182" s="1"/>
  <c r="J34" i="182"/>
  <c r="J38" i="182"/>
  <c r="J42" i="182" s="1"/>
  <c r="I34" i="182"/>
  <c r="I38" i="182"/>
  <c r="I42" i="182"/>
  <c r="I48" i="182" s="1"/>
  <c r="I61" i="182" s="1"/>
  <c r="H34" i="182"/>
  <c r="H38" i="182" s="1"/>
  <c r="H42" i="182" s="1"/>
  <c r="H48" i="182" s="1"/>
  <c r="H50" i="182" s="1"/>
  <c r="G34" i="182"/>
  <c r="G38" i="182" s="1"/>
  <c r="G42" i="182" s="1"/>
  <c r="F34" i="182"/>
  <c r="F38" i="182"/>
  <c r="F42" i="182" s="1"/>
  <c r="E34" i="182"/>
  <c r="E38" i="182"/>
  <c r="E42" i="182"/>
  <c r="D34" i="182"/>
  <c r="D38" i="182"/>
  <c r="D42" i="182"/>
  <c r="C34" i="182"/>
  <c r="C38" i="182" s="1"/>
  <c r="C42" i="182" s="1"/>
  <c r="B34" i="182"/>
  <c r="B38" i="182"/>
  <c r="AD33" i="182"/>
  <c r="AR33" i="182" s="1"/>
  <c r="AC33" i="182"/>
  <c r="AQ33" i="182"/>
  <c r="AA33" i="182"/>
  <c r="AO33" i="182" s="1"/>
  <c r="Z33" i="182"/>
  <c r="AN33" i="182"/>
  <c r="Y33" i="182"/>
  <c r="AM33" i="182" s="1"/>
  <c r="X33" i="182"/>
  <c r="AL33" i="182"/>
  <c r="W33" i="182"/>
  <c r="AK33" i="182" s="1"/>
  <c r="V33" i="182"/>
  <c r="AJ33" i="182"/>
  <c r="U33" i="182"/>
  <c r="AI33" i="182" s="1"/>
  <c r="T33" i="182"/>
  <c r="AH33" i="182"/>
  <c r="S33" i="182"/>
  <c r="AG33" i="182" s="1"/>
  <c r="R33" i="182"/>
  <c r="AF33" i="182"/>
  <c r="Q33" i="182"/>
  <c r="AE33" i="182" s="1"/>
  <c r="N33" i="182"/>
  <c r="AB33" i="182"/>
  <c r="AP33" i="182" s="1"/>
  <c r="AC32" i="182"/>
  <c r="AQ32" i="182"/>
  <c r="AA32" i="182"/>
  <c r="AO32" i="182" s="1"/>
  <c r="Z32" i="182"/>
  <c r="AN32" i="182"/>
  <c r="Y32" i="182"/>
  <c r="AM32" i="182" s="1"/>
  <c r="X32" i="182"/>
  <c r="AL32" i="182"/>
  <c r="W32" i="182"/>
  <c r="AK32" i="182" s="1"/>
  <c r="V32" i="182"/>
  <c r="AJ32" i="182"/>
  <c r="U32" i="182"/>
  <c r="AI32" i="182" s="1"/>
  <c r="T32" i="182"/>
  <c r="AH32" i="182"/>
  <c r="S32" i="182"/>
  <c r="AG32" i="182" s="1"/>
  <c r="R32" i="182"/>
  <c r="AF32" i="182"/>
  <c r="Q32" i="182"/>
  <c r="AE32" i="182" s="1"/>
  <c r="P32" i="182"/>
  <c r="AD32" i="182"/>
  <c r="AR32" i="182"/>
  <c r="N32" i="182"/>
  <c r="AB32" i="182"/>
  <c r="AP32" i="182"/>
  <c r="N31" i="182"/>
  <c r="N34" i="182" s="1"/>
  <c r="N30" i="182"/>
  <c r="M26" i="182"/>
  <c r="L26" i="182"/>
  <c r="K26" i="182"/>
  <c r="J26" i="182"/>
  <c r="I26" i="182"/>
  <c r="H26" i="182"/>
  <c r="G26" i="182"/>
  <c r="F26" i="182"/>
  <c r="E26" i="182"/>
  <c r="D26" i="182"/>
  <c r="C26" i="182"/>
  <c r="N26" i="182" s="1"/>
  <c r="B26" i="182"/>
  <c r="M25" i="182"/>
  <c r="L25" i="182"/>
  <c r="K25" i="182"/>
  <c r="J25" i="182"/>
  <c r="I25" i="182"/>
  <c r="H25" i="182"/>
  <c r="G25" i="182"/>
  <c r="F25" i="182"/>
  <c r="E25" i="182"/>
  <c r="D25" i="182"/>
  <c r="C25" i="182"/>
  <c r="B25" i="182"/>
  <c r="M24" i="182"/>
  <c r="L24" i="182"/>
  <c r="K24" i="182"/>
  <c r="K27" i="182" s="1"/>
  <c r="J24" i="182"/>
  <c r="I24" i="182"/>
  <c r="H24" i="182"/>
  <c r="G24" i="182"/>
  <c r="G27" i="182" s="1"/>
  <c r="F24" i="182"/>
  <c r="E24" i="182"/>
  <c r="D24" i="182"/>
  <c r="C24" i="182"/>
  <c r="B24" i="182"/>
  <c r="M23" i="182"/>
  <c r="M27" i="182"/>
  <c r="L23" i="182"/>
  <c r="L27" i="182" s="1"/>
  <c r="K23" i="182"/>
  <c r="J23" i="182"/>
  <c r="J27" i="182" s="1"/>
  <c r="I23" i="182"/>
  <c r="I27" i="182"/>
  <c r="H23" i="182"/>
  <c r="H27" i="182" s="1"/>
  <c r="G23" i="182"/>
  <c r="F23" i="182"/>
  <c r="F27" i="182" s="1"/>
  <c r="E23" i="182"/>
  <c r="E27" i="182"/>
  <c r="D23" i="182"/>
  <c r="D27" i="182" s="1"/>
  <c r="C23" i="182"/>
  <c r="B23" i="182"/>
  <c r="B27" i="182" s="1"/>
  <c r="M20" i="182"/>
  <c r="L20" i="182"/>
  <c r="K20" i="182"/>
  <c r="J20" i="182"/>
  <c r="I20" i="182"/>
  <c r="H20" i="182"/>
  <c r="G20" i="182"/>
  <c r="F20" i="182"/>
  <c r="E20" i="182"/>
  <c r="D20" i="182"/>
  <c r="D48" i="182" s="1"/>
  <c r="D50" i="182" s="1"/>
  <c r="C20" i="182"/>
  <c r="B20" i="182"/>
  <c r="N19" i="182"/>
  <c r="N20" i="182" s="1"/>
  <c r="N17" i="182"/>
  <c r="N16" i="182"/>
  <c r="N11" i="182"/>
  <c r="M9" i="182"/>
  <c r="M13" i="182" s="1"/>
  <c r="M50" i="182" s="1"/>
  <c r="L9" i="182"/>
  <c r="L13" i="182"/>
  <c r="K9" i="182"/>
  <c r="K13" i="182" s="1"/>
  <c r="J9" i="182"/>
  <c r="J13" i="182"/>
  <c r="I9" i="182"/>
  <c r="I13" i="182" s="1"/>
  <c r="I50" i="182" s="1"/>
  <c r="H9" i="182"/>
  <c r="H13" i="182"/>
  <c r="G9" i="182"/>
  <c r="G13" i="182" s="1"/>
  <c r="F9" i="182"/>
  <c r="F13" i="182"/>
  <c r="E9" i="182"/>
  <c r="E13" i="182" s="1"/>
  <c r="D9" i="182"/>
  <c r="D13" i="182"/>
  <c r="C9" i="182"/>
  <c r="C13" i="182" s="1"/>
  <c r="B9" i="182"/>
  <c r="B13" i="182"/>
  <c r="N8" i="182"/>
  <c r="N7" i="182"/>
  <c r="N6" i="182"/>
  <c r="N5" i="182"/>
  <c r="N4" i="182"/>
  <c r="E83" i="184"/>
  <c r="D85" i="184"/>
  <c r="E61" i="183"/>
  <c r="E62" i="183" s="1"/>
  <c r="E72" i="183" s="1"/>
  <c r="D83" i="183"/>
  <c r="E83" i="183" s="1"/>
  <c r="C85" i="183"/>
  <c r="C48" i="182"/>
  <c r="C61" i="182" s="1"/>
  <c r="G48" i="182"/>
  <c r="G61" i="182" s="1"/>
  <c r="N25" i="182"/>
  <c r="N46" i="182"/>
  <c r="N9" i="182"/>
  <c r="N13" i="182" s="1"/>
  <c r="E48" i="182"/>
  <c r="I62" i="182"/>
  <c r="I72" i="182" s="1"/>
  <c r="D72" i="182"/>
  <c r="B58" i="182"/>
  <c r="N23" i="182"/>
  <c r="B55" i="181"/>
  <c r="E85" i="184"/>
  <c r="F83" i="184"/>
  <c r="G50" i="182"/>
  <c r="E61" i="182"/>
  <c r="AD33" i="181"/>
  <c r="AR33" i="181" s="1"/>
  <c r="AC33" i="181"/>
  <c r="AQ33" i="181"/>
  <c r="AA33" i="181"/>
  <c r="AO33" i="181" s="1"/>
  <c r="Z33" i="181"/>
  <c r="AN33" i="181"/>
  <c r="Y33" i="181"/>
  <c r="AM33" i="181" s="1"/>
  <c r="X33" i="181"/>
  <c r="AL33" i="181"/>
  <c r="W33" i="181"/>
  <c r="AK33" i="181" s="1"/>
  <c r="V33" i="181"/>
  <c r="AJ33" i="181"/>
  <c r="U33" i="181"/>
  <c r="AI33" i="181" s="1"/>
  <c r="T33" i="181"/>
  <c r="AH33" i="181"/>
  <c r="S33" i="181"/>
  <c r="AG33" i="181" s="1"/>
  <c r="R33" i="181"/>
  <c r="AF33" i="181"/>
  <c r="Q33" i="181"/>
  <c r="AE33" i="181" s="1"/>
  <c r="AC32" i="181"/>
  <c r="AQ32" i="181"/>
  <c r="AA32" i="181"/>
  <c r="AO32" i="181" s="1"/>
  <c r="Z32" i="181"/>
  <c r="AN32" i="181"/>
  <c r="Y32" i="181"/>
  <c r="AM32" i="181" s="1"/>
  <c r="X32" i="181"/>
  <c r="AL32" i="181"/>
  <c r="W32" i="181"/>
  <c r="AK32" i="181" s="1"/>
  <c r="V32" i="181"/>
  <c r="AJ32" i="181"/>
  <c r="U32" i="181"/>
  <c r="AI32" i="181" s="1"/>
  <c r="T32" i="181"/>
  <c r="AH32" i="181"/>
  <c r="S32" i="181"/>
  <c r="AG32" i="181" s="1"/>
  <c r="R32" i="181"/>
  <c r="AF32" i="181"/>
  <c r="Q32" i="181"/>
  <c r="AE32" i="181" s="1"/>
  <c r="P32" i="181"/>
  <c r="AD32" i="181"/>
  <c r="AR32" i="181"/>
  <c r="N40" i="181"/>
  <c r="F85" i="184"/>
  <c r="G83" i="184"/>
  <c r="G85" i="184" s="1"/>
  <c r="J87" i="181"/>
  <c r="I87" i="181"/>
  <c r="G87" i="181"/>
  <c r="E87" i="181"/>
  <c r="B87" i="181"/>
  <c r="C88" i="181" s="1"/>
  <c r="D88" i="181" s="1"/>
  <c r="M84" i="181"/>
  <c r="L84" i="181"/>
  <c r="K84" i="181"/>
  <c r="J84" i="181"/>
  <c r="I84" i="181"/>
  <c r="H84" i="181"/>
  <c r="G84" i="181"/>
  <c r="F84" i="181"/>
  <c r="E84" i="181"/>
  <c r="D84" i="181"/>
  <c r="C84" i="181"/>
  <c r="B84" i="181"/>
  <c r="B85" i="181" s="1"/>
  <c r="B83" i="181"/>
  <c r="C83" i="181" s="1"/>
  <c r="D83" i="181" s="1"/>
  <c r="D85" i="181" s="1"/>
  <c r="N82" i="181"/>
  <c r="N73" i="181"/>
  <c r="K58" i="181"/>
  <c r="J58" i="181"/>
  <c r="G58" i="181"/>
  <c r="E58" i="181"/>
  <c r="C58" i="181"/>
  <c r="N57" i="181"/>
  <c r="M58" i="181"/>
  <c r="L87" i="181"/>
  <c r="K87" i="181"/>
  <c r="I58" i="181"/>
  <c r="H87" i="181"/>
  <c r="F58" i="181"/>
  <c r="D87" i="181"/>
  <c r="C87" i="181"/>
  <c r="N55" i="181"/>
  <c r="B58" i="181"/>
  <c r="N54" i="181"/>
  <c r="N53" i="181"/>
  <c r="M46" i="181"/>
  <c r="L46" i="181"/>
  <c r="K46" i="181"/>
  <c r="J46" i="181"/>
  <c r="I46" i="181"/>
  <c r="H46" i="181"/>
  <c r="G46" i="181"/>
  <c r="F46" i="181"/>
  <c r="E46" i="181"/>
  <c r="D46" i="181"/>
  <c r="C46" i="181"/>
  <c r="B46" i="181"/>
  <c r="N45" i="181"/>
  <c r="N44" i="181"/>
  <c r="N41" i="181"/>
  <c r="N37" i="181"/>
  <c r="M34" i="181"/>
  <c r="M38" i="181"/>
  <c r="M42" i="181" s="1"/>
  <c r="M48" i="181" s="1"/>
  <c r="M61" i="181" s="1"/>
  <c r="M62" i="181" s="1"/>
  <c r="L34" i="181"/>
  <c r="L38" i="181"/>
  <c r="L42" i="181"/>
  <c r="K34" i="181"/>
  <c r="K38" i="181"/>
  <c r="K42" i="181"/>
  <c r="J34" i="181"/>
  <c r="J38" i="181" s="1"/>
  <c r="J42" i="181" s="1"/>
  <c r="I34" i="181"/>
  <c r="I38" i="181"/>
  <c r="I42" i="181" s="1"/>
  <c r="H34" i="181"/>
  <c r="H38" i="181"/>
  <c r="H42" i="181"/>
  <c r="G34" i="181"/>
  <c r="G38" i="181"/>
  <c r="G42" i="181"/>
  <c r="G48" i="181" s="1"/>
  <c r="G50" i="181" s="1"/>
  <c r="F34" i="181"/>
  <c r="F38" i="181" s="1"/>
  <c r="F42" i="181" s="1"/>
  <c r="E34" i="181"/>
  <c r="E38" i="181"/>
  <c r="E42" i="181" s="1"/>
  <c r="D34" i="181"/>
  <c r="D38" i="181"/>
  <c r="D42" i="181"/>
  <c r="C34" i="181"/>
  <c r="C38" i="181"/>
  <c r="C42" i="181"/>
  <c r="B34" i="181"/>
  <c r="B38" i="181" s="1"/>
  <c r="B42" i="181" s="1"/>
  <c r="N33" i="181"/>
  <c r="AB33" i="181"/>
  <c r="AP33" i="181"/>
  <c r="N32" i="181"/>
  <c r="AB32" i="181"/>
  <c r="AP32" i="181"/>
  <c r="N31" i="181"/>
  <c r="N34" i="181" s="1"/>
  <c r="N30" i="181"/>
  <c r="M26" i="181"/>
  <c r="L26" i="181"/>
  <c r="K26" i="181"/>
  <c r="J26" i="181"/>
  <c r="I26" i="181"/>
  <c r="H26" i="181"/>
  <c r="G26" i="181"/>
  <c r="F26" i="181"/>
  <c r="E26" i="181"/>
  <c r="D26" i="181"/>
  <c r="C26" i="181"/>
  <c r="N26" i="181" s="1"/>
  <c r="B26" i="181"/>
  <c r="M25" i="181"/>
  <c r="L25" i="181"/>
  <c r="K25" i="181"/>
  <c r="J25" i="181"/>
  <c r="I25" i="181"/>
  <c r="H25" i="181"/>
  <c r="G25" i="181"/>
  <c r="F25" i="181"/>
  <c r="E25" i="181"/>
  <c r="D25" i="181"/>
  <c r="C25" i="181"/>
  <c r="N25" i="181" s="1"/>
  <c r="B25" i="181"/>
  <c r="M24" i="181"/>
  <c r="L24" i="181"/>
  <c r="K24" i="181"/>
  <c r="K27" i="181" s="1"/>
  <c r="J24" i="181"/>
  <c r="I24" i="181"/>
  <c r="H24" i="181"/>
  <c r="G24" i="181"/>
  <c r="G27" i="181" s="1"/>
  <c r="F24" i="181"/>
  <c r="E24" i="181"/>
  <c r="D24" i="181"/>
  <c r="C24" i="181"/>
  <c r="B24" i="181"/>
  <c r="M23" i="181"/>
  <c r="M27" i="181"/>
  <c r="L23" i="181"/>
  <c r="L27" i="181" s="1"/>
  <c r="K23" i="181"/>
  <c r="J23" i="181"/>
  <c r="J27" i="181" s="1"/>
  <c r="I23" i="181"/>
  <c r="I27" i="181"/>
  <c r="H23" i="181"/>
  <c r="H27" i="181" s="1"/>
  <c r="G23" i="181"/>
  <c r="F23" i="181"/>
  <c r="F27" i="181" s="1"/>
  <c r="E23" i="181"/>
  <c r="E27" i="181"/>
  <c r="D23" i="181"/>
  <c r="D27" i="181" s="1"/>
  <c r="C23" i="181"/>
  <c r="B23" i="181"/>
  <c r="M20" i="181"/>
  <c r="L20" i="181"/>
  <c r="L48" i="181" s="1"/>
  <c r="L61" i="181" s="1"/>
  <c r="K20" i="181"/>
  <c r="K48" i="181" s="1"/>
  <c r="J20" i="181"/>
  <c r="I20" i="181"/>
  <c r="I48" i="181" s="1"/>
  <c r="I50" i="181" s="1"/>
  <c r="H20" i="181"/>
  <c r="H48" i="181" s="1"/>
  <c r="H61" i="181" s="1"/>
  <c r="G20" i="181"/>
  <c r="F20" i="181"/>
  <c r="F48" i="181" s="1"/>
  <c r="E20" i="181"/>
  <c r="D20" i="181"/>
  <c r="C20" i="181"/>
  <c r="C48" i="181"/>
  <c r="C50" i="181" s="1"/>
  <c r="B20" i="181"/>
  <c r="N19" i="181"/>
  <c r="N17" i="181"/>
  <c r="N16" i="181"/>
  <c r="N20" i="181" s="1"/>
  <c r="N11" i="181"/>
  <c r="M9" i="181"/>
  <c r="M13" i="181"/>
  <c r="L9" i="181"/>
  <c r="L13" i="181"/>
  <c r="K9" i="181"/>
  <c r="K13" i="181"/>
  <c r="J9" i="181"/>
  <c r="J13" i="181"/>
  <c r="I9" i="181"/>
  <c r="I13" i="181"/>
  <c r="H9" i="181"/>
  <c r="H13" i="181"/>
  <c r="G9" i="181"/>
  <c r="G13" i="181"/>
  <c r="F9" i="181"/>
  <c r="F13" i="181"/>
  <c r="E9" i="181"/>
  <c r="E13" i="181"/>
  <c r="D9" i="181"/>
  <c r="D13" i="181"/>
  <c r="C9" i="181"/>
  <c r="C13" i="181"/>
  <c r="B9" i="181"/>
  <c r="B13" i="181"/>
  <c r="N8" i="181"/>
  <c r="N7" i="181"/>
  <c r="N6" i="181"/>
  <c r="N5" i="181"/>
  <c r="N9" i="181" s="1"/>
  <c r="N4" i="181"/>
  <c r="M55" i="180"/>
  <c r="M11" i="180"/>
  <c r="J86" i="180"/>
  <c r="G86" i="180"/>
  <c r="E86" i="180"/>
  <c r="B86" i="180"/>
  <c r="M83" i="180"/>
  <c r="L83" i="180"/>
  <c r="K83" i="180"/>
  <c r="J83" i="180"/>
  <c r="I83" i="180"/>
  <c r="H83" i="180"/>
  <c r="G83" i="180"/>
  <c r="F83" i="180"/>
  <c r="E83" i="180"/>
  <c r="D83" i="180"/>
  <c r="C83" i="180"/>
  <c r="B83" i="180"/>
  <c r="B82" i="180"/>
  <c r="N81" i="180"/>
  <c r="N72" i="180"/>
  <c r="J57" i="180"/>
  <c r="G57" i="180"/>
  <c r="E57" i="180"/>
  <c r="N56" i="180"/>
  <c r="M86" i="180"/>
  <c r="L55" i="180"/>
  <c r="K55" i="180"/>
  <c r="K57" i="180"/>
  <c r="I55" i="180"/>
  <c r="H55" i="180"/>
  <c r="H86" i="180"/>
  <c r="F55" i="180"/>
  <c r="F57" i="180" s="1"/>
  <c r="D55" i="180"/>
  <c r="D86" i="180"/>
  <c r="C55" i="180"/>
  <c r="B54" i="180"/>
  <c r="N54" i="180"/>
  <c r="N53" i="180"/>
  <c r="P52" i="180"/>
  <c r="N52" i="180"/>
  <c r="L45" i="180"/>
  <c r="K45" i="180"/>
  <c r="J45" i="180"/>
  <c r="I45" i="180"/>
  <c r="H45" i="180"/>
  <c r="G45" i="180"/>
  <c r="F45" i="180"/>
  <c r="E45" i="180"/>
  <c r="D45" i="180"/>
  <c r="C45" i="180"/>
  <c r="B45" i="180"/>
  <c r="M44" i="180"/>
  <c r="M45" i="180"/>
  <c r="N43" i="180"/>
  <c r="N45" i="180" s="1"/>
  <c r="N40" i="180"/>
  <c r="N39" i="180"/>
  <c r="N37" i="180"/>
  <c r="P37" i="180"/>
  <c r="M34" i="180"/>
  <c r="M38" i="180" s="1"/>
  <c r="M41" i="180" s="1"/>
  <c r="L34" i="180"/>
  <c r="K34" i="180"/>
  <c r="K47" i="180" s="1"/>
  <c r="K38" i="180"/>
  <c r="K41" i="180" s="1"/>
  <c r="J34" i="180"/>
  <c r="J38" i="180"/>
  <c r="J41" i="180"/>
  <c r="J47" i="180" s="1"/>
  <c r="I34" i="180"/>
  <c r="I38" i="180"/>
  <c r="I41" i="180"/>
  <c r="H34" i="180"/>
  <c r="G34" i="180"/>
  <c r="G38" i="180"/>
  <c r="G41" i="180" s="1"/>
  <c r="F34" i="180"/>
  <c r="F38" i="180"/>
  <c r="F41" i="180"/>
  <c r="F47" i="180" s="1"/>
  <c r="E34" i="180"/>
  <c r="E38" i="180"/>
  <c r="E41" i="180"/>
  <c r="D34" i="180"/>
  <c r="C34" i="180"/>
  <c r="C38" i="180"/>
  <c r="C41" i="180" s="1"/>
  <c r="B34" i="180"/>
  <c r="B38" i="180"/>
  <c r="B41" i="180" s="1"/>
  <c r="B47" i="180" s="1"/>
  <c r="B60" i="180" s="1"/>
  <c r="N33" i="180"/>
  <c r="N32" i="180"/>
  <c r="N31" i="180"/>
  <c r="N30" i="180"/>
  <c r="M26" i="180"/>
  <c r="L26" i="180"/>
  <c r="K26" i="180"/>
  <c r="J26" i="180"/>
  <c r="I26" i="180"/>
  <c r="H26" i="180"/>
  <c r="G26" i="180"/>
  <c r="F26" i="180"/>
  <c r="E26" i="180"/>
  <c r="D26" i="180"/>
  <c r="C26" i="180"/>
  <c r="B26" i="180"/>
  <c r="M25" i="180"/>
  <c r="L25" i="180"/>
  <c r="K25" i="180"/>
  <c r="J25" i="180"/>
  <c r="I25" i="180"/>
  <c r="H25" i="180"/>
  <c r="G25" i="180"/>
  <c r="F25" i="180"/>
  <c r="E25" i="180"/>
  <c r="N25" i="180" s="1"/>
  <c r="D25" i="180"/>
  <c r="C25" i="180"/>
  <c r="B25" i="180"/>
  <c r="M24" i="180"/>
  <c r="L24" i="180"/>
  <c r="K24" i="180"/>
  <c r="J24" i="180"/>
  <c r="I24" i="180"/>
  <c r="H24" i="180"/>
  <c r="G24" i="180"/>
  <c r="F24" i="180"/>
  <c r="E24" i="180"/>
  <c r="N24" i="180" s="1"/>
  <c r="D24" i="180"/>
  <c r="C24" i="180"/>
  <c r="B24" i="180"/>
  <c r="M23" i="180"/>
  <c r="M27" i="180" s="1"/>
  <c r="L23" i="180"/>
  <c r="L27" i="180"/>
  <c r="K23" i="180"/>
  <c r="K27" i="180" s="1"/>
  <c r="J23" i="180"/>
  <c r="J27" i="180"/>
  <c r="I23" i="180"/>
  <c r="H23" i="180"/>
  <c r="H27" i="180"/>
  <c r="G23" i="180"/>
  <c r="G27" i="180" s="1"/>
  <c r="F23" i="180"/>
  <c r="F27" i="180"/>
  <c r="E23" i="180"/>
  <c r="E27" i="180" s="1"/>
  <c r="D23" i="180"/>
  <c r="D27" i="180"/>
  <c r="C23" i="180"/>
  <c r="B23" i="180"/>
  <c r="B27" i="180"/>
  <c r="M20" i="180"/>
  <c r="L20" i="180"/>
  <c r="K20" i="180"/>
  <c r="J20" i="180"/>
  <c r="I20" i="180"/>
  <c r="I47" i="180" s="1"/>
  <c r="I49" i="180" s="1"/>
  <c r="H20" i="180"/>
  <c r="G20" i="180"/>
  <c r="F20" i="180"/>
  <c r="E20" i="180"/>
  <c r="E47" i="180" s="1"/>
  <c r="E49" i="180" s="1"/>
  <c r="D20" i="180"/>
  <c r="C20" i="180"/>
  <c r="B20" i="180"/>
  <c r="N19" i="180"/>
  <c r="N20" i="180" s="1"/>
  <c r="N17" i="180"/>
  <c r="N16" i="180"/>
  <c r="L11" i="180"/>
  <c r="C11" i="180"/>
  <c r="B11" i="180"/>
  <c r="M9" i="180"/>
  <c r="L9" i="180"/>
  <c r="L13" i="180"/>
  <c r="K9" i="180"/>
  <c r="K13" i="180"/>
  <c r="J9" i="180"/>
  <c r="J13" i="180"/>
  <c r="J49" i="180" s="1"/>
  <c r="I9" i="180"/>
  <c r="I13" i="180"/>
  <c r="H9" i="180"/>
  <c r="H13" i="180"/>
  <c r="G9" i="180"/>
  <c r="G13" i="180"/>
  <c r="F9" i="180"/>
  <c r="F13" i="180"/>
  <c r="E9" i="180"/>
  <c r="E13" i="180"/>
  <c r="D9" i="180"/>
  <c r="D13" i="180"/>
  <c r="C9" i="180"/>
  <c r="B9" i="180"/>
  <c r="B13" i="180"/>
  <c r="N8" i="180"/>
  <c r="N7" i="180"/>
  <c r="N6" i="180"/>
  <c r="N5" i="180"/>
  <c r="N9" i="180" s="1"/>
  <c r="N4" i="180"/>
  <c r="H83" i="184"/>
  <c r="N44" i="180"/>
  <c r="H57" i="180"/>
  <c r="F86" i="180"/>
  <c r="D57" i="180"/>
  <c r="J48" i="181"/>
  <c r="J61" i="181" s="1"/>
  <c r="N46" i="181"/>
  <c r="M50" i="181"/>
  <c r="N13" i="181"/>
  <c r="N38" i="181"/>
  <c r="N42" i="181" s="1"/>
  <c r="B48" i="181"/>
  <c r="G61" i="181"/>
  <c r="G62" i="181" s="1"/>
  <c r="G72" i="181" s="1"/>
  <c r="I61" i="181"/>
  <c r="I62" i="181" s="1"/>
  <c r="I72" i="181" s="1"/>
  <c r="C85" i="181"/>
  <c r="C61" i="181"/>
  <c r="C62" i="181" s="1"/>
  <c r="C72" i="181" s="1"/>
  <c r="E88" i="181"/>
  <c r="M87" i="181"/>
  <c r="N56" i="181"/>
  <c r="N87" i="181"/>
  <c r="D58" i="181"/>
  <c r="H58" i="181"/>
  <c r="L58" i="181"/>
  <c r="F87" i="181"/>
  <c r="M13" i="180"/>
  <c r="C47" i="180"/>
  <c r="B49" i="180"/>
  <c r="E60" i="180"/>
  <c r="E61" i="180" s="1"/>
  <c r="E71" i="180" s="1"/>
  <c r="M57" i="180"/>
  <c r="K86" i="180"/>
  <c r="B57" i="180"/>
  <c r="M72" i="181"/>
  <c r="N58" i="181"/>
  <c r="B61" i="181"/>
  <c r="K61" i="183" l="1"/>
  <c r="K50" i="183"/>
  <c r="J50" i="185"/>
  <c r="I83" i="184"/>
  <c r="H85" i="184"/>
  <c r="C57" i="180"/>
  <c r="C60" i="180" s="1"/>
  <c r="N55" i="180"/>
  <c r="F38" i="185"/>
  <c r="F42" i="185" s="1"/>
  <c r="F48" i="185" s="1"/>
  <c r="M61" i="186"/>
  <c r="M62" i="186" s="1"/>
  <c r="M72" i="186" s="1"/>
  <c r="M50" i="186"/>
  <c r="N38" i="189"/>
  <c r="N42" i="189" s="1"/>
  <c r="N48" i="189" s="1"/>
  <c r="F50" i="191"/>
  <c r="F61" i="191"/>
  <c r="F62" i="191" s="1"/>
  <c r="F72" i="191" s="1"/>
  <c r="E83" i="181"/>
  <c r="F88" i="181"/>
  <c r="G88" i="181" s="1"/>
  <c r="H88" i="181" s="1"/>
  <c r="I88" i="181" s="1"/>
  <c r="J88" i="181" s="1"/>
  <c r="K88" i="181" s="1"/>
  <c r="L88" i="181" s="1"/>
  <c r="M88" i="181" s="1"/>
  <c r="C27" i="180"/>
  <c r="N23" i="180"/>
  <c r="N26" i="180"/>
  <c r="N34" i="180"/>
  <c r="D38" i="180"/>
  <c r="F49" i="180"/>
  <c r="G47" i="180"/>
  <c r="G49" i="180" s="1"/>
  <c r="L86" i="180"/>
  <c r="L57" i="180"/>
  <c r="C82" i="180"/>
  <c r="B84" i="180"/>
  <c r="B62" i="181"/>
  <c r="B50" i="181"/>
  <c r="D50" i="181"/>
  <c r="F50" i="181"/>
  <c r="H62" i="181"/>
  <c r="H72" i="181" s="1"/>
  <c r="J50" i="181"/>
  <c r="J62" i="181"/>
  <c r="J72" i="181" s="1"/>
  <c r="L62" i="181"/>
  <c r="L72" i="181" s="1"/>
  <c r="L50" i="181"/>
  <c r="E48" i="181"/>
  <c r="E50" i="181" s="1"/>
  <c r="D48" i="181"/>
  <c r="D61" i="181" s="1"/>
  <c r="D62" i="181" s="1"/>
  <c r="D72" i="181" s="1"/>
  <c r="D85" i="183"/>
  <c r="M62" i="182"/>
  <c r="M72" i="182" s="1"/>
  <c r="C50" i="182"/>
  <c r="C62" i="182"/>
  <c r="C72" i="182" s="1"/>
  <c r="K62" i="182"/>
  <c r="K72" i="182" s="1"/>
  <c r="J48" i="182"/>
  <c r="J61" i="182" s="1"/>
  <c r="J62" i="182" s="1"/>
  <c r="J72" i="182" s="1"/>
  <c r="E50" i="183"/>
  <c r="M62" i="183"/>
  <c r="M72" i="183" s="1"/>
  <c r="D48" i="183"/>
  <c r="D61" i="183" s="1"/>
  <c r="D62" i="183" s="1"/>
  <c r="D72" i="183" s="1"/>
  <c r="C88" i="183"/>
  <c r="D88" i="183" s="1"/>
  <c r="E88" i="183" s="1"/>
  <c r="F88" i="183" s="1"/>
  <c r="G88" i="183" s="1"/>
  <c r="H88" i="183" s="1"/>
  <c r="I88" i="183" s="1"/>
  <c r="J88" i="183" s="1"/>
  <c r="K88" i="183" s="1"/>
  <c r="L88" i="183" s="1"/>
  <c r="M88" i="183" s="1"/>
  <c r="C62" i="184"/>
  <c r="C72" i="184" s="1"/>
  <c r="C50" i="184"/>
  <c r="F62" i="184"/>
  <c r="F72" i="184" s="1"/>
  <c r="F50" i="184"/>
  <c r="K50" i="184"/>
  <c r="B48" i="184"/>
  <c r="B50" i="184" s="1"/>
  <c r="I48" i="184"/>
  <c r="I61" i="184" s="1"/>
  <c r="I62" i="184" s="1"/>
  <c r="I72" i="184" s="1"/>
  <c r="I27" i="184"/>
  <c r="H48" i="184"/>
  <c r="H61" i="184" s="1"/>
  <c r="N87" i="184"/>
  <c r="C50" i="185"/>
  <c r="D50" i="185"/>
  <c r="G50" i="185"/>
  <c r="L62" i="185"/>
  <c r="L72" i="185" s="1"/>
  <c r="L50" i="185"/>
  <c r="B48" i="185"/>
  <c r="B61" i="185" s="1"/>
  <c r="E48" i="185"/>
  <c r="E50" i="185" s="1"/>
  <c r="J38" i="185"/>
  <c r="J42" i="185" s="1"/>
  <c r="J48" i="185"/>
  <c r="J61" i="185" s="1"/>
  <c r="J62" i="185" s="1"/>
  <c r="J72" i="185" s="1"/>
  <c r="D61" i="185"/>
  <c r="D62" i="185" s="1"/>
  <c r="D72" i="185" s="1"/>
  <c r="L50" i="186"/>
  <c r="K61" i="189"/>
  <c r="K50" i="189"/>
  <c r="J61" i="191"/>
  <c r="J62" i="191" s="1"/>
  <c r="J72" i="191" s="1"/>
  <c r="J50" i="191"/>
  <c r="H61" i="182"/>
  <c r="B38" i="183"/>
  <c r="H50" i="184"/>
  <c r="C86" i="180"/>
  <c r="C87" i="180" s="1"/>
  <c r="D87" i="180" s="1"/>
  <c r="E87" i="180" s="1"/>
  <c r="F87" i="180" s="1"/>
  <c r="G87" i="180" s="1"/>
  <c r="H87" i="180" s="1"/>
  <c r="I87" i="180" s="1"/>
  <c r="J87" i="180" s="1"/>
  <c r="K87" i="180" s="1"/>
  <c r="L87" i="180" s="1"/>
  <c r="M87" i="180" s="1"/>
  <c r="N11" i="180"/>
  <c r="C13" i="180"/>
  <c r="M47" i="180"/>
  <c r="M60" i="180" s="1"/>
  <c r="H38" i="180"/>
  <c r="H41" i="180" s="1"/>
  <c r="H47" i="180" s="1"/>
  <c r="K49" i="180"/>
  <c r="K60" i="180"/>
  <c r="K61" i="180" s="1"/>
  <c r="K71" i="180" s="1"/>
  <c r="J60" i="180"/>
  <c r="J61" i="180" s="1"/>
  <c r="J71" i="180" s="1"/>
  <c r="N24" i="181"/>
  <c r="C27" i="181"/>
  <c r="F61" i="181"/>
  <c r="F62" i="181" s="1"/>
  <c r="F72" i="181" s="1"/>
  <c r="E61" i="181"/>
  <c r="E62" i="181" s="1"/>
  <c r="E72" i="181" s="1"/>
  <c r="L62" i="182"/>
  <c r="L72" i="182" s="1"/>
  <c r="C27" i="182"/>
  <c r="N24" i="182"/>
  <c r="N27" i="182" s="1"/>
  <c r="F48" i="182"/>
  <c r="F61" i="182" s="1"/>
  <c r="F62" i="182" s="1"/>
  <c r="F72" i="182" s="1"/>
  <c r="K62" i="183"/>
  <c r="K72" i="183" s="1"/>
  <c r="J61" i="183"/>
  <c r="J62" i="183" s="1"/>
  <c r="J72" i="183" s="1"/>
  <c r="H62" i="184"/>
  <c r="H72" i="184" s="1"/>
  <c r="L50" i="184"/>
  <c r="L62" i="184"/>
  <c r="L72" i="184" s="1"/>
  <c r="G61" i="184"/>
  <c r="G62" i="184" s="1"/>
  <c r="G72" i="184" s="1"/>
  <c r="K61" i="184"/>
  <c r="K62" i="184" s="1"/>
  <c r="K72" i="184" s="1"/>
  <c r="B62" i="185"/>
  <c r="M62" i="185"/>
  <c r="M72" i="185" s="1"/>
  <c r="K61" i="186"/>
  <c r="K62" i="186" s="1"/>
  <c r="K72" i="186" s="1"/>
  <c r="K50" i="186"/>
  <c r="E50" i="182"/>
  <c r="E62" i="182"/>
  <c r="E72" i="182" s="1"/>
  <c r="H62" i="182"/>
  <c r="H72" i="182" s="1"/>
  <c r="B42" i="182"/>
  <c r="B48" i="182" s="1"/>
  <c r="B50" i="182" s="1"/>
  <c r="N38" i="182"/>
  <c r="N42" i="182" s="1"/>
  <c r="N48" i="182" s="1"/>
  <c r="N61" i="182" s="1"/>
  <c r="N62" i="182" s="1"/>
  <c r="P72" i="182" s="1"/>
  <c r="C83" i="182"/>
  <c r="B85" i="182"/>
  <c r="L50" i="183"/>
  <c r="L62" i="183"/>
  <c r="L72" i="183" s="1"/>
  <c r="G50" i="183"/>
  <c r="G61" i="183"/>
  <c r="G62" i="183" s="1"/>
  <c r="G72" i="183" s="1"/>
  <c r="C87" i="183"/>
  <c r="C58" i="183"/>
  <c r="C61" i="183" s="1"/>
  <c r="C62" i="183" s="1"/>
  <c r="C72" i="183" s="1"/>
  <c r="E83" i="186"/>
  <c r="D85" i="186"/>
  <c r="I61" i="189"/>
  <c r="I62" i="189" s="1"/>
  <c r="I72" i="189" s="1"/>
  <c r="N61" i="181"/>
  <c r="N62" i="181" s="1"/>
  <c r="P72" i="181" s="1"/>
  <c r="I27" i="180"/>
  <c r="I86" i="180"/>
  <c r="I57" i="180"/>
  <c r="I60" i="180" s="1"/>
  <c r="I61" i="180" s="1"/>
  <c r="I71" i="180" s="1"/>
  <c r="N48" i="181"/>
  <c r="B27" i="181"/>
  <c r="N23" i="181"/>
  <c r="N27" i="181" s="1"/>
  <c r="M61" i="180"/>
  <c r="M71" i="180" s="1"/>
  <c r="H50" i="181"/>
  <c r="N13" i="180"/>
  <c r="B61" i="180"/>
  <c r="L38" i="180"/>
  <c r="L41" i="180" s="1"/>
  <c r="L47" i="180" s="1"/>
  <c r="L49" i="180" s="1"/>
  <c r="F60" i="180"/>
  <c r="F61" i="180" s="1"/>
  <c r="F71" i="180" s="1"/>
  <c r="K50" i="181"/>
  <c r="K61" i="181"/>
  <c r="K62" i="181" s="1"/>
  <c r="K72" i="181" s="1"/>
  <c r="E85" i="183"/>
  <c r="F83" i="183"/>
  <c r="D50" i="183"/>
  <c r="G62" i="182"/>
  <c r="G72" i="182" s="1"/>
  <c r="J50" i="182"/>
  <c r="K48" i="182"/>
  <c r="K61" i="182" s="1"/>
  <c r="N27" i="183"/>
  <c r="J48" i="183"/>
  <c r="J50" i="183" s="1"/>
  <c r="I62" i="183"/>
  <c r="I72" i="183" s="1"/>
  <c r="N24" i="183"/>
  <c r="D27" i="183"/>
  <c r="F38" i="183"/>
  <c r="F42" i="183" s="1"/>
  <c r="F48" i="183"/>
  <c r="F50" i="183" s="1"/>
  <c r="N58" i="183"/>
  <c r="G50" i="184"/>
  <c r="E27" i="184"/>
  <c r="N23" i="184"/>
  <c r="N27" i="184" s="1"/>
  <c r="E38" i="184"/>
  <c r="E42" i="184" s="1"/>
  <c r="E48" i="184" s="1"/>
  <c r="M38" i="184"/>
  <c r="M42" i="184" s="1"/>
  <c r="M48" i="184" s="1"/>
  <c r="B61" i="184"/>
  <c r="B62" i="184" s="1"/>
  <c r="E83" i="185"/>
  <c r="D85" i="185"/>
  <c r="C87" i="185"/>
  <c r="N56" i="185"/>
  <c r="N87" i="185" s="1"/>
  <c r="H62" i="185"/>
  <c r="H72" i="185" s="1"/>
  <c r="H50" i="185"/>
  <c r="N24" i="185"/>
  <c r="N27" i="185" s="1"/>
  <c r="N25" i="185"/>
  <c r="B42" i="185"/>
  <c r="C88" i="185"/>
  <c r="D88" i="185" s="1"/>
  <c r="E88" i="185" s="1"/>
  <c r="F88" i="185" s="1"/>
  <c r="G88" i="185" s="1"/>
  <c r="H88" i="185" s="1"/>
  <c r="I88" i="185" s="1"/>
  <c r="J88" i="185" s="1"/>
  <c r="K88" i="185" s="1"/>
  <c r="L88" i="185" s="1"/>
  <c r="M88" i="185" s="1"/>
  <c r="D62" i="186"/>
  <c r="D72" i="186" s="1"/>
  <c r="B42" i="186"/>
  <c r="F48" i="187"/>
  <c r="F61" i="187" s="1"/>
  <c r="B48" i="190"/>
  <c r="B61" i="190" s="1"/>
  <c r="N38" i="190"/>
  <c r="N42" i="190" s="1"/>
  <c r="N48" i="190" s="1"/>
  <c r="N61" i="190" s="1"/>
  <c r="N62" i="190" s="1"/>
  <c r="P72" i="190" s="1"/>
  <c r="B42" i="190"/>
  <c r="I62" i="187"/>
  <c r="I72" i="187" s="1"/>
  <c r="I50" i="187"/>
  <c r="C50" i="188"/>
  <c r="C38" i="186"/>
  <c r="C42" i="186" s="1"/>
  <c r="C48" i="186" s="1"/>
  <c r="F83" i="187"/>
  <c r="F87" i="186"/>
  <c r="F88" i="186" s="1"/>
  <c r="G88" i="186" s="1"/>
  <c r="H88" i="186" s="1"/>
  <c r="I88" i="186" s="1"/>
  <c r="J88" i="186" s="1"/>
  <c r="K88" i="186" s="1"/>
  <c r="L88" i="186" s="1"/>
  <c r="M88" i="186" s="1"/>
  <c r="F58" i="186"/>
  <c r="F61" i="186" s="1"/>
  <c r="F62" i="186" s="1"/>
  <c r="F72" i="186" s="1"/>
  <c r="N57" i="186"/>
  <c r="E61" i="187"/>
  <c r="E62" i="187" s="1"/>
  <c r="E72" i="187" s="1"/>
  <c r="J62" i="187"/>
  <c r="J72" i="187" s="1"/>
  <c r="K48" i="187"/>
  <c r="K61" i="187" s="1"/>
  <c r="N23" i="188"/>
  <c r="N27" i="188" s="1"/>
  <c r="M48" i="188"/>
  <c r="F48" i="188"/>
  <c r="C62" i="189"/>
  <c r="C72" i="189" s="1"/>
  <c r="G62" i="189"/>
  <c r="G72" i="189" s="1"/>
  <c r="G50" i="189"/>
  <c r="E48" i="189"/>
  <c r="N27" i="189"/>
  <c r="B27" i="189"/>
  <c r="N24" i="189"/>
  <c r="F87" i="189"/>
  <c r="F88" i="189" s="1"/>
  <c r="G88" i="189" s="1"/>
  <c r="H88" i="189" s="1"/>
  <c r="I88" i="189" s="1"/>
  <c r="J88" i="189" s="1"/>
  <c r="K88" i="189" s="1"/>
  <c r="L88" i="189" s="1"/>
  <c r="M88" i="189" s="1"/>
  <c r="F58" i="189"/>
  <c r="F61" i="189" s="1"/>
  <c r="F62" i="189" s="1"/>
  <c r="F72" i="189" s="1"/>
  <c r="I62" i="190"/>
  <c r="I72" i="190" s="1"/>
  <c r="G38" i="190"/>
  <c r="G42" i="190" s="1"/>
  <c r="G48" i="190"/>
  <c r="G50" i="190" s="1"/>
  <c r="K62" i="191"/>
  <c r="K72" i="191" s="1"/>
  <c r="D38" i="191"/>
  <c r="D42" i="191" s="1"/>
  <c r="D48" i="191"/>
  <c r="D61" i="191" s="1"/>
  <c r="I50" i="188"/>
  <c r="I62" i="188"/>
  <c r="I72" i="188" s="1"/>
  <c r="E50" i="190"/>
  <c r="L50" i="192"/>
  <c r="H61" i="195"/>
  <c r="H50" i="195"/>
  <c r="K50" i="185"/>
  <c r="B27" i="186"/>
  <c r="D85" i="187"/>
  <c r="J50" i="187"/>
  <c r="G62" i="187"/>
  <c r="G72" i="187" s="1"/>
  <c r="D50" i="187"/>
  <c r="M48" i="187"/>
  <c r="M61" i="187" s="1"/>
  <c r="M62" i="187" s="1"/>
  <c r="M72" i="187" s="1"/>
  <c r="D87" i="187"/>
  <c r="N56" i="187"/>
  <c r="N87" i="187" s="1"/>
  <c r="C58" i="188"/>
  <c r="E83" i="188"/>
  <c r="D85" i="188"/>
  <c r="D62" i="188"/>
  <c r="D72" i="188" s="1"/>
  <c r="D50" i="188"/>
  <c r="H50" i="188"/>
  <c r="H62" i="188"/>
  <c r="H72" i="188" s="1"/>
  <c r="G48" i="188"/>
  <c r="G50" i="188" s="1"/>
  <c r="N34" i="188"/>
  <c r="N57" i="188"/>
  <c r="N87" i="188" s="1"/>
  <c r="F58" i="188"/>
  <c r="F61" i="188" s="1"/>
  <c r="F62" i="188" s="1"/>
  <c r="F72" i="188" s="1"/>
  <c r="J61" i="188"/>
  <c r="J62" i="188" s="1"/>
  <c r="J72" i="188" s="1"/>
  <c r="C50" i="189"/>
  <c r="F50" i="189"/>
  <c r="B62" i="190"/>
  <c r="E50" i="189"/>
  <c r="B48" i="189"/>
  <c r="B50" i="189" s="1"/>
  <c r="J48" i="189"/>
  <c r="J50" i="189" s="1"/>
  <c r="C58" i="189"/>
  <c r="C61" i="189" s="1"/>
  <c r="N56" i="189"/>
  <c r="N87" i="189" s="1"/>
  <c r="E61" i="189"/>
  <c r="E62" i="189" s="1"/>
  <c r="E72" i="189" s="1"/>
  <c r="C48" i="190"/>
  <c r="C50" i="190" s="1"/>
  <c r="J48" i="190"/>
  <c r="J61" i="190" s="1"/>
  <c r="J62" i="190"/>
  <c r="J72" i="190" s="1"/>
  <c r="D48" i="190"/>
  <c r="D61" i="190" s="1"/>
  <c r="D62" i="190" s="1"/>
  <c r="D72" i="190" s="1"/>
  <c r="L27" i="190"/>
  <c r="N24" i="190"/>
  <c r="C27" i="190"/>
  <c r="N25" i="190"/>
  <c r="E87" i="190"/>
  <c r="E88" i="190" s="1"/>
  <c r="F88" i="190" s="1"/>
  <c r="G88" i="190" s="1"/>
  <c r="H88" i="190" s="1"/>
  <c r="I88" i="190" s="1"/>
  <c r="J88" i="190" s="1"/>
  <c r="K88" i="190" s="1"/>
  <c r="L88" i="190" s="1"/>
  <c r="M88" i="190" s="1"/>
  <c r="E58" i="190"/>
  <c r="E61" i="190" s="1"/>
  <c r="E62" i="190" s="1"/>
  <c r="E72" i="190" s="1"/>
  <c r="G61" i="190"/>
  <c r="G62" i="190" s="1"/>
  <c r="G72" i="190" s="1"/>
  <c r="C83" i="190"/>
  <c r="N23" i="191"/>
  <c r="N27" i="191" s="1"/>
  <c r="I62" i="191"/>
  <c r="I72" i="191" s="1"/>
  <c r="N11" i="191"/>
  <c r="N13" i="191" s="1"/>
  <c r="N38" i="191"/>
  <c r="B42" i="191"/>
  <c r="B48" i="191" s="1"/>
  <c r="G50" i="192"/>
  <c r="G62" i="192"/>
  <c r="G72" i="192" s="1"/>
  <c r="N13" i="193"/>
  <c r="L50" i="193"/>
  <c r="L62" i="193"/>
  <c r="L72" i="193" s="1"/>
  <c r="D88" i="187"/>
  <c r="E88" i="187" s="1"/>
  <c r="F88" i="187" s="1"/>
  <c r="G88" i="187" s="1"/>
  <c r="H88" i="187" s="1"/>
  <c r="I88" i="187" s="1"/>
  <c r="J88" i="187" s="1"/>
  <c r="K88" i="187" s="1"/>
  <c r="L88" i="187" s="1"/>
  <c r="M88" i="187" s="1"/>
  <c r="H38" i="187"/>
  <c r="H42" i="187" s="1"/>
  <c r="H48" i="187"/>
  <c r="H61" i="187" s="1"/>
  <c r="H62" i="187" s="1"/>
  <c r="H72" i="187" s="1"/>
  <c r="L50" i="188"/>
  <c r="L62" i="188"/>
  <c r="L72" i="188" s="1"/>
  <c r="I50" i="189"/>
  <c r="D50" i="191"/>
  <c r="D62" i="191"/>
  <c r="D72" i="191" s="1"/>
  <c r="M62" i="191"/>
  <c r="M72" i="191" s="1"/>
  <c r="M50" i="191"/>
  <c r="D50" i="192"/>
  <c r="D62" i="192"/>
  <c r="D72" i="192" s="1"/>
  <c r="L50" i="182"/>
  <c r="J62" i="186"/>
  <c r="J72" i="186" s="1"/>
  <c r="N56" i="186"/>
  <c r="N87" i="186" s="1"/>
  <c r="B48" i="186"/>
  <c r="B50" i="186" s="1"/>
  <c r="H27" i="186"/>
  <c r="N23" i="187"/>
  <c r="L50" i="187"/>
  <c r="F62" i="187"/>
  <c r="F72" i="187" s="1"/>
  <c r="K62" i="187"/>
  <c r="K72" i="187" s="1"/>
  <c r="K50" i="187"/>
  <c r="N24" i="187"/>
  <c r="N34" i="187"/>
  <c r="G48" i="187"/>
  <c r="G61" i="187" s="1"/>
  <c r="B58" i="187"/>
  <c r="B61" i="187" s="1"/>
  <c r="B62" i="187" s="1"/>
  <c r="N55" i="187"/>
  <c r="N58" i="187" s="1"/>
  <c r="C48" i="188"/>
  <c r="F50" i="188"/>
  <c r="K50" i="188"/>
  <c r="B38" i="188"/>
  <c r="E87" i="188"/>
  <c r="E88" i="188" s="1"/>
  <c r="F88" i="188" s="1"/>
  <c r="G88" i="188" s="1"/>
  <c r="H88" i="188" s="1"/>
  <c r="I88" i="188" s="1"/>
  <c r="J88" i="188" s="1"/>
  <c r="K88" i="188" s="1"/>
  <c r="L88" i="188" s="1"/>
  <c r="M88" i="188" s="1"/>
  <c r="G61" i="188"/>
  <c r="G62" i="188" s="1"/>
  <c r="G72" i="188" s="1"/>
  <c r="K61" i="188"/>
  <c r="K62" i="188" s="1"/>
  <c r="K72" i="188" s="1"/>
  <c r="H13" i="189"/>
  <c r="K62" i="189"/>
  <c r="K72" i="189" s="1"/>
  <c r="L38" i="189"/>
  <c r="L42" i="189" s="1"/>
  <c r="L48" i="189" s="1"/>
  <c r="I50" i="190"/>
  <c r="D50" i="190"/>
  <c r="H50" i="190"/>
  <c r="M50" i="190"/>
  <c r="M62" i="190"/>
  <c r="M72" i="190" s="1"/>
  <c r="N23" i="190"/>
  <c r="N27" i="190" s="1"/>
  <c r="F38" i="190"/>
  <c r="F42" i="190" s="1"/>
  <c r="F48" i="190" s="1"/>
  <c r="L61" i="190"/>
  <c r="L62" i="190" s="1"/>
  <c r="L72" i="190" s="1"/>
  <c r="K50" i="191"/>
  <c r="C62" i="191"/>
  <c r="C72" i="191" s="1"/>
  <c r="G50" i="191"/>
  <c r="L62" i="191"/>
  <c r="L72" i="191" s="1"/>
  <c r="B27" i="191"/>
  <c r="H38" i="191"/>
  <c r="H42" i="191" s="1"/>
  <c r="H48" i="191" s="1"/>
  <c r="N42" i="191"/>
  <c r="N48" i="191" s="1"/>
  <c r="G61" i="191"/>
  <c r="G62" i="191" s="1"/>
  <c r="G72" i="191" s="1"/>
  <c r="K61" i="191"/>
  <c r="D83" i="191"/>
  <c r="C85" i="191"/>
  <c r="C50" i="192"/>
  <c r="C62" i="192"/>
  <c r="C72" i="192" s="1"/>
  <c r="K50" i="192"/>
  <c r="K62" i="192"/>
  <c r="K72" i="192" s="1"/>
  <c r="B61" i="192"/>
  <c r="B62" i="192" s="1"/>
  <c r="F61" i="192"/>
  <c r="F62" i="192" s="1"/>
  <c r="F72" i="192" s="1"/>
  <c r="H61" i="192"/>
  <c r="L61" i="192"/>
  <c r="L62" i="192" s="1"/>
  <c r="L72" i="192" s="1"/>
  <c r="E83" i="193"/>
  <c r="D85" i="193"/>
  <c r="C61" i="193"/>
  <c r="C62" i="193" s="1"/>
  <c r="C72" i="193" s="1"/>
  <c r="N58" i="192"/>
  <c r="N56" i="194"/>
  <c r="N87" i="194" s="1"/>
  <c r="C87" i="194"/>
  <c r="E50" i="195"/>
  <c r="H62" i="195"/>
  <c r="H72" i="195" s="1"/>
  <c r="N48" i="195"/>
  <c r="C27" i="196"/>
  <c r="N23" i="196"/>
  <c r="N27" i="196" s="1"/>
  <c r="C85" i="206"/>
  <c r="D83" i="206"/>
  <c r="N58" i="207"/>
  <c r="F87" i="190"/>
  <c r="E58" i="191"/>
  <c r="E61" i="191" s="1"/>
  <c r="E62" i="191" s="1"/>
  <c r="E72" i="191" s="1"/>
  <c r="C87" i="191"/>
  <c r="C88" i="191" s="1"/>
  <c r="D88" i="191" s="1"/>
  <c r="E88" i="191" s="1"/>
  <c r="N56" i="191"/>
  <c r="N87" i="191" s="1"/>
  <c r="I48" i="191"/>
  <c r="I61" i="191" s="1"/>
  <c r="F87" i="191"/>
  <c r="I48" i="192"/>
  <c r="N38" i="192"/>
  <c r="N42" i="192" s="1"/>
  <c r="N48" i="192" s="1"/>
  <c r="F27" i="192"/>
  <c r="M58" i="192"/>
  <c r="G50" i="193"/>
  <c r="G62" i="193"/>
  <c r="G72" i="193" s="1"/>
  <c r="J50" i="193"/>
  <c r="I61" i="193"/>
  <c r="J85" i="195"/>
  <c r="F85" i="195"/>
  <c r="D50" i="194"/>
  <c r="H50" i="194"/>
  <c r="C48" i="194"/>
  <c r="C50" i="194" s="1"/>
  <c r="J48" i="194"/>
  <c r="J61" i="194" s="1"/>
  <c r="N25" i="194"/>
  <c r="N26" i="194"/>
  <c r="B27" i="194"/>
  <c r="N34" i="194"/>
  <c r="D48" i="194"/>
  <c r="D61" i="194" s="1"/>
  <c r="D62" i="194" s="1"/>
  <c r="D72" i="194" s="1"/>
  <c r="G48" i="194"/>
  <c r="G61" i="194" s="1"/>
  <c r="G62" i="194" s="1"/>
  <c r="G72" i="194" s="1"/>
  <c r="D61" i="195"/>
  <c r="D62" i="195" s="1"/>
  <c r="D72" i="195" s="1"/>
  <c r="M48" i="195"/>
  <c r="C50" i="195"/>
  <c r="C62" i="195"/>
  <c r="C72" i="195" s="1"/>
  <c r="K62" i="195"/>
  <c r="K72" i="195" s="1"/>
  <c r="E83" i="196"/>
  <c r="G83" i="198"/>
  <c r="G50" i="196"/>
  <c r="H48" i="196"/>
  <c r="D62" i="197"/>
  <c r="D72" i="197" s="1"/>
  <c r="K50" i="197"/>
  <c r="K61" i="197"/>
  <c r="K62" i="197" s="1"/>
  <c r="K72" i="197" s="1"/>
  <c r="B27" i="198"/>
  <c r="B28" i="198" s="1"/>
  <c r="N23" i="198"/>
  <c r="F27" i="199"/>
  <c r="F28" i="199" s="1"/>
  <c r="N23" i="199"/>
  <c r="N27" i="199" s="1"/>
  <c r="N28" i="199" s="1"/>
  <c r="M50" i="205"/>
  <c r="M61" i="205"/>
  <c r="N11" i="189"/>
  <c r="N13" i="189" s="1"/>
  <c r="D48" i="189"/>
  <c r="M48" i="192"/>
  <c r="M50" i="192" s="1"/>
  <c r="E48" i="192"/>
  <c r="E61" i="192" s="1"/>
  <c r="E62" i="192" s="1"/>
  <c r="E72" i="192" s="1"/>
  <c r="H13" i="192"/>
  <c r="K62" i="193"/>
  <c r="K72" i="193" s="1"/>
  <c r="E48" i="193"/>
  <c r="J27" i="193"/>
  <c r="J61" i="193"/>
  <c r="J62" i="193" s="1"/>
  <c r="J72" i="193" s="1"/>
  <c r="M62" i="194"/>
  <c r="M72" i="194" s="1"/>
  <c r="N23" i="194"/>
  <c r="N27" i="194" s="1"/>
  <c r="L50" i="194"/>
  <c r="L62" i="194"/>
  <c r="L72" i="194" s="1"/>
  <c r="B85" i="194"/>
  <c r="C83" i="194"/>
  <c r="C88" i="194"/>
  <c r="D88" i="194" s="1"/>
  <c r="E61" i="195"/>
  <c r="E62" i="195" s="1"/>
  <c r="E72" i="195" s="1"/>
  <c r="I50" i="195"/>
  <c r="L62" i="195"/>
  <c r="L72" i="195" s="1"/>
  <c r="E27" i="195"/>
  <c r="N23" i="195"/>
  <c r="N27" i="195" s="1"/>
  <c r="K48" i="195"/>
  <c r="K61" i="195" s="1"/>
  <c r="F38" i="197"/>
  <c r="F42" i="197" s="1"/>
  <c r="F48" i="197" s="1"/>
  <c r="N11" i="192"/>
  <c r="N13" i="192" s="1"/>
  <c r="E50" i="192"/>
  <c r="F48" i="192"/>
  <c r="F50" i="192" s="1"/>
  <c r="J48" i="192"/>
  <c r="B27" i="192"/>
  <c r="N23" i="192"/>
  <c r="N27" i="192" s="1"/>
  <c r="J27" i="192"/>
  <c r="C83" i="192"/>
  <c r="B85" i="192"/>
  <c r="M84" i="192"/>
  <c r="F48" i="193"/>
  <c r="F50" i="193" s="1"/>
  <c r="M48" i="193"/>
  <c r="M61" i="193" s="1"/>
  <c r="M62" i="193" s="1"/>
  <c r="M72" i="193" s="1"/>
  <c r="N23" i="193"/>
  <c r="N24" i="193"/>
  <c r="N25" i="193"/>
  <c r="B27" i="193"/>
  <c r="D38" i="193"/>
  <c r="D42" i="193" s="1"/>
  <c r="D48" i="193" s="1"/>
  <c r="C88" i="193"/>
  <c r="D88" i="193" s="1"/>
  <c r="E88" i="193" s="1"/>
  <c r="F88" i="193" s="1"/>
  <c r="G88" i="193" s="1"/>
  <c r="H88" i="193" s="1"/>
  <c r="I88" i="193" s="1"/>
  <c r="J88" i="193" s="1"/>
  <c r="K88" i="193" s="1"/>
  <c r="L88" i="193" s="1"/>
  <c r="M88" i="193" s="1"/>
  <c r="M83" i="195"/>
  <c r="M85" i="195" s="1"/>
  <c r="K85" i="195"/>
  <c r="C58" i="194"/>
  <c r="B72" i="195"/>
  <c r="B63" i="195"/>
  <c r="I62" i="194"/>
  <c r="I72" i="194" s="1"/>
  <c r="I50" i="194"/>
  <c r="B38" i="194"/>
  <c r="E87" i="194"/>
  <c r="E58" i="194"/>
  <c r="E61" i="194" s="1"/>
  <c r="E62" i="194" s="1"/>
  <c r="E72" i="194" s="1"/>
  <c r="N61" i="195"/>
  <c r="P61" i="195" s="1"/>
  <c r="L50" i="195"/>
  <c r="C27" i="195"/>
  <c r="N25" i="195"/>
  <c r="I61" i="195"/>
  <c r="I62" i="195" s="1"/>
  <c r="I72" i="195" s="1"/>
  <c r="B38" i="196"/>
  <c r="M50" i="199"/>
  <c r="M61" i="199"/>
  <c r="M62" i="199" s="1"/>
  <c r="M72" i="199" s="1"/>
  <c r="C13" i="200"/>
  <c r="C28" i="200"/>
  <c r="G62" i="200"/>
  <c r="G72" i="200" s="1"/>
  <c r="G50" i="200"/>
  <c r="H50" i="200"/>
  <c r="H61" i="200"/>
  <c r="H62" i="200" s="1"/>
  <c r="H72" i="200" s="1"/>
  <c r="L61" i="200"/>
  <c r="L62" i="200" s="1"/>
  <c r="L72" i="200" s="1"/>
  <c r="L50" i="200"/>
  <c r="F38" i="200"/>
  <c r="M61" i="200"/>
  <c r="M62" i="200" s="1"/>
  <c r="M72" i="200" s="1"/>
  <c r="M50" i="200"/>
  <c r="B50" i="200"/>
  <c r="B61" i="200"/>
  <c r="B62" i="200" s="1"/>
  <c r="C85" i="200"/>
  <c r="D83" i="200"/>
  <c r="K27" i="193"/>
  <c r="N9" i="194"/>
  <c r="N13" i="194" s="1"/>
  <c r="J13" i="194"/>
  <c r="I48" i="196"/>
  <c r="I61" i="196" s="1"/>
  <c r="N27" i="197"/>
  <c r="B38" i="197"/>
  <c r="G61" i="197"/>
  <c r="G62" i="197" s="1"/>
  <c r="G72" i="197" s="1"/>
  <c r="G50" i="197"/>
  <c r="B85" i="197"/>
  <c r="C83" i="197"/>
  <c r="E50" i="198"/>
  <c r="E62" i="198"/>
  <c r="E72" i="198" s="1"/>
  <c r="G50" i="198"/>
  <c r="G62" i="198"/>
  <c r="G72" i="198" s="1"/>
  <c r="I62" i="198"/>
  <c r="I72" i="198" s="1"/>
  <c r="I50" i="198"/>
  <c r="M62" i="198"/>
  <c r="M72" i="198" s="1"/>
  <c r="C48" i="198"/>
  <c r="C61" i="198" s="1"/>
  <c r="C62" i="198" s="1"/>
  <c r="C72" i="198" s="1"/>
  <c r="K48" i="198"/>
  <c r="K61" i="198" s="1"/>
  <c r="K62" i="198" s="1"/>
  <c r="K72" i="198" s="1"/>
  <c r="AB33" i="198"/>
  <c r="AP33" i="198" s="1"/>
  <c r="N34" i="198"/>
  <c r="H38" i="198"/>
  <c r="H42" i="198" s="1"/>
  <c r="H48" i="198" s="1"/>
  <c r="F62" i="199"/>
  <c r="F72" i="199" s="1"/>
  <c r="F50" i="199"/>
  <c r="H62" i="199"/>
  <c r="H72" i="199" s="1"/>
  <c r="H50" i="199"/>
  <c r="J50" i="199"/>
  <c r="J62" i="199"/>
  <c r="J72" i="199" s="1"/>
  <c r="D48" i="199"/>
  <c r="D61" i="199" s="1"/>
  <c r="D27" i="199"/>
  <c r="D28" i="199" s="1"/>
  <c r="B42" i="199"/>
  <c r="B48" i="199" s="1"/>
  <c r="B50" i="199" s="1"/>
  <c r="I48" i="199"/>
  <c r="H50" i="202"/>
  <c r="H62" i="202"/>
  <c r="H72" i="202" s="1"/>
  <c r="B27" i="205"/>
  <c r="B28" i="205" s="1"/>
  <c r="N23" i="205"/>
  <c r="N27" i="205" s="1"/>
  <c r="N28" i="205" s="1"/>
  <c r="L61" i="205"/>
  <c r="L50" i="205"/>
  <c r="C83" i="205"/>
  <c r="B85" i="205"/>
  <c r="B42" i="193"/>
  <c r="B48" i="193" s="1"/>
  <c r="B50" i="193" s="1"/>
  <c r="M50" i="193"/>
  <c r="G27" i="193"/>
  <c r="N46" i="193"/>
  <c r="H62" i="194"/>
  <c r="H72" i="194" s="1"/>
  <c r="F13" i="194"/>
  <c r="I27" i="194"/>
  <c r="F87" i="194"/>
  <c r="J62" i="195"/>
  <c r="J72" i="195" s="1"/>
  <c r="F48" i="195"/>
  <c r="F50" i="195" s="1"/>
  <c r="L48" i="196"/>
  <c r="J38" i="196"/>
  <c r="J42" i="196" s="1"/>
  <c r="J48" i="196" s="1"/>
  <c r="N34" i="197"/>
  <c r="C61" i="197"/>
  <c r="C62" i="197" s="1"/>
  <c r="C72" i="197" s="1"/>
  <c r="C50" i="197"/>
  <c r="N55" i="197"/>
  <c r="N58" i="197" s="1"/>
  <c r="B58" i="197"/>
  <c r="D61" i="197"/>
  <c r="H61" i="197"/>
  <c r="H62" i="197" s="1"/>
  <c r="H72" i="197" s="1"/>
  <c r="L61" i="197"/>
  <c r="L62" i="197" s="1"/>
  <c r="L72" i="197" s="1"/>
  <c r="N24" i="198"/>
  <c r="M50" i="198"/>
  <c r="N55" i="198"/>
  <c r="N58" i="198" s="1"/>
  <c r="B58" i="198"/>
  <c r="D61" i="198"/>
  <c r="D62" i="198" s="1"/>
  <c r="D72" i="198" s="1"/>
  <c r="L61" i="198"/>
  <c r="L62" i="198" s="1"/>
  <c r="L72" i="198" s="1"/>
  <c r="L62" i="199"/>
  <c r="L72" i="199" s="1"/>
  <c r="D50" i="199"/>
  <c r="D62" i="199"/>
  <c r="D72" i="199" s="1"/>
  <c r="H27" i="199"/>
  <c r="H28" i="199" s="1"/>
  <c r="E62" i="199"/>
  <c r="E72" i="199" s="1"/>
  <c r="E50" i="199"/>
  <c r="F61" i="201"/>
  <c r="F50" i="201"/>
  <c r="I13" i="193"/>
  <c r="C27" i="193"/>
  <c r="F87" i="193"/>
  <c r="B85" i="193"/>
  <c r="C50" i="196"/>
  <c r="E62" i="196"/>
  <c r="E72" i="196" s="1"/>
  <c r="E50" i="196"/>
  <c r="G62" i="196"/>
  <c r="G72" i="196" s="1"/>
  <c r="I62" i="196"/>
  <c r="I72" i="196" s="1"/>
  <c r="K50" i="196"/>
  <c r="M62" i="196"/>
  <c r="M72" i="196" s="1"/>
  <c r="M50" i="196"/>
  <c r="B27" i="196"/>
  <c r="F27" i="196"/>
  <c r="J27" i="196"/>
  <c r="F38" i="196"/>
  <c r="F42" i="196" s="1"/>
  <c r="F48" i="196"/>
  <c r="F50" i="196" s="1"/>
  <c r="D50" i="197"/>
  <c r="H50" i="197"/>
  <c r="I61" i="197"/>
  <c r="I62" i="197" s="1"/>
  <c r="I72" i="197" s="1"/>
  <c r="I50" i="197"/>
  <c r="M48" i="197"/>
  <c r="J38" i="197"/>
  <c r="J42" i="197" s="1"/>
  <c r="J48" i="197" s="1"/>
  <c r="E85" i="199"/>
  <c r="F83" i="199"/>
  <c r="B38" i="198"/>
  <c r="J38" i="198"/>
  <c r="J42" i="198" s="1"/>
  <c r="J48" i="198"/>
  <c r="N13" i="199"/>
  <c r="AB33" i="199"/>
  <c r="AP33" i="199" s="1"/>
  <c r="N34" i="199"/>
  <c r="C38" i="199"/>
  <c r="C42" i="199" s="1"/>
  <c r="C48" i="199"/>
  <c r="C50" i="199" s="1"/>
  <c r="N24" i="200"/>
  <c r="N27" i="200" s="1"/>
  <c r="N28" i="200" s="1"/>
  <c r="D27" i="200"/>
  <c r="D28" i="200" s="1"/>
  <c r="E27" i="202"/>
  <c r="N23" i="202"/>
  <c r="N27" i="202" s="1"/>
  <c r="N28" i="202" s="1"/>
  <c r="C42" i="202"/>
  <c r="F61" i="202"/>
  <c r="F62" i="202" s="1"/>
  <c r="F72" i="202" s="1"/>
  <c r="F50" i="202"/>
  <c r="H62" i="204"/>
  <c r="H72" i="204" s="1"/>
  <c r="H50" i="204"/>
  <c r="K50" i="204"/>
  <c r="K62" i="204"/>
  <c r="K72" i="204" s="1"/>
  <c r="B48" i="204"/>
  <c r="B50" i="204" s="1"/>
  <c r="G38" i="204"/>
  <c r="G42" i="204" s="1"/>
  <c r="G48" i="204" s="1"/>
  <c r="G27" i="200"/>
  <c r="G28" i="200" s="1"/>
  <c r="B61" i="201"/>
  <c r="B62" i="201" s="1"/>
  <c r="N13" i="201"/>
  <c r="B50" i="201"/>
  <c r="I62" i="201"/>
  <c r="I72" i="201" s="1"/>
  <c r="C42" i="201"/>
  <c r="C48" i="201" s="1"/>
  <c r="C88" i="201"/>
  <c r="D88" i="201" s="1"/>
  <c r="E88" i="201" s="1"/>
  <c r="F88" i="201" s="1"/>
  <c r="G88" i="201" s="1"/>
  <c r="H88" i="201" s="1"/>
  <c r="I88" i="201" s="1"/>
  <c r="J88" i="201" s="1"/>
  <c r="K88" i="201" s="1"/>
  <c r="L88" i="201" s="1"/>
  <c r="M88" i="201" s="1"/>
  <c r="C50" i="202"/>
  <c r="G62" i="202"/>
  <c r="G72" i="202" s="1"/>
  <c r="G50" i="202"/>
  <c r="B48" i="202"/>
  <c r="B50" i="202" s="1"/>
  <c r="D28" i="202"/>
  <c r="H28" i="202"/>
  <c r="L50" i="203"/>
  <c r="D83" i="203"/>
  <c r="C85" i="203"/>
  <c r="C27" i="207"/>
  <c r="C28" i="207" s="1"/>
  <c r="N24" i="207"/>
  <c r="I50" i="207"/>
  <c r="I61" i="207"/>
  <c r="D48" i="196"/>
  <c r="K27" i="200"/>
  <c r="K28" i="200" s="1"/>
  <c r="D28" i="201"/>
  <c r="F62" i="201"/>
  <c r="F72" i="201" s="1"/>
  <c r="J50" i="201"/>
  <c r="M50" i="201"/>
  <c r="J28" i="201"/>
  <c r="H38" i="201"/>
  <c r="H42" i="201" s="1"/>
  <c r="H48" i="201"/>
  <c r="H50" i="201" s="1"/>
  <c r="B85" i="201"/>
  <c r="C83" i="201"/>
  <c r="E61" i="202"/>
  <c r="E62" i="202" s="1"/>
  <c r="E72" i="202" s="1"/>
  <c r="M62" i="202"/>
  <c r="M72" i="202" s="1"/>
  <c r="C48" i="202"/>
  <c r="C61" i="202" s="1"/>
  <c r="C62" i="202" s="1"/>
  <c r="C72" i="202" s="1"/>
  <c r="I38" i="202"/>
  <c r="I42" i="202" s="1"/>
  <c r="I48" i="202" s="1"/>
  <c r="I61" i="202" s="1"/>
  <c r="N13" i="203"/>
  <c r="D62" i="203"/>
  <c r="D72" i="203" s="1"/>
  <c r="F13" i="208"/>
  <c r="F28" i="208"/>
  <c r="L13" i="208"/>
  <c r="L28" i="208"/>
  <c r="N11" i="208"/>
  <c r="N13" i="208" s="1"/>
  <c r="C13" i="208"/>
  <c r="G50" i="208"/>
  <c r="G62" i="208"/>
  <c r="G72" i="208" s="1"/>
  <c r="I38" i="208"/>
  <c r="I42" i="208" s="1"/>
  <c r="I48" i="208"/>
  <c r="B58" i="208"/>
  <c r="N55" i="208"/>
  <c r="H28" i="198"/>
  <c r="K48" i="200"/>
  <c r="C50" i="201"/>
  <c r="G50" i="201"/>
  <c r="G62" i="201"/>
  <c r="G72" i="201" s="1"/>
  <c r="E48" i="201"/>
  <c r="E50" i="201" s="1"/>
  <c r="I48" i="201"/>
  <c r="I61" i="201" s="1"/>
  <c r="G27" i="201"/>
  <c r="G28" i="201" s="1"/>
  <c r="N24" i="201"/>
  <c r="N27" i="201" s="1"/>
  <c r="N28" i="201" s="1"/>
  <c r="D38" i="201"/>
  <c r="D42" i="201" s="1"/>
  <c r="D48" i="201" s="1"/>
  <c r="N46" i="201"/>
  <c r="C61" i="201"/>
  <c r="C62" i="201" s="1"/>
  <c r="C72" i="201" s="1"/>
  <c r="H61" i="201"/>
  <c r="H62" i="201" s="1"/>
  <c r="H72" i="201" s="1"/>
  <c r="J48" i="202"/>
  <c r="J61" i="202" s="1"/>
  <c r="J62" i="202" s="1"/>
  <c r="J72" i="202" s="1"/>
  <c r="B58" i="202"/>
  <c r="N55" i="202"/>
  <c r="N58" i="202" s="1"/>
  <c r="M50" i="203"/>
  <c r="M61" i="203"/>
  <c r="M62" i="203" s="1"/>
  <c r="M72" i="203" s="1"/>
  <c r="H50" i="203"/>
  <c r="H62" i="203"/>
  <c r="H72" i="203" s="1"/>
  <c r="B27" i="203"/>
  <c r="B28" i="203" s="1"/>
  <c r="N24" i="203"/>
  <c r="N27" i="203" s="1"/>
  <c r="N28" i="203" s="1"/>
  <c r="J38" i="203"/>
  <c r="J42" i="203" s="1"/>
  <c r="J48" i="203" s="1"/>
  <c r="C83" i="204"/>
  <c r="B85" i="204"/>
  <c r="J48" i="200"/>
  <c r="J61" i="200" s="1"/>
  <c r="J62" i="200" s="1"/>
  <c r="J72" i="200" s="1"/>
  <c r="J48" i="201"/>
  <c r="J61" i="201" s="1"/>
  <c r="J62" i="201" s="1"/>
  <c r="J72" i="201" s="1"/>
  <c r="M28" i="202"/>
  <c r="D48" i="202"/>
  <c r="D61" i="202" s="1"/>
  <c r="D62" i="202" s="1"/>
  <c r="D72" i="202" s="1"/>
  <c r="K48" i="202"/>
  <c r="G62" i="203"/>
  <c r="G72" i="203" s="1"/>
  <c r="F38" i="203"/>
  <c r="B63" i="205"/>
  <c r="B72" i="205"/>
  <c r="N13" i="204"/>
  <c r="F50" i="204"/>
  <c r="F62" i="204"/>
  <c r="F72" i="204" s="1"/>
  <c r="C38" i="204"/>
  <c r="C42" i="204" s="1"/>
  <c r="C48" i="204" s="1"/>
  <c r="K62" i="205"/>
  <c r="K72" i="205" s="1"/>
  <c r="K50" i="205"/>
  <c r="G48" i="205"/>
  <c r="G61" i="205" s="1"/>
  <c r="G61" i="206"/>
  <c r="C83" i="207"/>
  <c r="B85" i="207"/>
  <c r="M61" i="207"/>
  <c r="M62" i="207" s="1"/>
  <c r="M72" i="207" s="1"/>
  <c r="K28" i="201"/>
  <c r="N87" i="201"/>
  <c r="E28" i="202"/>
  <c r="N11" i="202"/>
  <c r="N13" i="202" s="1"/>
  <c r="L48" i="202"/>
  <c r="B85" i="202"/>
  <c r="C13" i="203"/>
  <c r="F13" i="203"/>
  <c r="N87" i="203"/>
  <c r="C88" i="203"/>
  <c r="D88" i="203" s="1"/>
  <c r="E88" i="203" s="1"/>
  <c r="F88" i="203" s="1"/>
  <c r="G88" i="203" s="1"/>
  <c r="H88" i="203" s="1"/>
  <c r="I88" i="203" s="1"/>
  <c r="J88" i="203" s="1"/>
  <c r="K88" i="203" s="1"/>
  <c r="L88" i="203" s="1"/>
  <c r="M88" i="203" s="1"/>
  <c r="D13" i="204"/>
  <c r="N23" i="204"/>
  <c r="N27" i="204" s="1"/>
  <c r="N28" i="204" s="1"/>
  <c r="I48" i="204"/>
  <c r="I61" i="204" s="1"/>
  <c r="I62" i="204" s="1"/>
  <c r="I72" i="204" s="1"/>
  <c r="L62" i="205"/>
  <c r="L72" i="205" s="1"/>
  <c r="D48" i="205"/>
  <c r="D61" i="205" s="1"/>
  <c r="D62" i="205" s="1"/>
  <c r="D72" i="205" s="1"/>
  <c r="L28" i="205"/>
  <c r="C42" i="205"/>
  <c r="N38" i="205"/>
  <c r="N42" i="205" s="1"/>
  <c r="N48" i="205" s="1"/>
  <c r="F61" i="206"/>
  <c r="F62" i="206" s="1"/>
  <c r="F72" i="206" s="1"/>
  <c r="F50" i="206"/>
  <c r="C28" i="201"/>
  <c r="L28" i="202"/>
  <c r="D50" i="203"/>
  <c r="N20" i="203"/>
  <c r="E50" i="204"/>
  <c r="E62" i="204"/>
  <c r="E72" i="204" s="1"/>
  <c r="J13" i="204"/>
  <c r="M50" i="204"/>
  <c r="M62" i="204"/>
  <c r="M72" i="204" s="1"/>
  <c r="N11" i="204"/>
  <c r="B42" i="204"/>
  <c r="N38" i="204"/>
  <c r="N42" i="204" s="1"/>
  <c r="N48" i="204" s="1"/>
  <c r="N61" i="204" s="1"/>
  <c r="M62" i="205"/>
  <c r="M72" i="205" s="1"/>
  <c r="E48" i="205"/>
  <c r="E61" i="205" s="1"/>
  <c r="G13" i="206"/>
  <c r="G28" i="206"/>
  <c r="N48" i="206"/>
  <c r="C27" i="206"/>
  <c r="C28" i="206" s="1"/>
  <c r="N23" i="206"/>
  <c r="N27" i="206" s="1"/>
  <c r="N28" i="206" s="1"/>
  <c r="L48" i="204"/>
  <c r="L61" i="204" s="1"/>
  <c r="L62" i="204" s="1"/>
  <c r="L72" i="204" s="1"/>
  <c r="G28" i="205"/>
  <c r="N58" i="206"/>
  <c r="N61" i="206" s="1"/>
  <c r="H62" i="206"/>
  <c r="H72" i="206" s="1"/>
  <c r="H50" i="206"/>
  <c r="K50" i="206"/>
  <c r="D88" i="206"/>
  <c r="E88" i="206" s="1"/>
  <c r="F88" i="206" s="1"/>
  <c r="G88" i="206" s="1"/>
  <c r="H88" i="206" s="1"/>
  <c r="I88" i="206" s="1"/>
  <c r="J88" i="206" s="1"/>
  <c r="K88" i="206" s="1"/>
  <c r="L88" i="206" s="1"/>
  <c r="M88" i="206" s="1"/>
  <c r="I62" i="207"/>
  <c r="I72" i="207" s="1"/>
  <c r="K50" i="207"/>
  <c r="D48" i="207"/>
  <c r="N27" i="207"/>
  <c r="N28" i="207" s="1"/>
  <c r="B42" i="207"/>
  <c r="I48" i="203"/>
  <c r="G13" i="205"/>
  <c r="E13" i="205"/>
  <c r="H13" i="205"/>
  <c r="F48" i="205"/>
  <c r="F61" i="205" s="1"/>
  <c r="F62" i="205" s="1"/>
  <c r="F72" i="205" s="1"/>
  <c r="K27" i="205"/>
  <c r="K28" i="205" s="1"/>
  <c r="C50" i="206"/>
  <c r="E48" i="206"/>
  <c r="M48" i="206"/>
  <c r="M61" i="206" s="1"/>
  <c r="M62" i="206" s="1"/>
  <c r="M72" i="206" s="1"/>
  <c r="D61" i="206"/>
  <c r="D62" i="206" s="1"/>
  <c r="D72" i="206" s="1"/>
  <c r="G38" i="207"/>
  <c r="G42" i="207" s="1"/>
  <c r="G48" i="207"/>
  <c r="B61" i="207"/>
  <c r="B62" i="207" s="1"/>
  <c r="H61" i="207"/>
  <c r="H62" i="207" s="1"/>
  <c r="H72" i="207" s="1"/>
  <c r="L61" i="207"/>
  <c r="L62" i="207" s="1"/>
  <c r="L72" i="207" s="1"/>
  <c r="L88" i="208"/>
  <c r="M88" i="208" s="1"/>
  <c r="B13" i="203"/>
  <c r="K28" i="203"/>
  <c r="D28" i="204"/>
  <c r="H28" i="204"/>
  <c r="L28" i="204"/>
  <c r="D48" i="204"/>
  <c r="D61" i="204" s="1"/>
  <c r="I13" i="205"/>
  <c r="J48" i="205"/>
  <c r="J62" i="206"/>
  <c r="J72" i="206" s="1"/>
  <c r="J50" i="206"/>
  <c r="L62" i="206"/>
  <c r="L72" i="206" s="1"/>
  <c r="L50" i="206"/>
  <c r="B13" i="206"/>
  <c r="N11" i="206"/>
  <c r="N13" i="206" s="1"/>
  <c r="N62" i="206" s="1"/>
  <c r="P72" i="206" s="1"/>
  <c r="H50" i="207"/>
  <c r="J62" i="207"/>
  <c r="J72" i="207" s="1"/>
  <c r="B48" i="207"/>
  <c r="B50" i="207" s="1"/>
  <c r="F48" i="207"/>
  <c r="N25" i="207"/>
  <c r="C38" i="207"/>
  <c r="C42" i="207" s="1"/>
  <c r="C48" i="207"/>
  <c r="C50" i="207" s="1"/>
  <c r="L58" i="208"/>
  <c r="L61" i="208" s="1"/>
  <c r="L87" i="208"/>
  <c r="N56" i="208"/>
  <c r="N87" i="208" s="1"/>
  <c r="N27" i="209"/>
  <c r="N28" i="209" s="1"/>
  <c r="F50" i="211"/>
  <c r="F62" i="211"/>
  <c r="F72" i="211" s="1"/>
  <c r="J50" i="211"/>
  <c r="J62" i="211"/>
  <c r="J72" i="211" s="1"/>
  <c r="C48" i="205"/>
  <c r="M50" i="206"/>
  <c r="N38" i="206"/>
  <c r="N42" i="206" s="1"/>
  <c r="B58" i="206"/>
  <c r="B61" i="206" s="1"/>
  <c r="L84" i="207"/>
  <c r="K84" i="207"/>
  <c r="D28" i="207"/>
  <c r="N55" i="207"/>
  <c r="N23" i="208"/>
  <c r="N27" i="208" s="1"/>
  <c r="N28" i="208" s="1"/>
  <c r="J50" i="208"/>
  <c r="E38" i="208"/>
  <c r="F84" i="208"/>
  <c r="N53" i="208"/>
  <c r="I84" i="208"/>
  <c r="K84" i="208"/>
  <c r="E84" i="208"/>
  <c r="G84" i="208"/>
  <c r="J84" i="208"/>
  <c r="H50" i="209"/>
  <c r="J48" i="209"/>
  <c r="C27" i="209"/>
  <c r="C28" i="209" s="1"/>
  <c r="B38" i="209"/>
  <c r="H13" i="208"/>
  <c r="H28" i="208"/>
  <c r="K50" i="208"/>
  <c r="K61" i="208"/>
  <c r="K62" i="208" s="1"/>
  <c r="K72" i="208" s="1"/>
  <c r="C83" i="208"/>
  <c r="B85" i="208"/>
  <c r="E62" i="209"/>
  <c r="E72" i="209" s="1"/>
  <c r="G50" i="209"/>
  <c r="G62" i="209"/>
  <c r="G72" i="209" s="1"/>
  <c r="I62" i="209"/>
  <c r="I72" i="209" s="1"/>
  <c r="I50" i="209"/>
  <c r="M50" i="209"/>
  <c r="F38" i="209"/>
  <c r="F42" i="209" s="1"/>
  <c r="F48" i="209"/>
  <c r="M61" i="209"/>
  <c r="M62" i="209" s="1"/>
  <c r="M72" i="209" s="1"/>
  <c r="B48" i="208"/>
  <c r="B50" i="208" s="1"/>
  <c r="F48" i="208"/>
  <c r="J48" i="208"/>
  <c r="B28" i="208"/>
  <c r="E27" i="208"/>
  <c r="E28" i="208" s="1"/>
  <c r="M38" i="208"/>
  <c r="M42" i="208" s="1"/>
  <c r="M48" i="208"/>
  <c r="M50" i="208" s="1"/>
  <c r="F61" i="208"/>
  <c r="J61" i="208"/>
  <c r="J62" i="208" s="1"/>
  <c r="J72" i="208" s="1"/>
  <c r="C50" i="209"/>
  <c r="E50" i="209"/>
  <c r="D83" i="209"/>
  <c r="C85" i="209"/>
  <c r="D27" i="211"/>
  <c r="D28" i="211" s="1"/>
  <c r="N24" i="211"/>
  <c r="N27" i="211" s="1"/>
  <c r="N28" i="211" s="1"/>
  <c r="F62" i="212"/>
  <c r="F72" i="212" s="1"/>
  <c r="F50" i="212"/>
  <c r="C62" i="212"/>
  <c r="C72" i="212" s="1"/>
  <c r="C50" i="212"/>
  <c r="C62" i="211"/>
  <c r="C72" i="211" s="1"/>
  <c r="K62" i="211"/>
  <c r="K72" i="211" s="1"/>
  <c r="C48" i="211"/>
  <c r="C61" i="211" s="1"/>
  <c r="G48" i="211"/>
  <c r="G61" i="211" s="1"/>
  <c r="G62" i="211" s="1"/>
  <c r="G72" i="211" s="1"/>
  <c r="H27" i="211"/>
  <c r="H28" i="211" s="1"/>
  <c r="D50" i="212"/>
  <c r="D62" i="212"/>
  <c r="D72" i="212" s="1"/>
  <c r="L62" i="212"/>
  <c r="L72" i="212" s="1"/>
  <c r="L50" i="212"/>
  <c r="K50" i="213"/>
  <c r="H50" i="211"/>
  <c r="H62" i="211"/>
  <c r="H72" i="211" s="1"/>
  <c r="B42" i="211"/>
  <c r="B48" i="211" s="1"/>
  <c r="B61" i="211" s="1"/>
  <c r="B62" i="211" s="1"/>
  <c r="F61" i="211"/>
  <c r="M50" i="212"/>
  <c r="M61" i="212"/>
  <c r="M62" i="212" s="1"/>
  <c r="M72" i="212" s="1"/>
  <c r="J62" i="212"/>
  <c r="J72" i="212" s="1"/>
  <c r="F27" i="212"/>
  <c r="F28" i="212" s="1"/>
  <c r="N23" i="212"/>
  <c r="N27" i="212" s="1"/>
  <c r="N28" i="212" s="1"/>
  <c r="B42" i="212"/>
  <c r="N38" i="212"/>
  <c r="N42" i="212" s="1"/>
  <c r="N48" i="212" s="1"/>
  <c r="N61" i="212" s="1"/>
  <c r="N62" i="212" s="1"/>
  <c r="M50" i="213"/>
  <c r="E62" i="213"/>
  <c r="E72" i="213" s="1"/>
  <c r="I50" i="211"/>
  <c r="G28" i="211"/>
  <c r="L27" i="211"/>
  <c r="L28" i="211" s="1"/>
  <c r="C28" i="211"/>
  <c r="E38" i="211"/>
  <c r="E42" i="211" s="1"/>
  <c r="E48" i="211"/>
  <c r="M38" i="211"/>
  <c r="M42" i="211" s="1"/>
  <c r="M48" i="211"/>
  <c r="H50" i="212"/>
  <c r="H62" i="212"/>
  <c r="H72" i="212" s="1"/>
  <c r="N26" i="213"/>
  <c r="N27" i="213" s="1"/>
  <c r="N28" i="213" s="1"/>
  <c r="K27" i="213"/>
  <c r="K28" i="213" s="1"/>
  <c r="G27" i="213"/>
  <c r="G28" i="213" s="1"/>
  <c r="G50" i="213"/>
  <c r="M46" i="211"/>
  <c r="L61" i="213"/>
  <c r="J61" i="213"/>
  <c r="J62" i="213" s="1"/>
  <c r="J72" i="213" s="1"/>
  <c r="H61" i="213"/>
  <c r="F61" i="213"/>
  <c r="D61" i="213"/>
  <c r="D62" i="213" s="1"/>
  <c r="D72" i="213" s="1"/>
  <c r="B61" i="213"/>
  <c r="B62" i="213" s="1"/>
  <c r="F50" i="214"/>
  <c r="F61" i="214"/>
  <c r="F62" i="214" s="1"/>
  <c r="F72" i="214" s="1"/>
  <c r="D50" i="214"/>
  <c r="D61" i="214"/>
  <c r="D62" i="214" s="1"/>
  <c r="D72" i="214" s="1"/>
  <c r="N46" i="211"/>
  <c r="B48" i="212"/>
  <c r="L28" i="212"/>
  <c r="I28" i="213"/>
  <c r="E28" i="213"/>
  <c r="N9" i="213"/>
  <c r="N13" i="213" s="1"/>
  <c r="M48" i="213"/>
  <c r="M61" i="213" s="1"/>
  <c r="M62" i="213" s="1"/>
  <c r="M72" i="213" s="1"/>
  <c r="L62" i="213"/>
  <c r="L72" i="213" s="1"/>
  <c r="J50" i="213"/>
  <c r="H62" i="213"/>
  <c r="H72" i="213" s="1"/>
  <c r="F62" i="213"/>
  <c r="F72" i="213" s="1"/>
  <c r="F50" i="213"/>
  <c r="B50" i="213"/>
  <c r="M27" i="213"/>
  <c r="M28" i="213" s="1"/>
  <c r="K48" i="213"/>
  <c r="K61" i="213"/>
  <c r="K62" i="213" s="1"/>
  <c r="K72" i="213" s="1"/>
  <c r="I48" i="213"/>
  <c r="I50" i="213" s="1"/>
  <c r="I61" i="213"/>
  <c r="I62" i="213" s="1"/>
  <c r="I72" i="213" s="1"/>
  <c r="G48" i="213"/>
  <c r="G61" i="213"/>
  <c r="G62" i="213" s="1"/>
  <c r="G72" i="213" s="1"/>
  <c r="E48" i="213"/>
  <c r="E50" i="213" s="1"/>
  <c r="E61" i="213"/>
  <c r="C48" i="213"/>
  <c r="C50" i="213" s="1"/>
  <c r="C61" i="213"/>
  <c r="C62" i="213" s="1"/>
  <c r="C72" i="213" s="1"/>
  <c r="N38" i="213"/>
  <c r="N42" i="213" s="1"/>
  <c r="N48" i="213" s="1"/>
  <c r="N61" i="213" s="1"/>
  <c r="B42" i="213"/>
  <c r="B48" i="213" s="1"/>
  <c r="C27" i="213"/>
  <c r="C28" i="213" s="1"/>
  <c r="K63" i="222"/>
  <c r="J73" i="222"/>
  <c r="J64" i="222"/>
  <c r="J74" i="222" s="1"/>
  <c r="J84" i="200"/>
  <c r="F84" i="200"/>
  <c r="E58" i="200"/>
  <c r="E61" i="200" s="1"/>
  <c r="E62" i="200" s="1"/>
  <c r="J84" i="201"/>
  <c r="F84" i="201"/>
  <c r="E58" i="201"/>
  <c r="E61" i="201" s="1"/>
  <c r="E62" i="201" s="1"/>
  <c r="N53" i="201"/>
  <c r="N58" i="201" s="1"/>
  <c r="I28" i="202"/>
  <c r="I13" i="202"/>
  <c r="K84" i="202"/>
  <c r="K85" i="202" s="1"/>
  <c r="G84" i="202"/>
  <c r="G85" i="202" s="1"/>
  <c r="C28" i="205"/>
  <c r="M84" i="205"/>
  <c r="I84" i="205"/>
  <c r="E84" i="205"/>
  <c r="N53" i="205"/>
  <c r="N58" i="205" s="1"/>
  <c r="H73" i="221"/>
  <c r="H64" i="221"/>
  <c r="H74" i="221" s="1"/>
  <c r="I63" i="221"/>
  <c r="H73" i="220"/>
  <c r="H64" i="220"/>
  <c r="H74" i="220" s="1"/>
  <c r="I63" i="220"/>
  <c r="H63" i="219"/>
  <c r="G73" i="219"/>
  <c r="G64" i="219"/>
  <c r="G74" i="219" s="1"/>
  <c r="E73" i="218"/>
  <c r="E64" i="218"/>
  <c r="E74" i="218" s="1"/>
  <c r="F63" i="218"/>
  <c r="F63" i="217"/>
  <c r="E73" i="217"/>
  <c r="E64" i="217"/>
  <c r="E74" i="217" s="1"/>
  <c r="D73" i="216"/>
  <c r="D64" i="216"/>
  <c r="D74" i="216" s="1"/>
  <c r="E63" i="216"/>
  <c r="N50" i="215"/>
  <c r="O50" i="215" s="1"/>
  <c r="B73" i="215"/>
  <c r="B64" i="215"/>
  <c r="B74" i="215" s="1"/>
  <c r="C63" i="215"/>
  <c r="L61" i="214"/>
  <c r="L62" i="214" s="1"/>
  <c r="L72" i="214" s="1"/>
  <c r="N48" i="214"/>
  <c r="N61" i="214" s="1"/>
  <c r="N62" i="214" s="1"/>
  <c r="H61" i="214"/>
  <c r="H62" i="214" s="1"/>
  <c r="H72" i="214" s="1"/>
  <c r="M50" i="214"/>
  <c r="E50" i="214"/>
  <c r="B61" i="214"/>
  <c r="B62" i="214" s="1"/>
  <c r="B63" i="214" s="1"/>
  <c r="B50" i="214"/>
  <c r="N27" i="214"/>
  <c r="N28" i="214" s="1"/>
  <c r="J61" i="214"/>
  <c r="J62" i="214" s="1"/>
  <c r="J72" i="214" s="1"/>
  <c r="J61" i="203" l="1"/>
  <c r="J62" i="203" s="1"/>
  <c r="J72" i="203" s="1"/>
  <c r="J50" i="203"/>
  <c r="J50" i="196"/>
  <c r="J61" i="196"/>
  <c r="J62" i="196" s="1"/>
  <c r="J72" i="196" s="1"/>
  <c r="H60" i="180"/>
  <c r="H61" i="180" s="1"/>
  <c r="H71" i="180" s="1"/>
  <c r="H49" i="180"/>
  <c r="F61" i="185"/>
  <c r="F62" i="185" s="1"/>
  <c r="F72" i="185" s="1"/>
  <c r="F50" i="185"/>
  <c r="C50" i="204"/>
  <c r="N50" i="204" s="1"/>
  <c r="C61" i="204"/>
  <c r="C62" i="204" s="1"/>
  <c r="C72" i="204" s="1"/>
  <c r="H61" i="191"/>
  <c r="H62" i="191" s="1"/>
  <c r="H72" i="191" s="1"/>
  <c r="H50" i="191"/>
  <c r="B61" i="191"/>
  <c r="B62" i="191" s="1"/>
  <c r="B50" i="191"/>
  <c r="B72" i="201"/>
  <c r="B63" i="201"/>
  <c r="H50" i="198"/>
  <c r="H61" i="198"/>
  <c r="H62" i="198" s="1"/>
  <c r="H72" i="198" s="1"/>
  <c r="D50" i="193"/>
  <c r="D61" i="193"/>
  <c r="D62" i="193" s="1"/>
  <c r="D72" i="193" s="1"/>
  <c r="B63" i="187"/>
  <c r="B72" i="187"/>
  <c r="G61" i="204"/>
  <c r="G62" i="204" s="1"/>
  <c r="G72" i="204" s="1"/>
  <c r="G50" i="204"/>
  <c r="F61" i="190"/>
  <c r="F62" i="190" s="1"/>
  <c r="F72" i="190" s="1"/>
  <c r="F50" i="190"/>
  <c r="M61" i="184"/>
  <c r="M62" i="184" s="1"/>
  <c r="M72" i="184" s="1"/>
  <c r="M50" i="184"/>
  <c r="N50" i="184" s="1"/>
  <c r="B72" i="211"/>
  <c r="B63" i="211"/>
  <c r="D61" i="201"/>
  <c r="D62" i="201" s="1"/>
  <c r="D72" i="201" s="1"/>
  <c r="D50" i="201"/>
  <c r="N50" i="201" s="1"/>
  <c r="E61" i="184"/>
  <c r="E62" i="184" s="1"/>
  <c r="E72" i="184" s="1"/>
  <c r="E50" i="184"/>
  <c r="B72" i="213"/>
  <c r="B63" i="213"/>
  <c r="J61" i="197"/>
  <c r="J62" i="197" s="1"/>
  <c r="J72" i="197" s="1"/>
  <c r="J50" i="197"/>
  <c r="F61" i="197"/>
  <c r="F62" i="197" s="1"/>
  <c r="F72" i="197" s="1"/>
  <c r="F50" i="197"/>
  <c r="B72" i="192"/>
  <c r="B63" i="192"/>
  <c r="L61" i="189"/>
  <c r="L62" i="189" s="1"/>
  <c r="L72" i="189" s="1"/>
  <c r="L50" i="189"/>
  <c r="C50" i="186"/>
  <c r="N50" i="186" s="1"/>
  <c r="C61" i="186"/>
  <c r="C62" i="186" s="1"/>
  <c r="C72" i="186" s="1"/>
  <c r="B63" i="184"/>
  <c r="B72" i="184"/>
  <c r="D83" i="208"/>
  <c r="C85" i="208"/>
  <c r="H50" i="208"/>
  <c r="H62" i="208"/>
  <c r="H72" i="208" s="1"/>
  <c r="G50" i="205"/>
  <c r="G62" i="205"/>
  <c r="G72" i="205" s="1"/>
  <c r="N62" i="204"/>
  <c r="P72" i="204" s="1"/>
  <c r="F42" i="203"/>
  <c r="F48" i="203" s="1"/>
  <c r="F61" i="203" s="1"/>
  <c r="N38" i="203"/>
  <c r="N42" i="203" s="1"/>
  <c r="N48" i="203" s="1"/>
  <c r="N61" i="203" s="1"/>
  <c r="N62" i="203" s="1"/>
  <c r="P72" i="203" s="1"/>
  <c r="I61" i="208"/>
  <c r="I62" i="208" s="1"/>
  <c r="I72" i="208" s="1"/>
  <c r="I50" i="208"/>
  <c r="L62" i="208"/>
  <c r="L72" i="208" s="1"/>
  <c r="L50" i="208"/>
  <c r="J50" i="202"/>
  <c r="D61" i="196"/>
  <c r="D62" i="196" s="1"/>
  <c r="D72" i="196" s="1"/>
  <c r="D50" i="196"/>
  <c r="F61" i="209"/>
  <c r="F62" i="209" s="1"/>
  <c r="F72" i="209" s="1"/>
  <c r="F50" i="209"/>
  <c r="I50" i="203"/>
  <c r="I61" i="203"/>
  <c r="I62" i="203" s="1"/>
  <c r="I72" i="203" s="1"/>
  <c r="J62" i="204"/>
  <c r="J72" i="204" s="1"/>
  <c r="J50" i="204"/>
  <c r="C50" i="203"/>
  <c r="C62" i="203"/>
  <c r="C72" i="203" s="1"/>
  <c r="B61" i="204"/>
  <c r="B62" i="204" s="1"/>
  <c r="C50" i="208"/>
  <c r="C62" i="208"/>
  <c r="C72" i="208" s="1"/>
  <c r="D85" i="203"/>
  <c r="E83" i="203"/>
  <c r="N38" i="201"/>
  <c r="N42" i="201" s="1"/>
  <c r="N48" i="201" s="1"/>
  <c r="J50" i="198"/>
  <c r="J61" i="198"/>
  <c r="J62" i="198" s="1"/>
  <c r="J72" i="198" s="1"/>
  <c r="M50" i="197"/>
  <c r="M61" i="197"/>
  <c r="M62" i="197" s="1"/>
  <c r="M72" i="197" s="1"/>
  <c r="F50" i="194"/>
  <c r="F62" i="194"/>
  <c r="F72" i="194" s="1"/>
  <c r="N38" i="197"/>
  <c r="N42" i="197" s="1"/>
  <c r="N48" i="197" s="1"/>
  <c r="N61" i="197" s="1"/>
  <c r="B42" i="197"/>
  <c r="B48" i="197" s="1"/>
  <c r="B50" i="197" s="1"/>
  <c r="F42" i="200"/>
  <c r="F48" i="200" s="1"/>
  <c r="N38" i="200"/>
  <c r="N42" i="200" s="1"/>
  <c r="N48" i="200" s="1"/>
  <c r="N61" i="200" s="1"/>
  <c r="D83" i="192"/>
  <c r="C85" i="192"/>
  <c r="D83" i="194"/>
  <c r="C85" i="194"/>
  <c r="N27" i="198"/>
  <c r="N28" i="198" s="1"/>
  <c r="B72" i="185"/>
  <c r="B63" i="185"/>
  <c r="D41" i="180"/>
  <c r="D47" i="180" s="1"/>
  <c r="N38" i="180"/>
  <c r="N41" i="180" s="1"/>
  <c r="N47" i="180" s="1"/>
  <c r="N61" i="205"/>
  <c r="N62" i="205" s="1"/>
  <c r="P72" i="205" s="1"/>
  <c r="N62" i="213"/>
  <c r="B61" i="212"/>
  <c r="B62" i="212" s="1"/>
  <c r="B50" i="212"/>
  <c r="N50" i="212" s="1"/>
  <c r="O50" i="212" s="1"/>
  <c r="E61" i="211"/>
  <c r="E62" i="211" s="1"/>
  <c r="E72" i="211" s="1"/>
  <c r="E50" i="211"/>
  <c r="B42" i="209"/>
  <c r="B48" i="209" s="1"/>
  <c r="N38" i="209"/>
  <c r="N42" i="209" s="1"/>
  <c r="N48" i="209" s="1"/>
  <c r="N61" i="209" s="1"/>
  <c r="N62" i="209" s="1"/>
  <c r="E42" i="208"/>
  <c r="E48" i="208" s="1"/>
  <c r="N38" i="208"/>
  <c r="N42" i="208" s="1"/>
  <c r="N48" i="208" s="1"/>
  <c r="B50" i="211"/>
  <c r="B50" i="203"/>
  <c r="B62" i="203"/>
  <c r="E61" i="206"/>
  <c r="E62" i="206" s="1"/>
  <c r="E72" i="206" s="1"/>
  <c r="E50" i="206"/>
  <c r="H50" i="205"/>
  <c r="H62" i="205"/>
  <c r="H72" i="205" s="1"/>
  <c r="N38" i="207"/>
  <c r="N42" i="207" s="1"/>
  <c r="N48" i="207" s="1"/>
  <c r="L50" i="204"/>
  <c r="C85" i="207"/>
  <c r="D83" i="207"/>
  <c r="B73" i="205"/>
  <c r="B64" i="205"/>
  <c r="B74" i="205" s="1"/>
  <c r="K61" i="202"/>
  <c r="K62" i="202" s="1"/>
  <c r="K72" i="202" s="1"/>
  <c r="K50" i="202"/>
  <c r="F50" i="208"/>
  <c r="F62" i="208"/>
  <c r="F72" i="208" s="1"/>
  <c r="D83" i="201"/>
  <c r="C85" i="201"/>
  <c r="D50" i="205"/>
  <c r="N38" i="202"/>
  <c r="N42" i="202" s="1"/>
  <c r="N48" i="202" s="1"/>
  <c r="N61" i="202" s="1"/>
  <c r="C50" i="198"/>
  <c r="E83" i="200"/>
  <c r="D85" i="200"/>
  <c r="J50" i="200"/>
  <c r="B61" i="199"/>
  <c r="B62" i="199" s="1"/>
  <c r="N62" i="195"/>
  <c r="C61" i="194"/>
  <c r="C62" i="194" s="1"/>
  <c r="C72" i="194" s="1"/>
  <c r="D61" i="189"/>
  <c r="D62" i="189" s="1"/>
  <c r="D72" i="189" s="1"/>
  <c r="D50" i="189"/>
  <c r="N50" i="189" s="1"/>
  <c r="G85" i="198"/>
  <c r="H83" i="198"/>
  <c r="E83" i="206"/>
  <c r="D85" i="206"/>
  <c r="G50" i="194"/>
  <c r="F61" i="193"/>
  <c r="F62" i="193" s="1"/>
  <c r="F72" i="193" s="1"/>
  <c r="E85" i="193"/>
  <c r="F83" i="193"/>
  <c r="D85" i="191"/>
  <c r="E83" i="191"/>
  <c r="H50" i="189"/>
  <c r="H62" i="189"/>
  <c r="H72" i="189" s="1"/>
  <c r="J50" i="190"/>
  <c r="C61" i="188"/>
  <c r="C62" i="188" s="1"/>
  <c r="C72" i="188" s="1"/>
  <c r="M50" i="187"/>
  <c r="N58" i="191"/>
  <c r="N61" i="191" s="1"/>
  <c r="N62" i="191" s="1"/>
  <c r="P72" i="191" s="1"/>
  <c r="N38" i="187"/>
  <c r="N42" i="187" s="1"/>
  <c r="N48" i="187" s="1"/>
  <c r="N61" i="187" s="1"/>
  <c r="N62" i="187" s="1"/>
  <c r="P72" i="187" s="1"/>
  <c r="N38" i="186"/>
  <c r="N42" i="186" s="1"/>
  <c r="N48" i="186" s="1"/>
  <c r="N38" i="184"/>
  <c r="N42" i="184" s="1"/>
  <c r="N48" i="184" s="1"/>
  <c r="N61" i="184" s="1"/>
  <c r="N62" i="184" s="1"/>
  <c r="P72" i="184" s="1"/>
  <c r="B71" i="180"/>
  <c r="B62" i="180"/>
  <c r="D83" i="182"/>
  <c r="C85" i="182"/>
  <c r="F61" i="183"/>
  <c r="F62" i="183" s="1"/>
  <c r="F72" i="183" s="1"/>
  <c r="B42" i="183"/>
  <c r="B48" i="183" s="1"/>
  <c r="N38" i="183"/>
  <c r="N42" i="183" s="1"/>
  <c r="N48" i="183" s="1"/>
  <c r="N61" i="183" s="1"/>
  <c r="N62" i="183" s="1"/>
  <c r="P72" i="183" s="1"/>
  <c r="J61" i="189"/>
  <c r="J62" i="189" s="1"/>
  <c r="J72" i="189" s="1"/>
  <c r="N58" i="188"/>
  <c r="B61" i="186"/>
  <c r="B62" i="186" s="1"/>
  <c r="F50" i="182"/>
  <c r="N50" i="182" s="1"/>
  <c r="B61" i="182"/>
  <c r="B62" i="182" s="1"/>
  <c r="D82" i="180"/>
  <c r="C84" i="180"/>
  <c r="B61" i="189"/>
  <c r="B62" i="189" s="1"/>
  <c r="E61" i="185"/>
  <c r="E62" i="185" s="1"/>
  <c r="E72" i="185" s="1"/>
  <c r="N50" i="213"/>
  <c r="O50" i="213" s="1"/>
  <c r="M61" i="211"/>
  <c r="M62" i="211" s="1"/>
  <c r="M72" i="211" s="1"/>
  <c r="M50" i="211"/>
  <c r="J50" i="209"/>
  <c r="J61" i="209"/>
  <c r="J62" i="209" s="1"/>
  <c r="J72" i="209" s="1"/>
  <c r="F50" i="207"/>
  <c r="N50" i="207" s="1"/>
  <c r="F61" i="207"/>
  <c r="F62" i="207" s="1"/>
  <c r="F72" i="207" s="1"/>
  <c r="I62" i="205"/>
  <c r="I72" i="205" s="1"/>
  <c r="I50" i="205"/>
  <c r="B72" i="207"/>
  <c r="B63" i="207"/>
  <c r="F62" i="203"/>
  <c r="F72" i="203" s="1"/>
  <c r="F50" i="203"/>
  <c r="D83" i="204"/>
  <c r="C85" i="204"/>
  <c r="K50" i="200"/>
  <c r="K61" i="200"/>
  <c r="K62" i="200" s="1"/>
  <c r="K72" i="200" s="1"/>
  <c r="C50" i="211"/>
  <c r="E83" i="209"/>
  <c r="D85" i="209"/>
  <c r="C61" i="205"/>
  <c r="C62" i="205" s="1"/>
  <c r="C72" i="205" s="1"/>
  <c r="C50" i="205"/>
  <c r="B62" i="206"/>
  <c r="B50" i="206"/>
  <c r="N50" i="206" s="1"/>
  <c r="G61" i="207"/>
  <c r="G62" i="207" s="1"/>
  <c r="G72" i="207" s="1"/>
  <c r="G50" i="207"/>
  <c r="D61" i="207"/>
  <c r="D62" i="207" s="1"/>
  <c r="D72" i="207" s="1"/>
  <c r="D50" i="207"/>
  <c r="D50" i="204"/>
  <c r="D62" i="204"/>
  <c r="D72" i="204" s="1"/>
  <c r="I50" i="204"/>
  <c r="G83" i="199"/>
  <c r="F85" i="199"/>
  <c r="I50" i="193"/>
  <c r="I62" i="193"/>
  <c r="I72" i="193" s="1"/>
  <c r="N38" i="199"/>
  <c r="N42" i="199" s="1"/>
  <c r="N48" i="199" s="1"/>
  <c r="N61" i="199" s="1"/>
  <c r="P61" i="199" s="1"/>
  <c r="J50" i="192"/>
  <c r="J61" i="192"/>
  <c r="J62" i="192" s="1"/>
  <c r="J72" i="192" s="1"/>
  <c r="E50" i="193"/>
  <c r="N50" i="193" s="1"/>
  <c r="E61" i="193"/>
  <c r="E62" i="193" s="1"/>
  <c r="E72" i="193" s="1"/>
  <c r="N61" i="207"/>
  <c r="N62" i="207" s="1"/>
  <c r="P72" i="207" s="1"/>
  <c r="N61" i="192"/>
  <c r="P61" i="192" s="1"/>
  <c r="E85" i="188"/>
  <c r="F83" i="188"/>
  <c r="E85" i="186"/>
  <c r="F83" i="186"/>
  <c r="N86" i="180"/>
  <c r="N57" i="180"/>
  <c r="N60" i="180" s="1"/>
  <c r="N61" i="201"/>
  <c r="N62" i="201" s="1"/>
  <c r="N38" i="211"/>
  <c r="N42" i="211" s="1"/>
  <c r="N48" i="211" s="1"/>
  <c r="N61" i="211" s="1"/>
  <c r="N62" i="211" s="1"/>
  <c r="G50" i="211"/>
  <c r="M61" i="208"/>
  <c r="M62" i="208" s="1"/>
  <c r="M72" i="208" s="1"/>
  <c r="N58" i="208"/>
  <c r="N61" i="208" s="1"/>
  <c r="N62" i="208" s="1"/>
  <c r="J61" i="205"/>
  <c r="J62" i="205" s="1"/>
  <c r="J72" i="205" s="1"/>
  <c r="J50" i="205"/>
  <c r="C61" i="207"/>
  <c r="C62" i="207" s="1"/>
  <c r="C72" i="207" s="1"/>
  <c r="E62" i="205"/>
  <c r="E72" i="205" s="1"/>
  <c r="E50" i="205"/>
  <c r="G50" i="206"/>
  <c r="G62" i="206"/>
  <c r="G72" i="206" s="1"/>
  <c r="F50" i="205"/>
  <c r="L61" i="202"/>
  <c r="L62" i="202" s="1"/>
  <c r="L72" i="202" s="1"/>
  <c r="L50" i="202"/>
  <c r="B61" i="202"/>
  <c r="B62" i="202" s="1"/>
  <c r="D50" i="202"/>
  <c r="B61" i="208"/>
  <c r="B62" i="208" s="1"/>
  <c r="I50" i="201"/>
  <c r="C61" i="199"/>
  <c r="C62" i="199" s="1"/>
  <c r="C72" i="199" s="1"/>
  <c r="K50" i="198"/>
  <c r="C62" i="200"/>
  <c r="C72" i="200" s="1"/>
  <c r="C50" i="200"/>
  <c r="N27" i="193"/>
  <c r="B61" i="193"/>
  <c r="B62" i="193" s="1"/>
  <c r="H50" i="192"/>
  <c r="H62" i="192"/>
  <c r="H72" i="192" s="1"/>
  <c r="F61" i="196"/>
  <c r="F62" i="196" s="1"/>
  <c r="F72" i="196" s="1"/>
  <c r="H61" i="196"/>
  <c r="H62" i="196" s="1"/>
  <c r="H72" i="196" s="1"/>
  <c r="H50" i="196"/>
  <c r="F83" i="196"/>
  <c r="E85" i="196"/>
  <c r="N58" i="194"/>
  <c r="M61" i="192"/>
  <c r="M62" i="192" s="1"/>
  <c r="M72" i="192" s="1"/>
  <c r="I61" i="192"/>
  <c r="I62" i="192" s="1"/>
  <c r="I72" i="192" s="1"/>
  <c r="I50" i="192"/>
  <c r="N50" i="192" s="1"/>
  <c r="N62" i="193"/>
  <c r="P72" i="193" s="1"/>
  <c r="C61" i="190"/>
  <c r="C62" i="190" s="1"/>
  <c r="C72" i="190" s="1"/>
  <c r="H50" i="187"/>
  <c r="M61" i="188"/>
  <c r="M62" i="188" s="1"/>
  <c r="M72" i="188" s="1"/>
  <c r="M50" i="188"/>
  <c r="F85" i="187"/>
  <c r="G83" i="187"/>
  <c r="B50" i="190"/>
  <c r="N50" i="190" s="1"/>
  <c r="G83" i="183"/>
  <c r="F85" i="183"/>
  <c r="N61" i="180"/>
  <c r="P71" i="180" s="1"/>
  <c r="C49" i="180"/>
  <c r="C61" i="180"/>
  <c r="C71" i="180" s="1"/>
  <c r="N58" i="189"/>
  <c r="N61" i="189" s="1"/>
  <c r="N62" i="189" s="1"/>
  <c r="P72" i="189" s="1"/>
  <c r="N50" i="181"/>
  <c r="G60" i="180"/>
  <c r="G61" i="180" s="1"/>
  <c r="G71" i="180" s="1"/>
  <c r="M49" i="180"/>
  <c r="N58" i="185"/>
  <c r="B42" i="198"/>
  <c r="B48" i="198" s="1"/>
  <c r="B50" i="198" s="1"/>
  <c r="N38" i="198"/>
  <c r="N42" i="198" s="1"/>
  <c r="N48" i="198" s="1"/>
  <c r="N61" i="198" s="1"/>
  <c r="L61" i="196"/>
  <c r="L62" i="196" s="1"/>
  <c r="L72" i="196" s="1"/>
  <c r="L50" i="196"/>
  <c r="D83" i="205"/>
  <c r="C85" i="205"/>
  <c r="I50" i="199"/>
  <c r="N50" i="199" s="1"/>
  <c r="I61" i="199"/>
  <c r="I62" i="199" s="1"/>
  <c r="I72" i="199" s="1"/>
  <c r="D83" i="197"/>
  <c r="C85" i="197"/>
  <c r="J50" i="194"/>
  <c r="J62" i="194"/>
  <c r="J72" i="194" s="1"/>
  <c r="B72" i="200"/>
  <c r="B63" i="200"/>
  <c r="N38" i="196"/>
  <c r="N42" i="196" s="1"/>
  <c r="N48" i="196" s="1"/>
  <c r="N61" i="196" s="1"/>
  <c r="B42" i="196"/>
  <c r="B48" i="196" s="1"/>
  <c r="B42" i="194"/>
  <c r="B48" i="194" s="1"/>
  <c r="N38" i="194"/>
  <c r="N42" i="194" s="1"/>
  <c r="N48" i="194" s="1"/>
  <c r="B73" i="195"/>
  <c r="C63" i="195"/>
  <c r="B64" i="195"/>
  <c r="B74" i="195" s="1"/>
  <c r="E88" i="194"/>
  <c r="F88" i="194" s="1"/>
  <c r="G88" i="194" s="1"/>
  <c r="H88" i="194" s="1"/>
  <c r="I88" i="194" s="1"/>
  <c r="J88" i="194" s="1"/>
  <c r="K88" i="194" s="1"/>
  <c r="L88" i="194" s="1"/>
  <c r="M88" i="194" s="1"/>
  <c r="I50" i="196"/>
  <c r="K50" i="195"/>
  <c r="M61" i="195"/>
  <c r="M62" i="195" s="1"/>
  <c r="M72" i="195" s="1"/>
  <c r="M50" i="195"/>
  <c r="N50" i="195" s="1"/>
  <c r="F88" i="191"/>
  <c r="G88" i="191" s="1"/>
  <c r="H88" i="191" s="1"/>
  <c r="I88" i="191" s="1"/>
  <c r="J88" i="191" s="1"/>
  <c r="K88" i="191" s="1"/>
  <c r="L88" i="191" s="1"/>
  <c r="M88" i="191" s="1"/>
  <c r="N38" i="193"/>
  <c r="N42" i="193" s="1"/>
  <c r="N48" i="193" s="1"/>
  <c r="N61" i="193" s="1"/>
  <c r="B42" i="188"/>
  <c r="B48" i="188" s="1"/>
  <c r="N38" i="188"/>
  <c r="N42" i="188" s="1"/>
  <c r="N48" i="188" s="1"/>
  <c r="F50" i="187"/>
  <c r="N50" i="187" s="1"/>
  <c r="N27" i="187"/>
  <c r="F61" i="195"/>
  <c r="F62" i="195" s="1"/>
  <c r="F72" i="195" s="1"/>
  <c r="I50" i="191"/>
  <c r="D83" i="190"/>
  <c r="C85" i="190"/>
  <c r="B63" i="190"/>
  <c r="B72" i="190"/>
  <c r="G50" i="187"/>
  <c r="N38" i="185"/>
  <c r="N42" i="185" s="1"/>
  <c r="N48" i="185" s="1"/>
  <c r="E85" i="185"/>
  <c r="F83" i="185"/>
  <c r="B50" i="185"/>
  <c r="N50" i="185" s="1"/>
  <c r="N58" i="186"/>
  <c r="N61" i="186" s="1"/>
  <c r="N62" i="186" s="1"/>
  <c r="P72" i="186" s="1"/>
  <c r="K50" i="182"/>
  <c r="B72" i="181"/>
  <c r="B63" i="181"/>
  <c r="L60" i="180"/>
  <c r="L61" i="180" s="1"/>
  <c r="L71" i="180" s="1"/>
  <c r="N27" i="180"/>
  <c r="F83" i="181"/>
  <c r="E85" i="181"/>
  <c r="I85" i="184"/>
  <c r="J83" i="184"/>
  <c r="I50" i="184"/>
  <c r="L63" i="222"/>
  <c r="K73" i="222"/>
  <c r="K64" i="222"/>
  <c r="K74" i="222" s="1"/>
  <c r="I62" i="202"/>
  <c r="I50" i="202"/>
  <c r="N50" i="202" s="1"/>
  <c r="P61" i="201"/>
  <c r="E72" i="201"/>
  <c r="E72" i="200"/>
  <c r="I73" i="221"/>
  <c r="I64" i="221"/>
  <c r="I74" i="221" s="1"/>
  <c r="J63" i="221"/>
  <c r="I64" i="220"/>
  <c r="I74" i="220" s="1"/>
  <c r="J63" i="220"/>
  <c r="I73" i="220"/>
  <c r="H73" i="219"/>
  <c r="H64" i="219"/>
  <c r="H74" i="219" s="1"/>
  <c r="I63" i="219"/>
  <c r="G63" i="218"/>
  <c r="F73" i="218"/>
  <c r="F64" i="218"/>
  <c r="F74" i="218" s="1"/>
  <c r="G63" i="217"/>
  <c r="F73" i="217"/>
  <c r="F64" i="217"/>
  <c r="F74" i="217" s="1"/>
  <c r="E64" i="216"/>
  <c r="E74" i="216" s="1"/>
  <c r="F63" i="216"/>
  <c r="E73" i="216"/>
  <c r="C64" i="215"/>
  <c r="C74" i="215" s="1"/>
  <c r="D63" i="215"/>
  <c r="C73" i="215"/>
  <c r="N50" i="214"/>
  <c r="O50" i="214" s="1"/>
  <c r="B72" i="214"/>
  <c r="B73" i="214"/>
  <c r="B64" i="214"/>
  <c r="B74" i="214" s="1"/>
  <c r="C63" i="214"/>
  <c r="P61" i="202" l="1"/>
  <c r="N62" i="202"/>
  <c r="N50" i="208"/>
  <c r="P61" i="198"/>
  <c r="N62" i="198"/>
  <c r="P61" i="197"/>
  <c r="N62" i="197"/>
  <c r="B63" i="189"/>
  <c r="B72" i="189"/>
  <c r="B72" i="199"/>
  <c r="B63" i="199"/>
  <c r="E83" i="207"/>
  <c r="D85" i="207"/>
  <c r="B63" i="203"/>
  <c r="B72" i="203"/>
  <c r="E50" i="208"/>
  <c r="E61" i="208"/>
  <c r="E62" i="208" s="1"/>
  <c r="E72" i="208" s="1"/>
  <c r="B64" i="185"/>
  <c r="B74" i="185" s="1"/>
  <c r="B73" i="185"/>
  <c r="C63" i="185"/>
  <c r="E83" i="194"/>
  <c r="D85" i="194"/>
  <c r="D85" i="208"/>
  <c r="E83" i="208"/>
  <c r="B73" i="181"/>
  <c r="C63" i="181"/>
  <c r="B64" i="181"/>
  <c r="B74" i="181" s="1"/>
  <c r="D85" i="197"/>
  <c r="E83" i="197"/>
  <c r="D85" i="205"/>
  <c r="E83" i="205"/>
  <c r="F85" i="186"/>
  <c r="G83" i="186"/>
  <c r="H83" i="199"/>
  <c r="G85" i="199"/>
  <c r="E85" i="206"/>
  <c r="F83" i="206"/>
  <c r="C63" i="205"/>
  <c r="N50" i="203"/>
  <c r="N50" i="197"/>
  <c r="F85" i="181"/>
  <c r="G83" i="181"/>
  <c r="B50" i="196"/>
  <c r="N50" i="196" s="1"/>
  <c r="B61" i="196"/>
  <c r="B62" i="196" s="1"/>
  <c r="N62" i="199"/>
  <c r="H83" i="187"/>
  <c r="G85" i="187"/>
  <c r="G83" i="196"/>
  <c r="F85" i="196"/>
  <c r="B63" i="202"/>
  <c r="B72" i="202"/>
  <c r="E82" i="180"/>
  <c r="D84" i="180"/>
  <c r="B72" i="186"/>
  <c r="B63" i="186"/>
  <c r="B50" i="183"/>
  <c r="N50" i="183" s="1"/>
  <c r="B61" i="183"/>
  <c r="B62" i="183" s="1"/>
  <c r="B72" i="180"/>
  <c r="C62" i="180"/>
  <c r="B63" i="180"/>
  <c r="B73" i="180" s="1"/>
  <c r="F83" i="191"/>
  <c r="E85" i="191"/>
  <c r="I83" i="198"/>
  <c r="H85" i="198"/>
  <c r="N50" i="211"/>
  <c r="O50" i="211" s="1"/>
  <c r="B50" i="209"/>
  <c r="N50" i="209" s="1"/>
  <c r="O50" i="209" s="1"/>
  <c r="B61" i="209"/>
  <c r="B62" i="209" s="1"/>
  <c r="B72" i="212"/>
  <c r="B63" i="212"/>
  <c r="D85" i="192"/>
  <c r="E83" i="192"/>
  <c r="B73" i="192"/>
  <c r="B64" i="192"/>
  <c r="B74" i="192" s="1"/>
  <c r="C63" i="192"/>
  <c r="B64" i="211"/>
  <c r="B74" i="211" s="1"/>
  <c r="B73" i="211"/>
  <c r="C63" i="211"/>
  <c r="N50" i="191"/>
  <c r="G83" i="185"/>
  <c r="F85" i="185"/>
  <c r="C63" i="200"/>
  <c r="B64" i="200"/>
  <c r="B74" i="200" s="1"/>
  <c r="B73" i="200"/>
  <c r="H83" i="183"/>
  <c r="G85" i="183"/>
  <c r="N61" i="194"/>
  <c r="N62" i="194" s="1"/>
  <c r="P72" i="194" s="1"/>
  <c r="B72" i="193"/>
  <c r="B63" i="193"/>
  <c r="B72" i="208"/>
  <c r="B63" i="208"/>
  <c r="N50" i="205"/>
  <c r="F85" i="193"/>
  <c r="G83" i="193"/>
  <c r="F61" i="200"/>
  <c r="F62" i="200" s="1"/>
  <c r="F72" i="200" s="1"/>
  <c r="F50" i="200"/>
  <c r="N50" i="200" s="1"/>
  <c r="B73" i="190"/>
  <c r="C63" i="190"/>
  <c r="B64" i="190"/>
  <c r="B74" i="190" s="1"/>
  <c r="B61" i="188"/>
  <c r="B62" i="188" s="1"/>
  <c r="B50" i="188"/>
  <c r="N50" i="188" s="1"/>
  <c r="B50" i="194"/>
  <c r="N50" i="194" s="1"/>
  <c r="B61" i="194"/>
  <c r="B62" i="194" s="1"/>
  <c r="N50" i="198"/>
  <c r="E83" i="182"/>
  <c r="D85" i="182"/>
  <c r="B61" i="197"/>
  <c r="B62" i="197" s="1"/>
  <c r="B73" i="187"/>
  <c r="C63" i="187"/>
  <c r="B64" i="187"/>
  <c r="B74" i="187" s="1"/>
  <c r="B73" i="201"/>
  <c r="C63" i="201"/>
  <c r="B64" i="201"/>
  <c r="B74" i="201" s="1"/>
  <c r="C64" i="195"/>
  <c r="C74" i="195" s="1"/>
  <c r="C73" i="195"/>
  <c r="D63" i="195"/>
  <c r="K83" i="184"/>
  <c r="J85" i="184"/>
  <c r="D85" i="190"/>
  <c r="E83" i="190"/>
  <c r="P61" i="196"/>
  <c r="N62" i="196"/>
  <c r="N61" i="185"/>
  <c r="N62" i="185" s="1"/>
  <c r="P72" i="185" s="1"/>
  <c r="G83" i="188"/>
  <c r="F85" i="188"/>
  <c r="B63" i="206"/>
  <c r="B72" i="206"/>
  <c r="F83" i="209"/>
  <c r="E85" i="209"/>
  <c r="E83" i="204"/>
  <c r="D85" i="204"/>
  <c r="B73" i="207"/>
  <c r="C63" i="207"/>
  <c r="B64" i="207"/>
  <c r="B74" i="207" s="1"/>
  <c r="B63" i="182"/>
  <c r="B72" i="182"/>
  <c r="N61" i="188"/>
  <c r="N62" i="188" s="1"/>
  <c r="P72" i="188" s="1"/>
  <c r="P62" i="195"/>
  <c r="P72" i="195"/>
  <c r="F83" i="200"/>
  <c r="E85" i="200"/>
  <c r="B61" i="198"/>
  <c r="B62" i="198" s="1"/>
  <c r="D85" i="201"/>
  <c r="E83" i="201"/>
  <c r="D60" i="180"/>
  <c r="D61" i="180" s="1"/>
  <c r="D71" i="180" s="1"/>
  <c r="D49" i="180"/>
  <c r="N49" i="180" s="1"/>
  <c r="P61" i="200"/>
  <c r="N62" i="200"/>
  <c r="F83" i="203"/>
  <c r="E85" i="203"/>
  <c r="B63" i="204"/>
  <c r="B72" i="204"/>
  <c r="B73" i="184"/>
  <c r="C63" i="184"/>
  <c r="B64" i="184"/>
  <c r="B74" i="184" s="1"/>
  <c r="B73" i="213"/>
  <c r="C63" i="213"/>
  <c r="B64" i="213"/>
  <c r="B74" i="213" s="1"/>
  <c r="N62" i="192"/>
  <c r="B72" i="191"/>
  <c r="B63" i="191"/>
  <c r="L73" i="222"/>
  <c r="L64" i="222"/>
  <c r="L74" i="222" s="1"/>
  <c r="M63" i="222"/>
  <c r="P72" i="201"/>
  <c r="P62" i="201"/>
  <c r="I72" i="202"/>
  <c r="K63" i="221"/>
  <c r="J73" i="221"/>
  <c r="J64" i="221"/>
  <c r="J74" i="221" s="1"/>
  <c r="K63" i="220"/>
  <c r="J73" i="220"/>
  <c r="J64" i="220"/>
  <c r="J74" i="220" s="1"/>
  <c r="I64" i="219"/>
  <c r="I74" i="219" s="1"/>
  <c r="I73" i="219"/>
  <c r="J63" i="219"/>
  <c r="H63" i="218"/>
  <c r="G73" i="218"/>
  <c r="G64" i="218"/>
  <c r="G74" i="218" s="1"/>
  <c r="H63" i="217"/>
  <c r="G73" i="217"/>
  <c r="G64" i="217"/>
  <c r="G74" i="217" s="1"/>
  <c r="G63" i="216"/>
  <c r="F73" i="216"/>
  <c r="F64" i="216"/>
  <c r="F74" i="216" s="1"/>
  <c r="E63" i="215"/>
  <c r="D73" i="215"/>
  <c r="D64" i="215"/>
  <c r="D74" i="215" s="1"/>
  <c r="C73" i="214"/>
  <c r="C64" i="214"/>
  <c r="C74" i="214" s="1"/>
  <c r="D63" i="214"/>
  <c r="P72" i="192" l="1"/>
  <c r="P62" i="192"/>
  <c r="B73" i="204"/>
  <c r="C63" i="204"/>
  <c r="B64" i="204"/>
  <c r="B74" i="204" s="1"/>
  <c r="C63" i="182"/>
  <c r="B64" i="182"/>
  <c r="B74" i="182" s="1"/>
  <c r="B73" i="182"/>
  <c r="B72" i="197"/>
  <c r="B63" i="197"/>
  <c r="E85" i="192"/>
  <c r="F83" i="192"/>
  <c r="I85" i="198"/>
  <c r="J83" i="198"/>
  <c r="B73" i="186"/>
  <c r="C63" i="186"/>
  <c r="B64" i="186"/>
  <c r="B74" i="186" s="1"/>
  <c r="F83" i="205"/>
  <c r="E85" i="205"/>
  <c r="D63" i="184"/>
  <c r="C64" i="184"/>
  <c r="C74" i="184" s="1"/>
  <c r="C73" i="184"/>
  <c r="B72" i="198"/>
  <c r="B63" i="198"/>
  <c r="E85" i="204"/>
  <c r="F83" i="204"/>
  <c r="P62" i="196"/>
  <c r="P72" i="196"/>
  <c r="B72" i="194"/>
  <c r="B63" i="194"/>
  <c r="C63" i="208"/>
  <c r="B64" i="208"/>
  <c r="B74" i="208" s="1"/>
  <c r="B73" i="208"/>
  <c r="B73" i="202"/>
  <c r="C63" i="202"/>
  <c r="B64" i="202"/>
  <c r="B74" i="202" s="1"/>
  <c r="G85" i="181"/>
  <c r="H83" i="181"/>
  <c r="I83" i="199"/>
  <c r="H85" i="199"/>
  <c r="B73" i="191"/>
  <c r="C63" i="191"/>
  <c r="B64" i="191"/>
  <c r="B74" i="191" s="1"/>
  <c r="C64" i="213"/>
  <c r="C74" i="213" s="1"/>
  <c r="D63" i="213"/>
  <c r="C73" i="213"/>
  <c r="G83" i="203"/>
  <c r="F85" i="203"/>
  <c r="C73" i="207"/>
  <c r="D63" i="207"/>
  <c r="C64" i="207"/>
  <c r="C74" i="207" s="1"/>
  <c r="K85" i="184"/>
  <c r="L83" i="184"/>
  <c r="C64" i="187"/>
  <c r="C74" i="187" s="1"/>
  <c r="C73" i="187"/>
  <c r="D63" i="187"/>
  <c r="E85" i="182"/>
  <c r="F83" i="182"/>
  <c r="C73" i="190"/>
  <c r="D63" i="190"/>
  <c r="C64" i="190"/>
  <c r="C74" i="190" s="1"/>
  <c r="H83" i="193"/>
  <c r="G85" i="193"/>
  <c r="D63" i="200"/>
  <c r="C64" i="200"/>
  <c r="C74" i="200" s="1"/>
  <c r="C73" i="200"/>
  <c r="D63" i="211"/>
  <c r="C73" i="211"/>
  <c r="C64" i="211"/>
  <c r="C74" i="211" s="1"/>
  <c r="B73" i="212"/>
  <c r="B64" i="212"/>
  <c r="B74" i="212" s="1"/>
  <c r="C63" i="212"/>
  <c r="F85" i="191"/>
  <c r="G83" i="191"/>
  <c r="B72" i="183"/>
  <c r="B63" i="183"/>
  <c r="P72" i="199"/>
  <c r="P62" i="199"/>
  <c r="G83" i="206"/>
  <c r="F85" i="206"/>
  <c r="H83" i="186"/>
  <c r="G85" i="186"/>
  <c r="E85" i="197"/>
  <c r="F83" i="197"/>
  <c r="E85" i="194"/>
  <c r="F83" i="194"/>
  <c r="P72" i="198"/>
  <c r="P62" i="198"/>
  <c r="P72" i="202"/>
  <c r="P62" i="202"/>
  <c r="B63" i="188"/>
  <c r="B72" i="188"/>
  <c r="H83" i="185"/>
  <c r="G85" i="185"/>
  <c r="B72" i="209"/>
  <c r="B63" i="209"/>
  <c r="D62" i="180"/>
  <c r="C72" i="180"/>
  <c r="C63" i="180"/>
  <c r="C73" i="180" s="1"/>
  <c r="B73" i="199"/>
  <c r="C63" i="199"/>
  <c r="B64" i="199"/>
  <c r="B74" i="199" s="1"/>
  <c r="P62" i="197"/>
  <c r="P72" i="197"/>
  <c r="B73" i="206"/>
  <c r="C63" i="206"/>
  <c r="B64" i="206"/>
  <c r="B74" i="206" s="1"/>
  <c r="C64" i="192"/>
  <c r="C74" i="192" s="1"/>
  <c r="C73" i="192"/>
  <c r="D63" i="192"/>
  <c r="I83" i="187"/>
  <c r="H85" i="187"/>
  <c r="C73" i="205"/>
  <c r="D63" i="205"/>
  <c r="C64" i="205"/>
  <c r="C74" i="205" s="1"/>
  <c r="D63" i="181"/>
  <c r="C64" i="181"/>
  <c r="C74" i="181" s="1"/>
  <c r="C73" i="181"/>
  <c r="B73" i="203"/>
  <c r="B64" i="203"/>
  <c r="B74" i="203" s="1"/>
  <c r="C63" i="203"/>
  <c r="P62" i="200"/>
  <c r="P72" i="200"/>
  <c r="E85" i="201"/>
  <c r="F83" i="201"/>
  <c r="G83" i="200"/>
  <c r="F85" i="200"/>
  <c r="F85" i="209"/>
  <c r="G83" i="209"/>
  <c r="G85" i="188"/>
  <c r="H83" i="188"/>
  <c r="F83" i="190"/>
  <c r="E85" i="190"/>
  <c r="D64" i="195"/>
  <c r="D74" i="195" s="1"/>
  <c r="D73" i="195"/>
  <c r="E63" i="195"/>
  <c r="D63" i="201"/>
  <c r="C64" i="201"/>
  <c r="C74" i="201" s="1"/>
  <c r="C73" i="201"/>
  <c r="B73" i="193"/>
  <c r="C63" i="193"/>
  <c r="B64" i="193"/>
  <c r="B74" i="193" s="1"/>
  <c r="I83" i="183"/>
  <c r="H85" i="183"/>
  <c r="F82" i="180"/>
  <c r="E84" i="180"/>
  <c r="H83" i="196"/>
  <c r="G85" i="196"/>
  <c r="B63" i="196"/>
  <c r="B72" i="196"/>
  <c r="F83" i="208"/>
  <c r="E85" i="208"/>
  <c r="C64" i="185"/>
  <c r="C74" i="185" s="1"/>
  <c r="C73" i="185"/>
  <c r="D63" i="185"/>
  <c r="E85" i="207"/>
  <c r="F83" i="207"/>
  <c r="B73" i="189"/>
  <c r="C63" i="189"/>
  <c r="B64" i="189"/>
  <c r="B74" i="189" s="1"/>
  <c r="M64" i="222"/>
  <c r="M74" i="222" s="1"/>
  <c r="M73" i="222"/>
  <c r="L63" i="221"/>
  <c r="K73" i="221"/>
  <c r="K64" i="221"/>
  <c r="K74" i="221" s="1"/>
  <c r="L63" i="220"/>
  <c r="K73" i="220"/>
  <c r="K64" i="220"/>
  <c r="K74" i="220" s="1"/>
  <c r="K63" i="219"/>
  <c r="J73" i="219"/>
  <c r="J64" i="219"/>
  <c r="J74" i="219" s="1"/>
  <c r="H73" i="218"/>
  <c r="H64" i="218"/>
  <c r="H74" i="218" s="1"/>
  <c r="I63" i="218"/>
  <c r="H73" i="217"/>
  <c r="H64" i="217"/>
  <c r="H74" i="217" s="1"/>
  <c r="I63" i="217"/>
  <c r="H63" i="216"/>
  <c r="G73" i="216"/>
  <c r="G64" i="216"/>
  <c r="G74" i="216" s="1"/>
  <c r="F63" i="215"/>
  <c r="E73" i="215"/>
  <c r="E64" i="215"/>
  <c r="E74" i="215" s="1"/>
  <c r="E63" i="214"/>
  <c r="D73" i="214"/>
  <c r="D64" i="214"/>
  <c r="D74" i="214" s="1"/>
  <c r="G83" i="190" l="1"/>
  <c r="F85" i="190"/>
  <c r="C63" i="209"/>
  <c r="B73" i="209"/>
  <c r="B64" i="209"/>
  <c r="B74" i="209" s="1"/>
  <c r="C73" i="212"/>
  <c r="D63" i="212"/>
  <c r="C64" i="212"/>
  <c r="C74" i="212" s="1"/>
  <c r="D64" i="200"/>
  <c r="D74" i="200" s="1"/>
  <c r="D73" i="200"/>
  <c r="E63" i="200"/>
  <c r="D73" i="187"/>
  <c r="D64" i="187"/>
  <c r="D74" i="187" s="1"/>
  <c r="E63" i="187"/>
  <c r="D73" i="184"/>
  <c r="E63" i="184"/>
  <c r="D64" i="184"/>
  <c r="D74" i="184" s="1"/>
  <c r="C64" i="189"/>
  <c r="C74" i="189" s="1"/>
  <c r="C73" i="189"/>
  <c r="D63" i="189"/>
  <c r="G83" i="208"/>
  <c r="F85" i="208"/>
  <c r="J83" i="183"/>
  <c r="I85" i="183"/>
  <c r="C64" i="202"/>
  <c r="C74" i="202" s="1"/>
  <c r="C73" i="202"/>
  <c r="D63" i="202"/>
  <c r="H83" i="200"/>
  <c r="G85" i="200"/>
  <c r="D73" i="205"/>
  <c r="E63" i="205"/>
  <c r="D64" i="205"/>
  <c r="D74" i="205" s="1"/>
  <c r="D64" i="192"/>
  <c r="D74" i="192" s="1"/>
  <c r="D73" i="192"/>
  <c r="E63" i="192"/>
  <c r="C73" i="206"/>
  <c r="D63" i="206"/>
  <c r="C64" i="206"/>
  <c r="C74" i="206" s="1"/>
  <c r="G83" i="194"/>
  <c r="F85" i="194"/>
  <c r="H83" i="191"/>
  <c r="G85" i="191"/>
  <c r="H85" i="193"/>
  <c r="I83" i="193"/>
  <c r="F85" i="182"/>
  <c r="G83" i="182"/>
  <c r="D73" i="207"/>
  <c r="E63" i="207"/>
  <c r="D64" i="207"/>
  <c r="D74" i="207" s="1"/>
  <c r="C64" i="191"/>
  <c r="C74" i="191" s="1"/>
  <c r="C73" i="191"/>
  <c r="D63" i="191"/>
  <c r="H85" i="181"/>
  <c r="I83" i="181"/>
  <c r="B64" i="194"/>
  <c r="B74" i="194" s="1"/>
  <c r="B73" i="194"/>
  <c r="C63" i="194"/>
  <c r="F85" i="204"/>
  <c r="G83" i="204"/>
  <c r="F85" i="205"/>
  <c r="G83" i="205"/>
  <c r="K83" i="198"/>
  <c r="J85" i="198"/>
  <c r="B73" i="197"/>
  <c r="C63" i="197"/>
  <c r="B64" i="197"/>
  <c r="B74" i="197" s="1"/>
  <c r="C64" i="182"/>
  <c r="C74" i="182" s="1"/>
  <c r="C73" i="182"/>
  <c r="D63" i="182"/>
  <c r="E64" i="195"/>
  <c r="E74" i="195" s="1"/>
  <c r="E73" i="195"/>
  <c r="F63" i="195"/>
  <c r="E63" i="181"/>
  <c r="D64" i="181"/>
  <c r="D74" i="181" s="1"/>
  <c r="D73" i="181"/>
  <c r="G83" i="197"/>
  <c r="F85" i="197"/>
  <c r="B73" i="183"/>
  <c r="C63" i="183"/>
  <c r="B64" i="183"/>
  <c r="B74" i="183" s="1"/>
  <c r="D73" i="190"/>
  <c r="E63" i="190"/>
  <c r="D64" i="190"/>
  <c r="D74" i="190" s="1"/>
  <c r="B73" i="198"/>
  <c r="C63" i="198"/>
  <c r="B64" i="198"/>
  <c r="B74" i="198" s="1"/>
  <c r="D63" i="186"/>
  <c r="C64" i="186"/>
  <c r="C74" i="186" s="1"/>
  <c r="C73" i="186"/>
  <c r="G83" i="192"/>
  <c r="F85" i="192"/>
  <c r="C73" i="204"/>
  <c r="D63" i="204"/>
  <c r="C64" i="204"/>
  <c r="C74" i="204" s="1"/>
  <c r="D73" i="185"/>
  <c r="E63" i="185"/>
  <c r="D64" i="185"/>
  <c r="D74" i="185" s="1"/>
  <c r="H85" i="196"/>
  <c r="I83" i="196"/>
  <c r="I83" i="188"/>
  <c r="H85" i="188"/>
  <c r="J83" i="187"/>
  <c r="I85" i="187"/>
  <c r="B64" i="188"/>
  <c r="B74" i="188" s="1"/>
  <c r="C63" i="188"/>
  <c r="B73" i="188"/>
  <c r="H83" i="206"/>
  <c r="G85" i="206"/>
  <c r="D64" i="211"/>
  <c r="D74" i="211" s="1"/>
  <c r="E63" i="211"/>
  <c r="D73" i="211"/>
  <c r="G85" i="203"/>
  <c r="H83" i="203"/>
  <c r="J83" i="199"/>
  <c r="I85" i="199"/>
  <c r="D63" i="208"/>
  <c r="C64" i="208"/>
  <c r="C74" i="208" s="1"/>
  <c r="C73" i="208"/>
  <c r="G83" i="207"/>
  <c r="F85" i="207"/>
  <c r="C63" i="196"/>
  <c r="B73" i="196"/>
  <c r="B64" i="196"/>
  <c r="B74" i="196" s="1"/>
  <c r="G82" i="180"/>
  <c r="F84" i="180"/>
  <c r="D63" i="193"/>
  <c r="C64" i="193"/>
  <c r="C74" i="193" s="1"/>
  <c r="C73" i="193"/>
  <c r="D73" i="201"/>
  <c r="D64" i="201"/>
  <c r="D74" i="201" s="1"/>
  <c r="E63" i="201"/>
  <c r="G85" i="209"/>
  <c r="H83" i="209"/>
  <c r="G83" i="201"/>
  <c r="F85" i="201"/>
  <c r="C73" i="203"/>
  <c r="C64" i="203"/>
  <c r="C74" i="203" s="1"/>
  <c r="D63" i="203"/>
  <c r="D63" i="199"/>
  <c r="C73" i="199"/>
  <c r="C64" i="199"/>
  <c r="C74" i="199" s="1"/>
  <c r="E62" i="180"/>
  <c r="D72" i="180"/>
  <c r="D63" i="180"/>
  <c r="D73" i="180" s="1"/>
  <c r="H85" i="185"/>
  <c r="I83" i="185"/>
  <c r="I83" i="186"/>
  <c r="H85" i="186"/>
  <c r="L85" i="184"/>
  <c r="M83" i="184"/>
  <c r="M85" i="184" s="1"/>
  <c r="E63" i="213"/>
  <c r="D64" i="213"/>
  <c r="D74" i="213" s="1"/>
  <c r="D73" i="213"/>
  <c r="L73" i="221"/>
  <c r="L64" i="221"/>
  <c r="L74" i="221" s="1"/>
  <c r="M63" i="221"/>
  <c r="L73" i="220"/>
  <c r="L64" i="220"/>
  <c r="L74" i="220" s="1"/>
  <c r="M63" i="220"/>
  <c r="L63" i="219"/>
  <c r="K73" i="219"/>
  <c r="K64" i="219"/>
  <c r="K74" i="219" s="1"/>
  <c r="J63" i="218"/>
  <c r="I73" i="218"/>
  <c r="I64" i="218"/>
  <c r="I74" i="218" s="1"/>
  <c r="I73" i="217"/>
  <c r="I64" i="217"/>
  <c r="I74" i="217" s="1"/>
  <c r="J63" i="217"/>
  <c r="H73" i="216"/>
  <c r="H64" i="216"/>
  <c r="H74" i="216" s="1"/>
  <c r="I63" i="216"/>
  <c r="F73" i="215"/>
  <c r="F64" i="215"/>
  <c r="F74" i="215" s="1"/>
  <c r="G63" i="215"/>
  <c r="F63" i="214"/>
  <c r="E73" i="214"/>
  <c r="E64" i="214"/>
  <c r="E74" i="214" s="1"/>
  <c r="E63" i="208" l="1"/>
  <c r="D64" i="208"/>
  <c r="D74" i="208" s="1"/>
  <c r="D73" i="208"/>
  <c r="I85" i="188"/>
  <c r="J83" i="188"/>
  <c r="D73" i="191"/>
  <c r="E63" i="191"/>
  <c r="D64" i="191"/>
  <c r="D74" i="191" s="1"/>
  <c r="H83" i="207"/>
  <c r="G85" i="207"/>
  <c r="I83" i="206"/>
  <c r="H85" i="206"/>
  <c r="I85" i="196"/>
  <c r="J83" i="196"/>
  <c r="E63" i="186"/>
  <c r="D64" i="186"/>
  <c r="D74" i="186" s="1"/>
  <c r="D73" i="186"/>
  <c r="C73" i="183"/>
  <c r="D63" i="183"/>
  <c r="C64" i="183"/>
  <c r="C74" i="183" s="1"/>
  <c r="G85" i="204"/>
  <c r="H83" i="204"/>
  <c r="H83" i="194"/>
  <c r="G85" i="194"/>
  <c r="E73" i="192"/>
  <c r="F63" i="192"/>
  <c r="E64" i="192"/>
  <c r="E74" i="192" s="1"/>
  <c r="F63" i="205"/>
  <c r="E64" i="205"/>
  <c r="E74" i="205" s="1"/>
  <c r="E73" i="205"/>
  <c r="E63" i="202"/>
  <c r="D64" i="202"/>
  <c r="D74" i="202" s="1"/>
  <c r="D73" i="202"/>
  <c r="K83" i="183"/>
  <c r="J85" i="183"/>
  <c r="E64" i="200"/>
  <c r="E74" i="200" s="1"/>
  <c r="E73" i="200"/>
  <c r="F63" i="200"/>
  <c r="E63" i="212"/>
  <c r="D64" i="212"/>
  <c r="D74" i="212" s="1"/>
  <c r="D73" i="212"/>
  <c r="C73" i="209"/>
  <c r="C64" i="209"/>
  <c r="C74" i="209" s="1"/>
  <c r="D63" i="209"/>
  <c r="H83" i="197"/>
  <c r="G85" i="197"/>
  <c r="I85" i="193"/>
  <c r="J83" i="193"/>
  <c r="I83" i="200"/>
  <c r="H85" i="200"/>
  <c r="E63" i="189"/>
  <c r="D73" i="189"/>
  <c r="D64" i="189"/>
  <c r="D74" i="189" s="1"/>
  <c r="I85" i="186"/>
  <c r="J83" i="186"/>
  <c r="D73" i="199"/>
  <c r="E63" i="199"/>
  <c r="D64" i="199"/>
  <c r="D74" i="199" s="1"/>
  <c r="E73" i="201"/>
  <c r="F63" i="201"/>
  <c r="E64" i="201"/>
  <c r="E74" i="201" s="1"/>
  <c r="I85" i="185"/>
  <c r="J83" i="185"/>
  <c r="E63" i="180"/>
  <c r="E73" i="180" s="1"/>
  <c r="E72" i="180"/>
  <c r="F62" i="180"/>
  <c r="D64" i="203"/>
  <c r="D74" i="203" s="1"/>
  <c r="D73" i="203"/>
  <c r="E63" i="203"/>
  <c r="H83" i="201"/>
  <c r="G85" i="201"/>
  <c r="D73" i="193"/>
  <c r="D64" i="193"/>
  <c r="D74" i="193" s="1"/>
  <c r="E63" i="193"/>
  <c r="K83" i="199"/>
  <c r="J85" i="199"/>
  <c r="E64" i="211"/>
  <c r="E74" i="211" s="1"/>
  <c r="F63" i="211"/>
  <c r="E73" i="211"/>
  <c r="J85" i="187"/>
  <c r="K83" i="187"/>
  <c r="G85" i="192"/>
  <c r="H83" i="192"/>
  <c r="E73" i="190"/>
  <c r="F63" i="190"/>
  <c r="E64" i="190"/>
  <c r="E74" i="190" s="1"/>
  <c r="L83" i="198"/>
  <c r="K85" i="198"/>
  <c r="I85" i="181"/>
  <c r="J83" i="181"/>
  <c r="H83" i="182"/>
  <c r="G85" i="182"/>
  <c r="F63" i="187"/>
  <c r="E64" i="187"/>
  <c r="E74" i="187" s="1"/>
  <c r="E73" i="187"/>
  <c r="G84" i="180"/>
  <c r="H82" i="180"/>
  <c r="E64" i="185"/>
  <c r="E74" i="185" s="1"/>
  <c r="E73" i="185"/>
  <c r="F63" i="185"/>
  <c r="G63" i="195"/>
  <c r="F73" i="195"/>
  <c r="F64" i="195"/>
  <c r="F74" i="195" s="1"/>
  <c r="E73" i="207"/>
  <c r="F63" i="207"/>
  <c r="E64" i="207"/>
  <c r="E74" i="207" s="1"/>
  <c r="E73" i="184"/>
  <c r="F63" i="184"/>
  <c r="E64" i="184"/>
  <c r="E74" i="184" s="1"/>
  <c r="E64" i="213"/>
  <c r="E74" i="213" s="1"/>
  <c r="E73" i="213"/>
  <c r="F63" i="213"/>
  <c r="I83" i="209"/>
  <c r="H85" i="209"/>
  <c r="D63" i="196"/>
  <c r="C64" i="196"/>
  <c r="C74" i="196" s="1"/>
  <c r="C73" i="196"/>
  <c r="I83" i="203"/>
  <c r="H85" i="203"/>
  <c r="C73" i="188"/>
  <c r="C64" i="188"/>
  <c r="C74" i="188" s="1"/>
  <c r="D63" i="188"/>
  <c r="D73" i="204"/>
  <c r="E63" i="204"/>
  <c r="D64" i="204"/>
  <c r="D74" i="204" s="1"/>
  <c r="C73" i="198"/>
  <c r="D63" i="198"/>
  <c r="C64" i="198"/>
  <c r="C74" i="198" s="1"/>
  <c r="E64" i="181"/>
  <c r="E74" i="181" s="1"/>
  <c r="E73" i="181"/>
  <c r="F63" i="181"/>
  <c r="E63" i="182"/>
  <c r="D73" i="182"/>
  <c r="D64" i="182"/>
  <c r="D74" i="182" s="1"/>
  <c r="D63" i="197"/>
  <c r="C64" i="197"/>
  <c r="C74" i="197" s="1"/>
  <c r="C73" i="197"/>
  <c r="H83" i="205"/>
  <c r="G85" i="205"/>
  <c r="C64" i="194"/>
  <c r="C74" i="194" s="1"/>
  <c r="C73" i="194"/>
  <c r="D63" i="194"/>
  <c r="I83" i="191"/>
  <c r="H85" i="191"/>
  <c r="D73" i="206"/>
  <c r="D64" i="206"/>
  <c r="D74" i="206" s="1"/>
  <c r="E63" i="206"/>
  <c r="G85" i="208"/>
  <c r="H83" i="208"/>
  <c r="G85" i="190"/>
  <c r="H83" i="190"/>
  <c r="M73" i="221"/>
  <c r="M64" i="221"/>
  <c r="M74" i="221" s="1"/>
  <c r="M73" i="220"/>
  <c r="M64" i="220"/>
  <c r="M74" i="220" s="1"/>
  <c r="L73" i="219"/>
  <c r="L64" i="219"/>
  <c r="L74" i="219" s="1"/>
  <c r="M63" i="219"/>
  <c r="K63" i="218"/>
  <c r="J73" i="218"/>
  <c r="J64" i="218"/>
  <c r="J74" i="218" s="1"/>
  <c r="K63" i="217"/>
  <c r="J73" i="217"/>
  <c r="J64" i="217"/>
  <c r="J74" i="217" s="1"/>
  <c r="I73" i="216"/>
  <c r="J63" i="216"/>
  <c r="I64" i="216"/>
  <c r="I74" i="216" s="1"/>
  <c r="G73" i="215"/>
  <c r="G64" i="215"/>
  <c r="G74" i="215" s="1"/>
  <c r="H63" i="215"/>
  <c r="F73" i="214"/>
  <c r="F64" i="214"/>
  <c r="F74" i="214" s="1"/>
  <c r="G63" i="214"/>
  <c r="F64" i="184" l="1"/>
  <c r="F74" i="184" s="1"/>
  <c r="F73" i="184"/>
  <c r="G63" i="184"/>
  <c r="F73" i="185"/>
  <c r="G63" i="185"/>
  <c r="F64" i="185"/>
  <c r="F74" i="185" s="1"/>
  <c r="I83" i="190"/>
  <c r="H85" i="190"/>
  <c r="I85" i="191"/>
  <c r="J83" i="191"/>
  <c r="D73" i="197"/>
  <c r="D64" i="197"/>
  <c r="D74" i="197" s="1"/>
  <c r="E63" i="197"/>
  <c r="E63" i="198"/>
  <c r="D64" i="198"/>
  <c r="D74" i="198" s="1"/>
  <c r="D73" i="198"/>
  <c r="H85" i="182"/>
  <c r="I83" i="182"/>
  <c r="H85" i="192"/>
  <c r="I83" i="192"/>
  <c r="K85" i="199"/>
  <c r="L83" i="199"/>
  <c r="E73" i="189"/>
  <c r="E64" i="189"/>
  <c r="E74" i="189" s="1"/>
  <c r="F63" i="189"/>
  <c r="F63" i="212"/>
  <c r="E73" i="212"/>
  <c r="E64" i="212"/>
  <c r="E74" i="212" s="1"/>
  <c r="E63" i="183"/>
  <c r="D73" i="183"/>
  <c r="D64" i="183"/>
  <c r="D74" i="183" s="1"/>
  <c r="E73" i="186"/>
  <c r="F63" i="186"/>
  <c r="E64" i="186"/>
  <c r="E74" i="186" s="1"/>
  <c r="I85" i="206"/>
  <c r="J83" i="206"/>
  <c r="E73" i="191"/>
  <c r="F63" i="191"/>
  <c r="E64" i="191"/>
  <c r="E74" i="191" s="1"/>
  <c r="D64" i="194"/>
  <c r="D74" i="194" s="1"/>
  <c r="D73" i="194"/>
  <c r="E63" i="194"/>
  <c r="H85" i="205"/>
  <c r="I83" i="205"/>
  <c r="D73" i="188"/>
  <c r="E63" i="188"/>
  <c r="D64" i="188"/>
  <c r="D74" i="188" s="1"/>
  <c r="J83" i="203"/>
  <c r="I85" i="203"/>
  <c r="J85" i="181"/>
  <c r="K83" i="181"/>
  <c r="G63" i="211"/>
  <c r="F73" i="211"/>
  <c r="F64" i="211"/>
  <c r="F74" i="211" s="1"/>
  <c r="F63" i="193"/>
  <c r="E64" i="193"/>
  <c r="E74" i="193" s="1"/>
  <c r="E73" i="193"/>
  <c r="I83" i="201"/>
  <c r="H85" i="201"/>
  <c r="G62" i="180"/>
  <c r="F63" i="180"/>
  <c r="F73" i="180" s="1"/>
  <c r="F72" i="180"/>
  <c r="F73" i="200"/>
  <c r="G63" i="200"/>
  <c r="F64" i="200"/>
  <c r="F74" i="200" s="1"/>
  <c r="L83" i="183"/>
  <c r="K85" i="183"/>
  <c r="F64" i="192"/>
  <c r="F74" i="192" s="1"/>
  <c r="G63" i="192"/>
  <c r="F73" i="192"/>
  <c r="I83" i="204"/>
  <c r="H85" i="204"/>
  <c r="J85" i="196"/>
  <c r="K83" i="196"/>
  <c r="F63" i="182"/>
  <c r="E64" i="182"/>
  <c r="E74" i="182" s="1"/>
  <c r="E73" i="182"/>
  <c r="E64" i="204"/>
  <c r="E74" i="204" s="1"/>
  <c r="E73" i="204"/>
  <c r="F63" i="204"/>
  <c r="F73" i="213"/>
  <c r="G63" i="213"/>
  <c r="F64" i="213"/>
  <c r="F74" i="213" s="1"/>
  <c r="G63" i="201"/>
  <c r="F73" i="201"/>
  <c r="F64" i="201"/>
  <c r="F74" i="201" s="1"/>
  <c r="J85" i="193"/>
  <c r="K83" i="193"/>
  <c r="D73" i="209"/>
  <c r="D64" i="209"/>
  <c r="D74" i="209" s="1"/>
  <c r="E63" i="209"/>
  <c r="F64" i="205"/>
  <c r="F74" i="205" s="1"/>
  <c r="F73" i="205"/>
  <c r="G63" i="205"/>
  <c r="E73" i="206"/>
  <c r="F63" i="206"/>
  <c r="E64" i="206"/>
  <c r="E74" i="206" s="1"/>
  <c r="F73" i="181"/>
  <c r="G63" i="181"/>
  <c r="F64" i="181"/>
  <c r="F74" i="181" s="1"/>
  <c r="D64" i="196"/>
  <c r="D74" i="196" s="1"/>
  <c r="D73" i="196"/>
  <c r="E63" i="196"/>
  <c r="L85" i="198"/>
  <c r="M83" i="198"/>
  <c r="M85" i="198" s="1"/>
  <c r="K83" i="185"/>
  <c r="J85" i="185"/>
  <c r="J85" i="186"/>
  <c r="K83" i="186"/>
  <c r="E64" i="202"/>
  <c r="E74" i="202" s="1"/>
  <c r="E73" i="202"/>
  <c r="F63" i="202"/>
  <c r="I83" i="194"/>
  <c r="H85" i="194"/>
  <c r="I83" i="208"/>
  <c r="H85" i="208"/>
  <c r="J83" i="209"/>
  <c r="I85" i="209"/>
  <c r="F64" i="207"/>
  <c r="F74" i="207" s="1"/>
  <c r="F73" i="207"/>
  <c r="G63" i="207"/>
  <c r="G64" i="195"/>
  <c r="G74" i="195" s="1"/>
  <c r="G73" i="195"/>
  <c r="H63" i="195"/>
  <c r="I82" i="180"/>
  <c r="H84" i="180"/>
  <c r="G63" i="187"/>
  <c r="F64" i="187"/>
  <c r="F74" i="187" s="1"/>
  <c r="F73" i="187"/>
  <c r="F64" i="190"/>
  <c r="F74" i="190" s="1"/>
  <c r="G63" i="190"/>
  <c r="F73" i="190"/>
  <c r="K85" i="187"/>
  <c r="L83" i="187"/>
  <c r="E64" i="203"/>
  <c r="E74" i="203" s="1"/>
  <c r="E73" i="203"/>
  <c r="F63" i="203"/>
  <c r="E64" i="199"/>
  <c r="E74" i="199" s="1"/>
  <c r="E73" i="199"/>
  <c r="F63" i="199"/>
  <c r="I85" i="200"/>
  <c r="J83" i="200"/>
  <c r="I83" i="197"/>
  <c r="H85" i="197"/>
  <c r="I83" i="207"/>
  <c r="H85" i="207"/>
  <c r="K83" i="188"/>
  <c r="J85" i="188"/>
  <c r="E73" i="208"/>
  <c r="E64" i="208"/>
  <c r="E74" i="208" s="1"/>
  <c r="F63" i="208"/>
  <c r="M64" i="219"/>
  <c r="M74" i="219" s="1"/>
  <c r="M73" i="219"/>
  <c r="L63" i="218"/>
  <c r="K73" i="218"/>
  <c r="K64" i="218"/>
  <c r="K74" i="218" s="1"/>
  <c r="L63" i="217"/>
  <c r="K73" i="217"/>
  <c r="K64" i="217"/>
  <c r="K74" i="217" s="1"/>
  <c r="K63" i="216"/>
  <c r="J73" i="216"/>
  <c r="J64" i="216"/>
  <c r="J74" i="216" s="1"/>
  <c r="I63" i="215"/>
  <c r="H73" i="215"/>
  <c r="H64" i="215"/>
  <c r="H74" i="215" s="1"/>
  <c r="G64" i="214"/>
  <c r="G74" i="214" s="1"/>
  <c r="H63" i="214"/>
  <c r="G73" i="214"/>
  <c r="G63" i="202" l="1"/>
  <c r="F64" i="202"/>
  <c r="F74" i="202" s="1"/>
  <c r="F73" i="202"/>
  <c r="G64" i="201"/>
  <c r="G74" i="201" s="1"/>
  <c r="G73" i="201"/>
  <c r="H63" i="201"/>
  <c r="G64" i="200"/>
  <c r="G74" i="200" s="1"/>
  <c r="H63" i="200"/>
  <c r="G73" i="200"/>
  <c r="G63" i="180"/>
  <c r="G73" i="180" s="1"/>
  <c r="G72" i="180"/>
  <c r="H62" i="180"/>
  <c r="G64" i="211"/>
  <c r="G74" i="211" s="1"/>
  <c r="H63" i="211"/>
  <c r="G73" i="211"/>
  <c r="J83" i="192"/>
  <c r="I85" i="192"/>
  <c r="F64" i="208"/>
  <c r="F74" i="208" s="1"/>
  <c r="F73" i="208"/>
  <c r="G63" i="208"/>
  <c r="I85" i="197"/>
  <c r="J83" i="197"/>
  <c r="G73" i="190"/>
  <c r="G64" i="190"/>
  <c r="G74" i="190" s="1"/>
  <c r="H63" i="190"/>
  <c r="E73" i="196"/>
  <c r="F63" i="196"/>
  <c r="E64" i="196"/>
  <c r="E74" i="196" s="1"/>
  <c r="G63" i="182"/>
  <c r="F73" i="182"/>
  <c r="F64" i="182"/>
  <c r="F74" i="182" s="1"/>
  <c r="F73" i="193"/>
  <c r="G63" i="193"/>
  <c r="F64" i="193"/>
  <c r="F74" i="193" s="1"/>
  <c r="L83" i="181"/>
  <c r="K85" i="181"/>
  <c r="I85" i="190"/>
  <c r="J83" i="190"/>
  <c r="K83" i="200"/>
  <c r="J85" i="200"/>
  <c r="L85" i="187"/>
  <c r="M83" i="187"/>
  <c r="M85" i="187" s="1"/>
  <c r="L83" i="185"/>
  <c r="K85" i="185"/>
  <c r="G64" i="205"/>
  <c r="G74" i="205" s="1"/>
  <c r="G73" i="205"/>
  <c r="H63" i="205"/>
  <c r="G64" i="213"/>
  <c r="G74" i="213" s="1"/>
  <c r="H63" i="213"/>
  <c r="G73" i="213"/>
  <c r="K85" i="196"/>
  <c r="L83" i="196"/>
  <c r="M83" i="183"/>
  <c r="M85" i="183" s="1"/>
  <c r="L85" i="183"/>
  <c r="I85" i="201"/>
  <c r="J83" i="201"/>
  <c r="E73" i="188"/>
  <c r="F63" i="188"/>
  <c r="E64" i="188"/>
  <c r="E74" i="188" s="1"/>
  <c r="E64" i="194"/>
  <c r="E74" i="194" s="1"/>
  <c r="E73" i="194"/>
  <c r="F63" i="194"/>
  <c r="F73" i="191"/>
  <c r="G63" i="191"/>
  <c r="F64" i="191"/>
  <c r="F74" i="191" s="1"/>
  <c r="F73" i="212"/>
  <c r="F64" i="212"/>
  <c r="F74" i="212" s="1"/>
  <c r="G63" i="212"/>
  <c r="L85" i="199"/>
  <c r="M83" i="199"/>
  <c r="M85" i="199" s="1"/>
  <c r="I85" i="182"/>
  <c r="J83" i="182"/>
  <c r="E73" i="198"/>
  <c r="E64" i="198"/>
  <c r="E74" i="198" s="1"/>
  <c r="F63" i="198"/>
  <c r="K83" i="191"/>
  <c r="J85" i="191"/>
  <c r="G63" i="199"/>
  <c r="F73" i="199"/>
  <c r="F64" i="199"/>
  <c r="F74" i="199" s="1"/>
  <c r="H64" i="195"/>
  <c r="H74" i="195" s="1"/>
  <c r="H73" i="195"/>
  <c r="I63" i="195"/>
  <c r="F73" i="206"/>
  <c r="G63" i="206"/>
  <c r="F64" i="206"/>
  <c r="F74" i="206" s="1"/>
  <c r="L83" i="193"/>
  <c r="K85" i="193"/>
  <c r="F73" i="204"/>
  <c r="G63" i="204"/>
  <c r="F64" i="204"/>
  <c r="F74" i="204" s="1"/>
  <c r="J85" i="203"/>
  <c r="K83" i="203"/>
  <c r="J83" i="205"/>
  <c r="I85" i="205"/>
  <c r="K83" i="206"/>
  <c r="J85" i="206"/>
  <c r="L83" i="188"/>
  <c r="K85" i="188"/>
  <c r="H63" i="187"/>
  <c r="G73" i="187"/>
  <c r="G64" i="187"/>
  <c r="G74" i="187" s="1"/>
  <c r="I85" i="208"/>
  <c r="J83" i="208"/>
  <c r="G73" i="181"/>
  <c r="H63" i="181"/>
  <c r="G64" i="181"/>
  <c r="G74" i="181" s="1"/>
  <c r="E73" i="209"/>
  <c r="E64" i="209"/>
  <c r="E74" i="209" s="1"/>
  <c r="F63" i="209"/>
  <c r="I85" i="204"/>
  <c r="J83" i="204"/>
  <c r="H63" i="184"/>
  <c r="G73" i="184"/>
  <c r="G64" i="184"/>
  <c r="G74" i="184" s="1"/>
  <c r="I85" i="207"/>
  <c r="J83" i="207"/>
  <c r="G63" i="203"/>
  <c r="F73" i="203"/>
  <c r="F64" i="203"/>
  <c r="F74" i="203" s="1"/>
  <c r="J82" i="180"/>
  <c r="I84" i="180"/>
  <c r="G73" i="207"/>
  <c r="H63" i="207"/>
  <c r="G64" i="207"/>
  <c r="G74" i="207" s="1"/>
  <c r="J85" i="209"/>
  <c r="K83" i="209"/>
  <c r="I85" i="194"/>
  <c r="J83" i="194"/>
  <c r="L83" i="186"/>
  <c r="K85" i="186"/>
  <c r="G64" i="192"/>
  <c r="G74" i="192" s="1"/>
  <c r="G73" i="192"/>
  <c r="H63" i="192"/>
  <c r="F73" i="186"/>
  <c r="G63" i="186"/>
  <c r="F64" i="186"/>
  <c r="F74" i="186" s="1"/>
  <c r="E73" i="183"/>
  <c r="F63" i="183"/>
  <c r="E64" i="183"/>
  <c r="E74" i="183" s="1"/>
  <c r="G63" i="189"/>
  <c r="F64" i="189"/>
  <c r="F74" i="189" s="1"/>
  <c r="F73" i="189"/>
  <c r="E64" i="197"/>
  <c r="E74" i="197" s="1"/>
  <c r="E73" i="197"/>
  <c r="F63" i="197"/>
  <c r="G73" i="185"/>
  <c r="H63" i="185"/>
  <c r="G64" i="185"/>
  <c r="G74" i="185" s="1"/>
  <c r="L73" i="218"/>
  <c r="L64" i="218"/>
  <c r="L74" i="218" s="1"/>
  <c r="M63" i="218"/>
  <c r="L73" i="217"/>
  <c r="L64" i="217"/>
  <c r="L74" i="217" s="1"/>
  <c r="M63" i="217"/>
  <c r="L63" i="216"/>
  <c r="K73" i="216"/>
  <c r="K64" i="216"/>
  <c r="K74" i="216" s="1"/>
  <c r="J63" i="215"/>
  <c r="I73" i="215"/>
  <c r="I64" i="215"/>
  <c r="I74" i="215" s="1"/>
  <c r="I63" i="214"/>
  <c r="H73" i="214"/>
  <c r="H64" i="214"/>
  <c r="H74" i="214" s="1"/>
  <c r="H64" i="187" l="1"/>
  <c r="H74" i="187" s="1"/>
  <c r="H73" i="187"/>
  <c r="I63" i="187"/>
  <c r="K85" i="191"/>
  <c r="L83" i="191"/>
  <c r="G73" i="212"/>
  <c r="H63" i="212"/>
  <c r="G64" i="212"/>
  <c r="G74" i="212" s="1"/>
  <c r="H63" i="191"/>
  <c r="G64" i="191"/>
  <c r="G74" i="191" s="1"/>
  <c r="G73" i="191"/>
  <c r="K83" i="201"/>
  <c r="J85" i="201"/>
  <c r="M83" i="196"/>
  <c r="M85" i="196" s="1"/>
  <c r="L85" i="196"/>
  <c r="G73" i="208"/>
  <c r="H63" i="208"/>
  <c r="G64" i="208"/>
  <c r="G74" i="208" s="1"/>
  <c r="H72" i="180"/>
  <c r="H63" i="180"/>
  <c r="H73" i="180" s="1"/>
  <c r="I62" i="180"/>
  <c r="I63" i="200"/>
  <c r="H73" i="200"/>
  <c r="H64" i="200"/>
  <c r="H74" i="200" s="1"/>
  <c r="F64" i="183"/>
  <c r="F74" i="183" s="1"/>
  <c r="F73" i="183"/>
  <c r="G63" i="183"/>
  <c r="L83" i="209"/>
  <c r="K85" i="209"/>
  <c r="L85" i="193"/>
  <c r="M83" i="193"/>
  <c r="M85" i="193" s="1"/>
  <c r="I63" i="205"/>
  <c r="H64" i="205"/>
  <c r="H74" i="205" s="1"/>
  <c r="H73" i="205"/>
  <c r="L83" i="200"/>
  <c r="K85" i="200"/>
  <c r="M83" i="181"/>
  <c r="M85" i="181" s="1"/>
  <c r="L85" i="181"/>
  <c r="F73" i="196"/>
  <c r="G63" i="196"/>
  <c r="F64" i="196"/>
  <c r="F74" i="196" s="1"/>
  <c r="F73" i="197"/>
  <c r="G63" i="197"/>
  <c r="F64" i="197"/>
  <c r="F74" i="197" s="1"/>
  <c r="H73" i="192"/>
  <c r="I63" i="192"/>
  <c r="H64" i="192"/>
  <c r="H74" i="192" s="1"/>
  <c r="M83" i="186"/>
  <c r="M85" i="186" s="1"/>
  <c r="L85" i="186"/>
  <c r="H63" i="203"/>
  <c r="G73" i="203"/>
  <c r="G64" i="203"/>
  <c r="G74" i="203" s="1"/>
  <c r="F64" i="209"/>
  <c r="F74" i="209" s="1"/>
  <c r="G63" i="209"/>
  <c r="F73" i="209"/>
  <c r="I63" i="181"/>
  <c r="H64" i="181"/>
  <c r="H74" i="181" s="1"/>
  <c r="H73" i="181"/>
  <c r="M83" i="188"/>
  <c r="M85" i="188" s="1"/>
  <c r="L85" i="188"/>
  <c r="K83" i="205"/>
  <c r="J85" i="205"/>
  <c r="G73" i="204"/>
  <c r="H63" i="204"/>
  <c r="G64" i="204"/>
  <c r="G74" i="204" s="1"/>
  <c r="G64" i="199"/>
  <c r="G74" i="199" s="1"/>
  <c r="G73" i="199"/>
  <c r="H63" i="199"/>
  <c r="F64" i="194"/>
  <c r="F74" i="194" s="1"/>
  <c r="F73" i="194"/>
  <c r="G63" i="194"/>
  <c r="F73" i="188"/>
  <c r="G63" i="188"/>
  <c r="F64" i="188"/>
  <c r="F74" i="188" s="1"/>
  <c r="K83" i="190"/>
  <c r="J85" i="190"/>
  <c r="J85" i="197"/>
  <c r="K83" i="197"/>
  <c r="H64" i="211"/>
  <c r="H74" i="211" s="1"/>
  <c r="I63" i="211"/>
  <c r="H73" i="211"/>
  <c r="I63" i="201"/>
  <c r="H64" i="201"/>
  <c r="H74" i="201" s="1"/>
  <c r="H73" i="201"/>
  <c r="H73" i="185"/>
  <c r="H64" i="185"/>
  <c r="H74" i="185" s="1"/>
  <c r="I63" i="185"/>
  <c r="G73" i="186"/>
  <c r="H63" i="186"/>
  <c r="G64" i="186"/>
  <c r="G74" i="186" s="1"/>
  <c r="H73" i="207"/>
  <c r="I63" i="207"/>
  <c r="H64" i="207"/>
  <c r="H74" i="207" s="1"/>
  <c r="K83" i="204"/>
  <c r="J85" i="204"/>
  <c r="K83" i="208"/>
  <c r="J85" i="208"/>
  <c r="L83" i="206"/>
  <c r="K85" i="206"/>
  <c r="K83" i="182"/>
  <c r="J85" i="182"/>
  <c r="K83" i="192"/>
  <c r="J85" i="192"/>
  <c r="J63" i="195"/>
  <c r="I64" i="195"/>
  <c r="I74" i="195" s="1"/>
  <c r="I73" i="195"/>
  <c r="G63" i="198"/>
  <c r="F64" i="198"/>
  <c r="F74" i="198" s="1"/>
  <c r="F73" i="198"/>
  <c r="L85" i="185"/>
  <c r="M83" i="185"/>
  <c r="M85" i="185" s="1"/>
  <c r="G64" i="189"/>
  <c r="G74" i="189" s="1"/>
  <c r="G73" i="189"/>
  <c r="H63" i="189"/>
  <c r="J85" i="194"/>
  <c r="K83" i="194"/>
  <c r="J84" i="180"/>
  <c r="K82" i="180"/>
  <c r="K83" i="207"/>
  <c r="J85" i="207"/>
  <c r="H73" i="184"/>
  <c r="I63" i="184"/>
  <c r="H64" i="184"/>
  <c r="H74" i="184" s="1"/>
  <c r="K85" i="203"/>
  <c r="L83" i="203"/>
  <c r="H63" i="206"/>
  <c r="G73" i="206"/>
  <c r="G64" i="206"/>
  <c r="G74" i="206" s="1"/>
  <c r="I63" i="213"/>
  <c r="H64" i="213"/>
  <c r="H74" i="213" s="1"/>
  <c r="H73" i="213"/>
  <c r="G73" i="193"/>
  <c r="G64" i="193"/>
  <c r="G74" i="193" s="1"/>
  <c r="H63" i="193"/>
  <c r="H63" i="182"/>
  <c r="G64" i="182"/>
  <c r="G74" i="182" s="1"/>
  <c r="G73" i="182"/>
  <c r="H64" i="190"/>
  <c r="H74" i="190" s="1"/>
  <c r="H73" i="190"/>
  <c r="I63" i="190"/>
  <c r="G64" i="202"/>
  <c r="G74" i="202" s="1"/>
  <c r="G73" i="202"/>
  <c r="H63" i="202"/>
  <c r="M73" i="218"/>
  <c r="M64" i="218"/>
  <c r="M74" i="218" s="1"/>
  <c r="M73" i="217"/>
  <c r="M64" i="217"/>
  <c r="M74" i="217" s="1"/>
  <c r="L73" i="216"/>
  <c r="L64" i="216"/>
  <c r="L74" i="216" s="1"/>
  <c r="M63" i="216"/>
  <c r="J73" i="215"/>
  <c r="J64" i="215"/>
  <c r="J74" i="215" s="1"/>
  <c r="K63" i="215"/>
  <c r="J63" i="214"/>
  <c r="I73" i="214"/>
  <c r="I64" i="214"/>
  <c r="I74" i="214" s="1"/>
  <c r="I73" i="190" l="1"/>
  <c r="J63" i="190"/>
  <c r="I64" i="190"/>
  <c r="I74" i="190" s="1"/>
  <c r="K85" i="194"/>
  <c r="L83" i="194"/>
  <c r="L83" i="182"/>
  <c r="K85" i="182"/>
  <c r="I73" i="207"/>
  <c r="J63" i="207"/>
  <c r="I64" i="207"/>
  <c r="I74" i="207" s="1"/>
  <c r="H73" i="199"/>
  <c r="I63" i="199"/>
  <c r="H64" i="199"/>
  <c r="H74" i="199" s="1"/>
  <c r="I73" i="181"/>
  <c r="J63" i="181"/>
  <c r="I64" i="181"/>
  <c r="I74" i="181" s="1"/>
  <c r="G64" i="196"/>
  <c r="G74" i="196" s="1"/>
  <c r="G73" i="196"/>
  <c r="H63" i="196"/>
  <c r="I64" i="205"/>
  <c r="I74" i="205" s="1"/>
  <c r="I73" i="205"/>
  <c r="J63" i="205"/>
  <c r="M83" i="209"/>
  <c r="M85" i="209" s="1"/>
  <c r="L85" i="209"/>
  <c r="H64" i="202"/>
  <c r="H74" i="202" s="1"/>
  <c r="H73" i="202"/>
  <c r="I63" i="202"/>
  <c r="I73" i="185"/>
  <c r="J63" i="185"/>
  <c r="I64" i="185"/>
  <c r="I74" i="185" s="1"/>
  <c r="G73" i="194"/>
  <c r="G64" i="194"/>
  <c r="G74" i="194" s="1"/>
  <c r="H63" i="194"/>
  <c r="G73" i="183"/>
  <c r="H63" i="183"/>
  <c r="G64" i="183"/>
  <c r="G74" i="183" s="1"/>
  <c r="I63" i="212"/>
  <c r="H64" i="212"/>
  <c r="H74" i="212" s="1"/>
  <c r="H73" i="212"/>
  <c r="I73" i="187"/>
  <c r="J63" i="187"/>
  <c r="I64" i="187"/>
  <c r="I74" i="187" s="1"/>
  <c r="H64" i="193"/>
  <c r="H74" i="193" s="1"/>
  <c r="H73" i="193"/>
  <c r="I63" i="193"/>
  <c r="I63" i="206"/>
  <c r="H73" i="206"/>
  <c r="H64" i="206"/>
  <c r="H74" i="206" s="1"/>
  <c r="I73" i="184"/>
  <c r="J63" i="184"/>
  <c r="I64" i="184"/>
  <c r="I74" i="184" s="1"/>
  <c r="L82" i="180"/>
  <c r="K84" i="180"/>
  <c r="H64" i="189"/>
  <c r="H74" i="189" s="1"/>
  <c r="I63" i="189"/>
  <c r="H73" i="189"/>
  <c r="K85" i="192"/>
  <c r="L83" i="192"/>
  <c r="M83" i="206"/>
  <c r="M85" i="206" s="1"/>
  <c r="L85" i="206"/>
  <c r="L83" i="204"/>
  <c r="K85" i="204"/>
  <c r="I64" i="201"/>
  <c r="I74" i="201" s="1"/>
  <c r="I73" i="201"/>
  <c r="J63" i="201"/>
  <c r="L83" i="197"/>
  <c r="K85" i="197"/>
  <c r="H63" i="209"/>
  <c r="G73" i="209"/>
  <c r="G64" i="209"/>
  <c r="G74" i="209" s="1"/>
  <c r="I63" i="203"/>
  <c r="H64" i="203"/>
  <c r="H74" i="203" s="1"/>
  <c r="H73" i="203"/>
  <c r="J63" i="192"/>
  <c r="I64" i="192"/>
  <c r="I74" i="192" s="1"/>
  <c r="I73" i="192"/>
  <c r="J63" i="200"/>
  <c r="I73" i="200"/>
  <c r="I64" i="200"/>
  <c r="I74" i="200" s="1"/>
  <c r="K63" i="195"/>
  <c r="J64" i="195"/>
  <c r="J74" i="195" s="1"/>
  <c r="J73" i="195"/>
  <c r="L83" i="208"/>
  <c r="K85" i="208"/>
  <c r="I64" i="211"/>
  <c r="I74" i="211" s="1"/>
  <c r="J63" i="211"/>
  <c r="I73" i="211"/>
  <c r="I63" i="204"/>
  <c r="H64" i="204"/>
  <c r="H74" i="204" s="1"/>
  <c r="H73" i="204"/>
  <c r="L83" i="201"/>
  <c r="K85" i="201"/>
  <c r="H64" i="182"/>
  <c r="H74" i="182" s="1"/>
  <c r="H73" i="182"/>
  <c r="I63" i="182"/>
  <c r="L83" i="207"/>
  <c r="K85" i="207"/>
  <c r="G73" i="198"/>
  <c r="H63" i="198"/>
  <c r="G64" i="198"/>
  <c r="G74" i="198" s="1"/>
  <c r="L83" i="190"/>
  <c r="K85" i="190"/>
  <c r="H63" i="197"/>
  <c r="G73" i="197"/>
  <c r="G64" i="197"/>
  <c r="G74" i="197" s="1"/>
  <c r="M83" i="200"/>
  <c r="M85" i="200" s="1"/>
  <c r="L85" i="200"/>
  <c r="I64" i="213"/>
  <c r="I74" i="213" s="1"/>
  <c r="I73" i="213"/>
  <c r="J63" i="213"/>
  <c r="L85" i="203"/>
  <c r="M83" i="203"/>
  <c r="M85" i="203" s="1"/>
  <c r="H73" i="186"/>
  <c r="H64" i="186"/>
  <c r="H74" i="186" s="1"/>
  <c r="I63" i="186"/>
  <c r="G73" i="188"/>
  <c r="G64" i="188"/>
  <c r="G74" i="188" s="1"/>
  <c r="H63" i="188"/>
  <c r="L83" i="205"/>
  <c r="K85" i="205"/>
  <c r="I72" i="180"/>
  <c r="J62" i="180"/>
  <c r="I63" i="180"/>
  <c r="I73" i="180" s="1"/>
  <c r="H73" i="208"/>
  <c r="I63" i="208"/>
  <c r="H64" i="208"/>
  <c r="H74" i="208" s="1"/>
  <c r="H73" i="191"/>
  <c r="I63" i="191"/>
  <c r="H64" i="191"/>
  <c r="H74" i="191" s="1"/>
  <c r="L85" i="191"/>
  <c r="M83" i="191"/>
  <c r="M85" i="191" s="1"/>
  <c r="M64" i="216"/>
  <c r="M74" i="216" s="1"/>
  <c r="M73" i="216"/>
  <c r="K64" i="215"/>
  <c r="K74" i="215" s="1"/>
  <c r="L63" i="215"/>
  <c r="K73" i="215"/>
  <c r="J73" i="214"/>
  <c r="J64" i="214"/>
  <c r="J74" i="214" s="1"/>
  <c r="K63" i="214"/>
  <c r="M83" i="205" l="1"/>
  <c r="M85" i="205" s="1"/>
  <c r="L85" i="205"/>
  <c r="I63" i="197"/>
  <c r="H64" i="197"/>
  <c r="H74" i="197" s="1"/>
  <c r="H73" i="197"/>
  <c r="J63" i="182"/>
  <c r="I73" i="182"/>
  <c r="I64" i="182"/>
  <c r="I74" i="182" s="1"/>
  <c r="I73" i="203"/>
  <c r="I64" i="203"/>
  <c r="I74" i="203" s="1"/>
  <c r="J63" i="203"/>
  <c r="H73" i="183"/>
  <c r="I63" i="183"/>
  <c r="H64" i="183"/>
  <c r="H74" i="183" s="1"/>
  <c r="J64" i="181"/>
  <c r="J74" i="181" s="1"/>
  <c r="J73" i="181"/>
  <c r="K63" i="181"/>
  <c r="J63" i="180"/>
  <c r="J73" i="180" s="1"/>
  <c r="J72" i="180"/>
  <c r="K62" i="180"/>
  <c r="H73" i="188"/>
  <c r="I63" i="188"/>
  <c r="H64" i="188"/>
  <c r="H74" i="188" s="1"/>
  <c r="J73" i="213"/>
  <c r="K63" i="213"/>
  <c r="J64" i="213"/>
  <c r="J74" i="213" s="1"/>
  <c r="K63" i="211"/>
  <c r="J73" i="211"/>
  <c r="J64" i="211"/>
  <c r="J74" i="211" s="1"/>
  <c r="K63" i="192"/>
  <c r="J64" i="192"/>
  <c r="J74" i="192" s="1"/>
  <c r="J73" i="192"/>
  <c r="M83" i="197"/>
  <c r="M85" i="197" s="1"/>
  <c r="L85" i="197"/>
  <c r="M83" i="192"/>
  <c r="M85" i="192" s="1"/>
  <c r="L85" i="192"/>
  <c r="J64" i="184"/>
  <c r="J74" i="184" s="1"/>
  <c r="J73" i="184"/>
  <c r="K63" i="184"/>
  <c r="J63" i="206"/>
  <c r="I64" i="206"/>
  <c r="I74" i="206" s="1"/>
  <c r="I73" i="206"/>
  <c r="K63" i="205"/>
  <c r="J64" i="205"/>
  <c r="J74" i="205" s="1"/>
  <c r="J73" i="205"/>
  <c r="L85" i="182"/>
  <c r="M83" i="182"/>
  <c r="M85" i="182" s="1"/>
  <c r="J64" i="190"/>
  <c r="J74" i="190" s="1"/>
  <c r="J73" i="190"/>
  <c r="K63" i="190"/>
  <c r="I73" i="191"/>
  <c r="J63" i="191"/>
  <c r="I64" i="191"/>
  <c r="I74" i="191" s="1"/>
  <c r="L85" i="207"/>
  <c r="M83" i="207"/>
  <c r="M85" i="207" s="1"/>
  <c r="I73" i="204"/>
  <c r="J63" i="204"/>
  <c r="I64" i="204"/>
  <c r="I74" i="204" s="1"/>
  <c r="K64" i="195"/>
  <c r="K74" i="195" s="1"/>
  <c r="K73" i="195"/>
  <c r="L63" i="195"/>
  <c r="H64" i="209"/>
  <c r="H74" i="209" s="1"/>
  <c r="I63" i="209"/>
  <c r="H73" i="209"/>
  <c r="M82" i="180"/>
  <c r="M84" i="180" s="1"/>
  <c r="L84" i="180"/>
  <c r="I73" i="199"/>
  <c r="J63" i="199"/>
  <c r="I64" i="199"/>
  <c r="I74" i="199" s="1"/>
  <c r="J63" i="186"/>
  <c r="I73" i="186"/>
  <c r="I64" i="186"/>
  <c r="I74" i="186" s="1"/>
  <c r="H64" i="198"/>
  <c r="H74" i="198" s="1"/>
  <c r="H73" i="198"/>
  <c r="I63" i="198"/>
  <c r="L85" i="201"/>
  <c r="M83" i="201"/>
  <c r="M85" i="201" s="1"/>
  <c r="L85" i="208"/>
  <c r="M83" i="208"/>
  <c r="M85" i="208" s="1"/>
  <c r="J63" i="189"/>
  <c r="I73" i="189"/>
  <c r="I64" i="189"/>
  <c r="I74" i="189" s="1"/>
  <c r="I64" i="202"/>
  <c r="I74" i="202" s="1"/>
  <c r="I73" i="202"/>
  <c r="J63" i="202"/>
  <c r="H73" i="196"/>
  <c r="I63" i="196"/>
  <c r="H64" i="196"/>
  <c r="H74" i="196" s="1"/>
  <c r="I73" i="208"/>
  <c r="J63" i="208"/>
  <c r="I64" i="208"/>
  <c r="I74" i="208" s="1"/>
  <c r="M83" i="190"/>
  <c r="M85" i="190" s="1"/>
  <c r="L85" i="190"/>
  <c r="J64" i="200"/>
  <c r="J74" i="200" s="1"/>
  <c r="K63" i="200"/>
  <c r="J73" i="200"/>
  <c r="K63" i="201"/>
  <c r="J64" i="201"/>
  <c r="J74" i="201" s="1"/>
  <c r="J73" i="201"/>
  <c r="M83" i="204"/>
  <c r="M85" i="204" s="1"/>
  <c r="L85" i="204"/>
  <c r="I73" i="193"/>
  <c r="J63" i="193"/>
  <c r="I64" i="193"/>
  <c r="I74" i="193" s="1"/>
  <c r="J73" i="187"/>
  <c r="K63" i="187"/>
  <c r="J64" i="187"/>
  <c r="J74" i="187" s="1"/>
  <c r="J63" i="212"/>
  <c r="I73" i="212"/>
  <c r="I64" i="212"/>
  <c r="I74" i="212" s="1"/>
  <c r="I63" i="194"/>
  <c r="H64" i="194"/>
  <c r="H74" i="194" s="1"/>
  <c r="H73" i="194"/>
  <c r="J64" i="185"/>
  <c r="J74" i="185" s="1"/>
  <c r="J73" i="185"/>
  <c r="K63" i="185"/>
  <c r="J64" i="207"/>
  <c r="J74" i="207" s="1"/>
  <c r="J73" i="207"/>
  <c r="K63" i="207"/>
  <c r="M83" i="194"/>
  <c r="M85" i="194" s="1"/>
  <c r="L85" i="194"/>
  <c r="M63" i="215"/>
  <c r="L73" i="215"/>
  <c r="L64" i="215"/>
  <c r="L74" i="215" s="1"/>
  <c r="K73" i="214"/>
  <c r="K64" i="214"/>
  <c r="K74" i="214" s="1"/>
  <c r="L63" i="214"/>
  <c r="J73" i="199" l="1"/>
  <c r="K63" i="199"/>
  <c r="J64" i="199"/>
  <c r="J74" i="199" s="1"/>
  <c r="K63" i="180"/>
  <c r="K73" i="180" s="1"/>
  <c r="K72" i="180"/>
  <c r="L62" i="180"/>
  <c r="L63" i="207"/>
  <c r="K64" i="207"/>
  <c r="K74" i="207" s="1"/>
  <c r="K73" i="207"/>
  <c r="I73" i="194"/>
  <c r="J63" i="194"/>
  <c r="I64" i="194"/>
  <c r="I74" i="194" s="1"/>
  <c r="L63" i="200"/>
  <c r="K64" i="200"/>
  <c r="K74" i="200" s="1"/>
  <c r="K73" i="200"/>
  <c r="I64" i="198"/>
  <c r="I74" i="198" s="1"/>
  <c r="I73" i="198"/>
  <c r="J63" i="198"/>
  <c r="J63" i="209"/>
  <c r="I73" i="209"/>
  <c r="I64" i="209"/>
  <c r="I74" i="209" s="1"/>
  <c r="L63" i="205"/>
  <c r="K64" i="205"/>
  <c r="K74" i="205" s="1"/>
  <c r="K73" i="205"/>
  <c r="K73" i="184"/>
  <c r="L63" i="184"/>
  <c r="K64" i="184"/>
  <c r="K74" i="184" s="1"/>
  <c r="K64" i="211"/>
  <c r="K74" i="211" s="1"/>
  <c r="K73" i="211"/>
  <c r="L63" i="211"/>
  <c r="J64" i="203"/>
  <c r="J74" i="203" s="1"/>
  <c r="K63" i="203"/>
  <c r="J73" i="203"/>
  <c r="I73" i="197"/>
  <c r="J63" i="197"/>
  <c r="I64" i="197"/>
  <c r="I74" i="197" s="1"/>
  <c r="L63" i="185"/>
  <c r="K64" i="185"/>
  <c r="K74" i="185" s="1"/>
  <c r="K73" i="185"/>
  <c r="J73" i="212"/>
  <c r="J64" i="212"/>
  <c r="J74" i="212" s="1"/>
  <c r="K63" i="212"/>
  <c r="J73" i="189"/>
  <c r="K63" i="189"/>
  <c r="J64" i="189"/>
  <c r="J74" i="189" s="1"/>
  <c r="J64" i="191"/>
  <c r="J74" i="191" s="1"/>
  <c r="J73" i="191"/>
  <c r="K63" i="191"/>
  <c r="J64" i="206"/>
  <c r="J74" i="206" s="1"/>
  <c r="J73" i="206"/>
  <c r="K63" i="206"/>
  <c r="J64" i="193"/>
  <c r="J74" i="193" s="1"/>
  <c r="J73" i="193"/>
  <c r="K63" i="193"/>
  <c r="J63" i="196"/>
  <c r="I64" i="196"/>
  <c r="I74" i="196" s="1"/>
  <c r="I73" i="196"/>
  <c r="K73" i="187"/>
  <c r="K64" i="187"/>
  <c r="K74" i="187" s="1"/>
  <c r="L63" i="187"/>
  <c r="J73" i="208"/>
  <c r="K63" i="208"/>
  <c r="J64" i="208"/>
  <c r="J74" i="208" s="1"/>
  <c r="J73" i="186"/>
  <c r="K63" i="186"/>
  <c r="J64" i="186"/>
  <c r="J74" i="186" s="1"/>
  <c r="L63" i="190"/>
  <c r="K64" i="190"/>
  <c r="K74" i="190" s="1"/>
  <c r="K73" i="190"/>
  <c r="L63" i="192"/>
  <c r="K64" i="192"/>
  <c r="K74" i="192" s="1"/>
  <c r="K73" i="192"/>
  <c r="I73" i="188"/>
  <c r="J63" i="188"/>
  <c r="I64" i="188"/>
  <c r="I74" i="188" s="1"/>
  <c r="J73" i="182"/>
  <c r="J64" i="182"/>
  <c r="J74" i="182" s="1"/>
  <c r="K63" i="182"/>
  <c r="K73" i="201"/>
  <c r="K64" i="201"/>
  <c r="K74" i="201" s="1"/>
  <c r="L63" i="201"/>
  <c r="K63" i="202"/>
  <c r="J64" i="202"/>
  <c r="J74" i="202" s="1"/>
  <c r="J73" i="202"/>
  <c r="L73" i="195"/>
  <c r="M63" i="195"/>
  <c r="L64" i="195"/>
  <c r="L74" i="195" s="1"/>
  <c r="J73" i="204"/>
  <c r="J64" i="204"/>
  <c r="J74" i="204" s="1"/>
  <c r="K63" i="204"/>
  <c r="K64" i="213"/>
  <c r="K74" i="213" s="1"/>
  <c r="L63" i="213"/>
  <c r="K73" i="213"/>
  <c r="K73" i="181"/>
  <c r="L63" i="181"/>
  <c r="K64" i="181"/>
  <c r="K74" i="181" s="1"/>
  <c r="J63" i="183"/>
  <c r="I64" i="183"/>
  <c r="I74" i="183" s="1"/>
  <c r="I73" i="183"/>
  <c r="M73" i="215"/>
  <c r="M64" i="215"/>
  <c r="M74" i="215" s="1"/>
  <c r="M63" i="214"/>
  <c r="L73" i="214"/>
  <c r="L64" i="214"/>
  <c r="L74" i="214" s="1"/>
  <c r="M63" i="187" l="1"/>
  <c r="L73" i="187"/>
  <c r="L64" i="187"/>
  <c r="L74" i="187" s="1"/>
  <c r="L63" i="191"/>
  <c r="K64" i="191"/>
  <c r="K74" i="191" s="1"/>
  <c r="K73" i="191"/>
  <c r="L73" i="190"/>
  <c r="M63" i="190"/>
  <c r="L64" i="190"/>
  <c r="L74" i="190" s="1"/>
  <c r="J73" i="196"/>
  <c r="K63" i="196"/>
  <c r="J64" i="196"/>
  <c r="J74" i="196" s="1"/>
  <c r="K73" i="206"/>
  <c r="K64" i="206"/>
  <c r="K74" i="206" s="1"/>
  <c r="L63" i="206"/>
  <c r="J73" i="197"/>
  <c r="K63" i="197"/>
  <c r="J64" i="197"/>
  <c r="J74" i="197" s="1"/>
  <c r="J64" i="209"/>
  <c r="J74" i="209" s="1"/>
  <c r="K63" i="209"/>
  <c r="J73" i="209"/>
  <c r="J73" i="194"/>
  <c r="K63" i="194"/>
  <c r="J64" i="194"/>
  <c r="J74" i="194" s="1"/>
  <c r="L73" i="207"/>
  <c r="M63" i="207"/>
  <c r="L64" i="207"/>
  <c r="L74" i="207" s="1"/>
  <c r="L64" i="213"/>
  <c r="L74" i="213" s="1"/>
  <c r="L73" i="213"/>
  <c r="M63" i="213"/>
  <c r="L63" i="189"/>
  <c r="K64" i="189"/>
  <c r="K74" i="189" s="1"/>
  <c r="K73" i="189"/>
  <c r="K73" i="203"/>
  <c r="K64" i="203"/>
  <c r="K74" i="203" s="1"/>
  <c r="L63" i="203"/>
  <c r="L73" i="181"/>
  <c r="M63" i="181"/>
  <c r="L64" i="181"/>
  <c r="L74" i="181" s="1"/>
  <c r="K64" i="204"/>
  <c r="K74" i="204" s="1"/>
  <c r="L63" i="204"/>
  <c r="K73" i="204"/>
  <c r="M73" i="195"/>
  <c r="M64" i="195"/>
  <c r="M74" i="195" s="1"/>
  <c r="K73" i="202"/>
  <c r="K64" i="202"/>
  <c r="K74" i="202" s="1"/>
  <c r="L63" i="202"/>
  <c r="L63" i="182"/>
  <c r="K64" i="182"/>
  <c r="K74" i="182" s="1"/>
  <c r="K73" i="182"/>
  <c r="K63" i="188"/>
  <c r="J64" i="188"/>
  <c r="J74" i="188" s="1"/>
  <c r="J73" i="188"/>
  <c r="L64" i="192"/>
  <c r="L74" i="192" s="1"/>
  <c r="L73" i="192"/>
  <c r="M63" i="192"/>
  <c r="K73" i="208"/>
  <c r="L63" i="208"/>
  <c r="K64" i="208"/>
  <c r="K74" i="208" s="1"/>
  <c r="K73" i="193"/>
  <c r="L63" i="193"/>
  <c r="K64" i="193"/>
  <c r="K74" i="193" s="1"/>
  <c r="K73" i="212"/>
  <c r="L63" i="212"/>
  <c r="K64" i="212"/>
  <c r="K74" i="212" s="1"/>
  <c r="L64" i="211"/>
  <c r="L74" i="211" s="1"/>
  <c r="M63" i="211"/>
  <c r="L73" i="211"/>
  <c r="L73" i="184"/>
  <c r="M63" i="184"/>
  <c r="L64" i="184"/>
  <c r="L74" i="184" s="1"/>
  <c r="L73" i="205"/>
  <c r="L64" i="205"/>
  <c r="L74" i="205" s="1"/>
  <c r="M63" i="205"/>
  <c r="J73" i="198"/>
  <c r="K63" i="198"/>
  <c r="J64" i="198"/>
  <c r="J74" i="198" s="1"/>
  <c r="M62" i="180"/>
  <c r="L63" i="180"/>
  <c r="L73" i="180" s="1"/>
  <c r="L72" i="180"/>
  <c r="K73" i="199"/>
  <c r="L63" i="199"/>
  <c r="K64" i="199"/>
  <c r="K74" i="199" s="1"/>
  <c r="J73" i="183"/>
  <c r="K63" i="183"/>
  <c r="J64" i="183"/>
  <c r="J74" i="183" s="1"/>
  <c r="L73" i="201"/>
  <c r="M63" i="201"/>
  <c r="L64" i="201"/>
  <c r="L74" i="201" s="1"/>
  <c r="K73" i="186"/>
  <c r="K64" i="186"/>
  <c r="K74" i="186" s="1"/>
  <c r="L63" i="186"/>
  <c r="M63" i="185"/>
  <c r="L64" i="185"/>
  <c r="L74" i="185" s="1"/>
  <c r="L73" i="185"/>
  <c r="M63" i="200"/>
  <c r="L64" i="200"/>
  <c r="L74" i="200" s="1"/>
  <c r="L73" i="200"/>
  <c r="M73" i="214"/>
  <c r="M64" i="214"/>
  <c r="M74" i="214" s="1"/>
  <c r="L73" i="186" l="1"/>
  <c r="M63" i="186"/>
  <c r="L64" i="186"/>
  <c r="L74" i="186" s="1"/>
  <c r="M64" i="201"/>
  <c r="M74" i="201" s="1"/>
  <c r="M73" i="201"/>
  <c r="L63" i="198"/>
  <c r="K64" i="198"/>
  <c r="K74" i="198" s="1"/>
  <c r="K73" i="198"/>
  <c r="M63" i="212"/>
  <c r="L64" i="212"/>
  <c r="L74" i="212" s="1"/>
  <c r="L73" i="212"/>
  <c r="M63" i="203"/>
  <c r="L64" i="203"/>
  <c r="L74" i="203" s="1"/>
  <c r="L73" i="203"/>
  <c r="L73" i="191"/>
  <c r="M63" i="191"/>
  <c r="L64" i="191"/>
  <c r="L74" i="191" s="1"/>
  <c r="M73" i="211"/>
  <c r="M64" i="211"/>
  <c r="M74" i="211" s="1"/>
  <c r="L63" i="188"/>
  <c r="K64" i="188"/>
  <c r="K74" i="188" s="1"/>
  <c r="K73" i="188"/>
  <c r="M63" i="202"/>
  <c r="L64" i="202"/>
  <c r="L74" i="202" s="1"/>
  <c r="L73" i="202"/>
  <c r="M63" i="189"/>
  <c r="L73" i="189"/>
  <c r="L64" i="189"/>
  <c r="L74" i="189" s="1"/>
  <c r="K64" i="194"/>
  <c r="K74" i="194" s="1"/>
  <c r="K73" i="194"/>
  <c r="L63" i="194"/>
  <c r="M63" i="206"/>
  <c r="L73" i="206"/>
  <c r="L64" i="206"/>
  <c r="L74" i="206" s="1"/>
  <c r="L63" i="196"/>
  <c r="K73" i="196"/>
  <c r="K64" i="196"/>
  <c r="K74" i="196" s="1"/>
  <c r="M64" i="200"/>
  <c r="M74" i="200" s="1"/>
  <c r="M73" i="200"/>
  <c r="L64" i="182"/>
  <c r="L74" i="182" s="1"/>
  <c r="M63" i="182"/>
  <c r="L73" i="182"/>
  <c r="K73" i="209"/>
  <c r="K64" i="209"/>
  <c r="K74" i="209" s="1"/>
  <c r="L63" i="209"/>
  <c r="M64" i="190"/>
  <c r="M74" i="190" s="1"/>
  <c r="M73" i="190"/>
  <c r="L73" i="199"/>
  <c r="M63" i="199"/>
  <c r="L64" i="199"/>
  <c r="L74" i="199" s="1"/>
  <c r="M63" i="180"/>
  <c r="M73" i="180" s="1"/>
  <c r="M72" i="180"/>
  <c r="M64" i="205"/>
  <c r="M74" i="205" s="1"/>
  <c r="M73" i="205"/>
  <c r="M64" i="184"/>
  <c r="M74" i="184" s="1"/>
  <c r="M73" i="184"/>
  <c r="L73" i="208"/>
  <c r="M63" i="208"/>
  <c r="L64" i="208"/>
  <c r="L74" i="208" s="1"/>
  <c r="M73" i="181"/>
  <c r="M64" i="181"/>
  <c r="M74" i="181" s="1"/>
  <c r="M64" i="213"/>
  <c r="M74" i="213" s="1"/>
  <c r="M73" i="213"/>
  <c r="M73" i="207"/>
  <c r="M64" i="207"/>
  <c r="M74" i="207" s="1"/>
  <c r="M73" i="192"/>
  <c r="M64" i="192"/>
  <c r="M74" i="192" s="1"/>
  <c r="M73" i="185"/>
  <c r="M64" i="185"/>
  <c r="M74" i="185" s="1"/>
  <c r="K64" i="183"/>
  <c r="K74" i="183" s="1"/>
  <c r="K73" i="183"/>
  <c r="L63" i="183"/>
  <c r="L64" i="193"/>
  <c r="L74" i="193" s="1"/>
  <c r="M63" i="193"/>
  <c r="L73" i="193"/>
  <c r="M63" i="204"/>
  <c r="L64" i="204"/>
  <c r="L74" i="204" s="1"/>
  <c r="L73" i="204"/>
  <c r="K73" i="197"/>
  <c r="L63" i="197"/>
  <c r="K64" i="197"/>
  <c r="K74" i="197" s="1"/>
  <c r="M64" i="187"/>
  <c r="M74" i="187" s="1"/>
  <c r="M73" i="187"/>
  <c r="L64" i="183" l="1"/>
  <c r="L74" i="183" s="1"/>
  <c r="M63" i="183"/>
  <c r="L73" i="183"/>
  <c r="M73" i="191"/>
  <c r="M64" i="191"/>
  <c r="M74" i="191" s="1"/>
  <c r="M64" i="203"/>
  <c r="M74" i="203" s="1"/>
  <c r="M73" i="203"/>
  <c r="L73" i="196"/>
  <c r="M63" i="196"/>
  <c r="L64" i="196"/>
  <c r="L74" i="196" s="1"/>
  <c r="M63" i="194"/>
  <c r="L64" i="194"/>
  <c r="L74" i="194" s="1"/>
  <c r="L73" i="194"/>
  <c r="M64" i="202"/>
  <c r="M74" i="202" s="1"/>
  <c r="M73" i="202"/>
  <c r="L73" i="197"/>
  <c r="M63" i="197"/>
  <c r="L64" i="197"/>
  <c r="L74" i="197" s="1"/>
  <c r="M73" i="193"/>
  <c r="M64" i="193"/>
  <c r="M74" i="193" s="1"/>
  <c r="M73" i="208"/>
  <c r="M64" i="208"/>
  <c r="M74" i="208" s="1"/>
  <c r="M73" i="189"/>
  <c r="M64" i="189"/>
  <c r="M74" i="189" s="1"/>
  <c r="L73" i="198"/>
  <c r="M63" i="198"/>
  <c r="L64" i="198"/>
  <c r="L74" i="198" s="1"/>
  <c r="M73" i="186"/>
  <c r="M64" i="186"/>
  <c r="M74" i="186" s="1"/>
  <c r="M73" i="204"/>
  <c r="M64" i="204"/>
  <c r="M74" i="204" s="1"/>
  <c r="M64" i="206"/>
  <c r="M74" i="206" s="1"/>
  <c r="M73" i="206"/>
  <c r="L73" i="188"/>
  <c r="M63" i="188"/>
  <c r="L64" i="188"/>
  <c r="L74" i="188" s="1"/>
  <c r="M73" i="199"/>
  <c r="M64" i="199"/>
  <c r="M74" i="199" s="1"/>
  <c r="L73" i="209"/>
  <c r="L64" i="209"/>
  <c r="L74" i="209" s="1"/>
  <c r="M63" i="209"/>
  <c r="M73" i="182"/>
  <c r="M64" i="182"/>
  <c r="M74" i="182" s="1"/>
  <c r="M73" i="212"/>
  <c r="M64" i="212"/>
  <c r="M74" i="212" s="1"/>
  <c r="M73" i="188" l="1"/>
  <c r="M64" i="188"/>
  <c r="M74" i="188" s="1"/>
  <c r="M64" i="194"/>
  <c r="M74" i="194" s="1"/>
  <c r="M73" i="194"/>
  <c r="M73" i="198"/>
  <c r="M64" i="198"/>
  <c r="M74" i="198" s="1"/>
  <c r="M64" i="183"/>
  <c r="M74" i="183" s="1"/>
  <c r="M73" i="183"/>
  <c r="M73" i="209"/>
  <c r="M64" i="209"/>
  <c r="M74" i="209" s="1"/>
  <c r="M64" i="197"/>
  <c r="M74" i="197" s="1"/>
  <c r="M73" i="197"/>
  <c r="M73" i="196"/>
  <c r="M64" i="196"/>
  <c r="M74" i="196" s="1"/>
</calcChain>
</file>

<file path=xl/comments1.xml><?xml version="1.0" encoding="utf-8"?>
<comments xmlns="http://schemas.openxmlformats.org/spreadsheetml/2006/main">
  <authors>
    <author>Robert de Wit</author>
    <author>rdewit1</author>
  </authors>
  <commentList>
    <comment ref="A11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Only Interest Income Reported here</t>
        </r>
      </text>
    </comment>
    <comment ref="A43" authorId="1" shapeId="0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Net of any Post Medical Accrual
</t>
        </r>
      </text>
    </comment>
    <comment ref="M44" authorId="0" shapeId="0">
      <text>
        <r>
          <rPr>
            <b/>
            <sz val="9"/>
            <color indexed="81"/>
            <rFont val="Tahoma"/>
            <family val="2"/>
          </rPr>
          <t>Robert de Wit: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45" authorId="1" shapeId="0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Net of any Post Medical Accrual
</t>
        </r>
      </text>
    </comment>
    <comment ref="A54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Dollar Cost average monthly funding
</t>
        </r>
      </text>
    </comment>
    <comment ref="M54" authorId="1" shapeId="0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Non Cash Adjustment of $991,618
$7,342,914 minus $8,334,532</t>
        </r>
      </text>
    </comment>
    <comment ref="A55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Includes Other Income as well as Interest Income</t>
        </r>
      </text>
    </comment>
    <comment ref="A56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Cash out for loss</t>
        </r>
      </text>
    </comment>
    <comment ref="A59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Net of Designated and Bond Reserve</t>
        </r>
      </text>
    </comment>
    <comment ref="B59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Per Bal Sheet Total Cash line as of 6/30/15
</t>
        </r>
      </text>
    </comment>
  </commentList>
</comments>
</file>

<file path=xl/comments2.xml><?xml version="1.0" encoding="utf-8"?>
<comments xmlns="http://schemas.openxmlformats.org/spreadsheetml/2006/main">
  <authors>
    <author>Robert de Wit</author>
    <author>rdewit1</author>
  </authors>
  <commentList>
    <comment ref="A11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Only Interest Income Reported here</t>
        </r>
      </text>
    </comment>
    <comment ref="A44" authorId="1" shapeId="0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Net of any Post Medical Accrual
</t>
        </r>
      </text>
    </comment>
    <comment ref="A46" authorId="1" shapeId="0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Net of any Post Medical Accrual
</t>
        </r>
      </text>
    </comment>
    <comment ref="A55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Dollar Cost average monthly funding
</t>
        </r>
      </text>
    </comment>
    <comment ref="M55" authorId="1" shapeId="0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Non Cash Adjustment of $991,618
$7,342,914 minus $8,334,532</t>
        </r>
      </text>
    </comment>
    <comment ref="A56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Includes Other Income as well as Interest Income</t>
        </r>
      </text>
    </comment>
    <comment ref="A57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Cash out for loss</t>
        </r>
      </text>
    </comment>
    <comment ref="A6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Net of Designated and Bond Reserve</t>
        </r>
      </text>
    </comment>
    <comment ref="B6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Per Bal Sheet Total Cash line as of 6/30/16
</t>
        </r>
      </text>
    </comment>
  </commentList>
</comments>
</file>

<file path=xl/comments3.xml><?xml version="1.0" encoding="utf-8"?>
<comments xmlns="http://schemas.openxmlformats.org/spreadsheetml/2006/main">
  <authors>
    <author>Robert de Wit</author>
    <author>rdewit1</author>
  </authors>
  <commentList>
    <comment ref="A11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Only Interest Income Reported here</t>
        </r>
      </text>
    </comment>
    <comment ref="A44" authorId="1" shapeId="0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Net of any Post Medical Accrual
</t>
        </r>
      </text>
    </comment>
    <comment ref="A46" authorId="1" shapeId="0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Net of any Post Medical Accrual
</t>
        </r>
      </text>
    </comment>
    <comment ref="A55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Dollar Cost average monthly funding
</t>
        </r>
      </text>
    </comment>
    <comment ref="M55" authorId="1" shapeId="0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Non Cash Adjustment of $991,618
$7,342,914 minus $8,334,532</t>
        </r>
      </text>
    </comment>
    <comment ref="A56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Includes Other Income as well as Interest Income</t>
        </r>
      </text>
    </comment>
    <comment ref="A57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Cash out for loss</t>
        </r>
      </text>
    </comment>
    <comment ref="A6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Net of Designated and Bond Reserve</t>
        </r>
      </text>
    </comment>
    <comment ref="B6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Per Bal Sheet Total Cash line as of 6/30/16
</t>
        </r>
      </text>
    </comment>
  </commentList>
</comments>
</file>

<file path=xl/comments4.xml><?xml version="1.0" encoding="utf-8"?>
<comments xmlns="http://schemas.openxmlformats.org/spreadsheetml/2006/main">
  <authors>
    <author>Robert de Wit</author>
    <author>rdewit1</author>
  </authors>
  <commentList>
    <comment ref="A11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Only Interest Income Reported here</t>
        </r>
      </text>
    </comment>
    <comment ref="A44" authorId="1" shapeId="0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Net of any Post Medical Accrual
</t>
        </r>
      </text>
    </comment>
    <comment ref="A46" authorId="1" shapeId="0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Net of any Post Medical Accrual
</t>
        </r>
      </text>
    </comment>
    <comment ref="A55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Dollar Cost average monthly funding
</t>
        </r>
      </text>
    </comment>
    <comment ref="M55" authorId="1" shapeId="0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Non Cash Adjustment of $991,618
$7,342,914 minus $8,334,532</t>
        </r>
      </text>
    </comment>
    <comment ref="A56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Includes Other Income as well as Interest Income</t>
        </r>
      </text>
    </comment>
    <comment ref="A57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Cash out for loss</t>
        </r>
      </text>
    </comment>
    <comment ref="A6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Net of Designated and Bond Reserve</t>
        </r>
      </text>
    </comment>
    <comment ref="B6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Per Bal Sheet Total Cash line as of 6/30/16
</t>
        </r>
      </text>
    </comment>
  </commentList>
</comments>
</file>

<file path=xl/comments5.xml><?xml version="1.0" encoding="utf-8"?>
<comments xmlns="http://schemas.openxmlformats.org/spreadsheetml/2006/main">
  <authors>
    <author>Robert de Wit</author>
    <author>rdewit1</author>
  </authors>
  <commentList>
    <comment ref="A11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Only Interest Income Reported here</t>
        </r>
      </text>
    </comment>
    <comment ref="A44" authorId="1" shapeId="0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Net of any Post Medical Accrual
</t>
        </r>
      </text>
    </comment>
    <comment ref="A46" authorId="1" shapeId="0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Net of any Post Medical Accrual
</t>
        </r>
      </text>
    </comment>
    <comment ref="A55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Dollar Cost average monthly funding
</t>
        </r>
      </text>
    </comment>
    <comment ref="M55" authorId="1" shapeId="0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Non Cash Adjustment of $991,618
$7,342,914 minus $8,334,532</t>
        </r>
      </text>
    </comment>
    <comment ref="A56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Includes Other Income as well as Interest Income</t>
        </r>
      </text>
    </comment>
    <comment ref="A57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Cash out for loss</t>
        </r>
      </text>
    </comment>
    <comment ref="A6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Net of Designated and Bond Reserve</t>
        </r>
      </text>
    </comment>
    <comment ref="B6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Per Bal Sheet Total Cash line as of 6/30/16
</t>
        </r>
      </text>
    </comment>
  </commentList>
</comments>
</file>

<file path=xl/comments6.xml><?xml version="1.0" encoding="utf-8"?>
<comments xmlns="http://schemas.openxmlformats.org/spreadsheetml/2006/main">
  <authors>
    <author>Robert de Wit</author>
    <author>rdewit1</author>
    <author>Robert Dewit</author>
  </authors>
  <commentList>
    <comment ref="A11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Only Interest Income Reported here</t>
        </r>
      </text>
    </comment>
    <comment ref="A44" authorId="1" shapeId="0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Net of any Post Medical Accrual
</t>
        </r>
      </text>
    </comment>
    <comment ref="A46" authorId="1" shapeId="0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Net of any Post Medical Accrual
</t>
        </r>
      </text>
    </comment>
    <comment ref="D54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Campus Payoff for Athletics Loan
</t>
        </r>
      </text>
    </comment>
    <comment ref="A55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Dollar Cost average monthly funding
</t>
        </r>
      </text>
    </comment>
    <comment ref="M55" authorId="1" shapeId="0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Non Cash Adjustment of $991,618
$7,342,914 minus $8,334,532</t>
        </r>
      </text>
    </comment>
    <comment ref="A56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Includes Other Income as well as Interest Income</t>
        </r>
      </text>
    </comment>
    <comment ref="A57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Cash out for loss</t>
        </r>
      </text>
    </comment>
    <comment ref="A6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Net of Designated and Bond Reserve</t>
        </r>
      </text>
    </comment>
    <comment ref="B6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Per Bal Sheet Total Cash line as of 6/30/16
</t>
        </r>
      </text>
    </comment>
  </commentList>
</comments>
</file>

<file path=xl/comments7.xml><?xml version="1.0" encoding="utf-8"?>
<comments xmlns="http://schemas.openxmlformats.org/spreadsheetml/2006/main">
  <authors>
    <author>Robert de Wit</author>
    <author>rdewit1</author>
    <author>Robert Dewit</author>
  </authors>
  <commentList>
    <comment ref="A11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Only Interest Income Reported here</t>
        </r>
      </text>
    </comment>
    <comment ref="A44" authorId="1" shapeId="0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Net of any Post Medical Accrual
</t>
        </r>
      </text>
    </comment>
    <comment ref="A46" authorId="1" shapeId="0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Net of any Post Medical Accrual
</t>
        </r>
      </text>
    </comment>
    <comment ref="D54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Campus Payoff for Athletics Loan
</t>
        </r>
      </text>
    </comment>
    <comment ref="A55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Dollar Cost average monthly funding
</t>
        </r>
      </text>
    </comment>
    <comment ref="M55" authorId="1" shapeId="0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Non Cash Adjustment of $991,618
$7,342,914 minus $8,334,532</t>
        </r>
      </text>
    </comment>
    <comment ref="A56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Includes Other Income as well as Interest Income</t>
        </r>
      </text>
    </comment>
    <comment ref="A57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Cash out for loss</t>
        </r>
      </text>
    </comment>
    <comment ref="A6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Net of Designated and Bond Reserve</t>
        </r>
      </text>
    </comment>
    <comment ref="B6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Per Bal Sheet Total Cash line as of 6/30/16
</t>
        </r>
      </text>
    </comment>
  </commentList>
</comments>
</file>

<file path=xl/comments8.xml><?xml version="1.0" encoding="utf-8"?>
<comments xmlns="http://schemas.openxmlformats.org/spreadsheetml/2006/main">
  <authors>
    <author>Robert de Wit</author>
    <author>rdewit1</author>
    <author>Robert Dewit</author>
  </authors>
  <commentList>
    <comment ref="A11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Only Interest Income Reported here</t>
        </r>
      </text>
    </comment>
    <comment ref="A44" authorId="1" shapeId="0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Net of any Post Medical Accrual
</t>
        </r>
      </text>
    </comment>
    <comment ref="A46" authorId="1" shapeId="0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Net of any Post Medical Accrual
</t>
        </r>
      </text>
    </comment>
    <comment ref="D54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Campus Payoff for Athletics Loan
</t>
        </r>
      </text>
    </comment>
    <comment ref="A55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Dollar Cost average monthly funding
</t>
        </r>
      </text>
    </comment>
    <comment ref="M55" authorId="1" shapeId="0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Non Cash Adjustment of $991,618
$7,342,914 minus $8,334,532</t>
        </r>
      </text>
    </comment>
    <comment ref="A56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Includes Other Income as well as Interest Income</t>
        </r>
      </text>
    </comment>
    <comment ref="A57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Cash out for loss</t>
        </r>
      </text>
    </comment>
    <comment ref="A6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Net of Designated and Bond Reserve</t>
        </r>
      </text>
    </comment>
    <comment ref="B6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Per Bal Sheet Total Cash line as of 6/30/16
</t>
        </r>
      </text>
    </comment>
  </commentList>
</comments>
</file>

<file path=xl/comments9.xml><?xml version="1.0" encoding="utf-8"?>
<comments xmlns="http://schemas.openxmlformats.org/spreadsheetml/2006/main">
  <authors>
    <author>Robert de Wit</author>
    <author>rdewit1</author>
    <author>Robert Dewit</author>
  </authors>
  <commentList>
    <comment ref="A11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Only Interest Income Reported here</t>
        </r>
      </text>
    </comment>
    <comment ref="A44" authorId="1" shapeId="0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Net of any Post Medical Accrual
</t>
        </r>
      </text>
    </comment>
    <comment ref="A46" authorId="1" shapeId="0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Net of any Post Medical Accrual
</t>
        </r>
      </text>
    </comment>
    <comment ref="D54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Campus Payoff for Athletics Loan
</t>
        </r>
      </text>
    </comment>
    <comment ref="A55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Dollar Cost average monthly funding
</t>
        </r>
      </text>
    </comment>
    <comment ref="M55" authorId="1" shapeId="0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Non Cash Adjustment of $991,618
$7,342,914 minus $8,334,532</t>
        </r>
      </text>
    </comment>
    <comment ref="A56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Includes Other Income as well as Interest Income</t>
        </r>
      </text>
    </comment>
    <comment ref="A57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Cash out for loss</t>
        </r>
      </text>
    </comment>
    <comment ref="A6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Net of Designated and Bond Reserve</t>
        </r>
      </text>
    </comment>
    <comment ref="B6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Per Bal Sheet Total Cash line as of 6/30/16
</t>
        </r>
      </text>
    </comment>
  </commentList>
</comments>
</file>

<file path=xl/comments10.xml><?xml version="1.0" encoding="utf-8"?>
<comments xmlns="http://schemas.openxmlformats.org/spreadsheetml/2006/main">
  <authors>
    <author>Robert de Wit</author>
    <author>rdewit1</author>
    <author>Robert Dewit</author>
  </authors>
  <commentList>
    <comment ref="A11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Only Interest Income Reported here</t>
        </r>
      </text>
    </comment>
    <comment ref="A44" authorId="1" shapeId="0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Net of any Post Medical Accrual
</t>
        </r>
      </text>
    </comment>
    <comment ref="A46" authorId="1" shapeId="0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Net of any Post Medical Accrual
</t>
        </r>
      </text>
    </comment>
    <comment ref="D54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Campus Payoff for Athletics Loan
</t>
        </r>
      </text>
    </comment>
    <comment ref="A55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Dollar Cost average monthly funding
</t>
        </r>
      </text>
    </comment>
    <comment ref="M55" authorId="1" shapeId="0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Non Cash Adjustment of $991,618
$7,342,914 minus $8,334,532</t>
        </r>
      </text>
    </comment>
    <comment ref="A56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Includes Other Income as well as Interest Income</t>
        </r>
      </text>
    </comment>
    <comment ref="A57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Cash out for loss</t>
        </r>
      </text>
    </comment>
    <comment ref="A6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Net of Designated and Bond Reserve</t>
        </r>
      </text>
    </comment>
    <comment ref="B6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Per Bal Sheet Total Cash line as of 6/30/16
</t>
        </r>
      </text>
    </comment>
  </commentList>
</comments>
</file>

<file path=xl/comments11.xml><?xml version="1.0" encoding="utf-8"?>
<comments xmlns="http://schemas.openxmlformats.org/spreadsheetml/2006/main">
  <authors>
    <author>Robert de Wit</author>
    <author>rdewit1</author>
    <author>Robert Dewit</author>
  </authors>
  <commentList>
    <comment ref="A11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Only Interest Income Reported here</t>
        </r>
      </text>
    </comment>
    <comment ref="A44" authorId="1" shapeId="0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Net of any Post Medical Accrual
</t>
        </r>
      </text>
    </comment>
    <comment ref="A46" authorId="1" shapeId="0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Net of any Post Medical Accrual
</t>
        </r>
      </text>
    </comment>
    <comment ref="D54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Campus Payoff for Athletics Loan
</t>
        </r>
      </text>
    </comment>
    <comment ref="A55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Dollar Cost average monthly funding
</t>
        </r>
      </text>
    </comment>
    <comment ref="M55" authorId="1" shapeId="0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Non Cash Adjustment of $991,618
$7,342,914 minus $8,334,532</t>
        </r>
      </text>
    </comment>
    <comment ref="A56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Includes Other Income as well as Interest Income</t>
        </r>
      </text>
    </comment>
    <comment ref="A57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Cash out for loss</t>
        </r>
      </text>
    </comment>
    <comment ref="A6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Net of Designated and Bond Reserve</t>
        </r>
      </text>
    </comment>
    <comment ref="B6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Per Bal Sheet Total Cash line as of 6/30/16
</t>
        </r>
      </text>
    </comment>
  </commentList>
</comments>
</file>

<file path=xl/comments12.xml><?xml version="1.0" encoding="utf-8"?>
<comments xmlns="http://schemas.openxmlformats.org/spreadsheetml/2006/main">
  <authors>
    <author>Robert de Wit</author>
    <author>rdewit1</author>
    <author>Robert Dewit</author>
  </authors>
  <commentList>
    <comment ref="A11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Only Interest Income Reported here</t>
        </r>
      </text>
    </comment>
    <comment ref="A44" authorId="1" shapeId="0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Net of any Post Medical Accrual
</t>
        </r>
      </text>
    </comment>
    <comment ref="A46" authorId="1" shapeId="0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Net of any Post Medical Accrual
</t>
        </r>
      </text>
    </comment>
    <comment ref="K53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$30K Starbucks plus Outpost Patio Plan</t>
        </r>
      </text>
    </comment>
    <comment ref="D54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Campus Payoff for Athletics Loan
</t>
        </r>
      </text>
    </comment>
    <comment ref="A55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Dollar Cost average monthly funding
</t>
        </r>
      </text>
    </comment>
    <comment ref="M55" authorId="1" shapeId="0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Non Cash Adjustment of $991,618
$7,342,914 minus $8,334,532</t>
        </r>
      </text>
    </comment>
    <comment ref="A56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Includes Other Income as well as Interest Income</t>
        </r>
      </text>
    </comment>
    <comment ref="A57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Cash out for loss</t>
        </r>
      </text>
    </comment>
    <comment ref="A6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Net of Designated and Bond Reserve</t>
        </r>
      </text>
    </comment>
    <comment ref="B6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Per Bal Sheet Total Cash line as of 6/30/16
</t>
        </r>
      </text>
    </comment>
  </commentList>
</comments>
</file>

<file path=xl/comments13.xml><?xml version="1.0" encoding="utf-8"?>
<comments xmlns="http://schemas.openxmlformats.org/spreadsheetml/2006/main">
  <authors>
    <author>Robert de Wit</author>
    <author>rdewit1</author>
    <author>Robert Dewit</author>
  </authors>
  <commentList>
    <comment ref="A11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Only Interest Income Reported here</t>
        </r>
      </text>
    </comment>
    <comment ref="A44" authorId="1" shapeId="0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Net of any Post Medical Accrual
</t>
        </r>
      </text>
    </comment>
    <comment ref="A46" authorId="1" shapeId="0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Net of any Post Medical Accrual
</t>
        </r>
      </text>
    </comment>
    <comment ref="K53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$30K Starbucks plus Outpost Patio Plan</t>
        </r>
      </text>
    </comment>
    <comment ref="D54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Campus Payoff for Athletics Loan
</t>
        </r>
      </text>
    </comment>
    <comment ref="A55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Dollar Cost average monthly funding
</t>
        </r>
      </text>
    </comment>
    <comment ref="M55" authorId="1" shapeId="0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Non Cash Adjustment of $991,618
$7,342,914 minus $8,334,532</t>
        </r>
      </text>
    </comment>
    <comment ref="A56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Includes Other Income as well as Interest Income</t>
        </r>
      </text>
    </comment>
    <comment ref="A57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Cash out for loss</t>
        </r>
      </text>
    </comment>
    <comment ref="A6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Net of Designated and Bond Reserve</t>
        </r>
      </text>
    </comment>
    <comment ref="B6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Per Bal Sheet Total Cash line as of 6/30/16
</t>
        </r>
      </text>
    </comment>
  </commentList>
</comments>
</file>

<file path=xl/comments14.xml><?xml version="1.0" encoding="utf-8"?>
<comments xmlns="http://schemas.openxmlformats.org/spreadsheetml/2006/main">
  <authors>
    <author>Robert de Wit</author>
    <author>rdewit1</author>
    <author>Robert Dewit</author>
  </authors>
  <commentList>
    <comment ref="A11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Only Interest Income Reported here</t>
        </r>
      </text>
    </comment>
    <comment ref="A44" authorId="1" shapeId="0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Net of any Post Medical Accrual
</t>
        </r>
      </text>
    </comment>
    <comment ref="M45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VEBA, FAS adj plus I/C Accrual of $380K
</t>
        </r>
      </text>
    </comment>
    <comment ref="A46" authorId="1" shapeId="0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Net of any Post Medical Accrual
</t>
        </r>
      </text>
    </comment>
    <comment ref="K53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$30K Starbucks plus Outpost Patio Plan</t>
        </r>
      </text>
    </comment>
    <comment ref="M53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$27,221 Servers
($29,768) Net A/C
$5,000 Papa Johns
</t>
        </r>
      </text>
    </comment>
    <comment ref="D54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Campus Payoff for Athletics Loan
</t>
        </r>
      </text>
    </comment>
    <comment ref="A55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Dollar Cost average monthly funding
</t>
        </r>
      </text>
    </comment>
    <comment ref="M55" authorId="1" shapeId="0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Non Cash Adjustment of $991,618
$7,342,914 minus $8,334,532</t>
        </r>
      </text>
    </comment>
    <comment ref="A56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Includes Other Income as well as Interest Income</t>
        </r>
      </text>
    </comment>
    <comment ref="A57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Cash out for loss</t>
        </r>
      </text>
    </comment>
    <comment ref="A6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Net of Designated and Bond Reserve</t>
        </r>
      </text>
    </comment>
    <comment ref="B6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Per Bal Sheet Total Cash line as of 6/30/16
</t>
        </r>
      </text>
    </comment>
  </commentList>
</comments>
</file>

<file path=xl/comments15.xml><?xml version="1.0" encoding="utf-8"?>
<comments xmlns="http://schemas.openxmlformats.org/spreadsheetml/2006/main">
  <authors>
    <author>Robert de Wit</author>
    <author>rdewit1</author>
    <author>Robert Dewit</author>
  </authors>
  <commentList>
    <comment ref="A11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Only Interest Income Reported here</t>
        </r>
      </text>
    </comment>
    <comment ref="A44" authorId="1" shapeId="0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Net of any Post Medical Accrual
</t>
        </r>
      </text>
    </comment>
    <comment ref="M45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VEBA, FAS adj plus I/C Accrual of $380K
</t>
        </r>
      </text>
    </comment>
    <comment ref="A46" authorId="1" shapeId="0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Net of any Post Medical Accrual
</t>
        </r>
      </text>
    </comment>
    <comment ref="K53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$30K Starbucks plus Outpost Patio Plan</t>
        </r>
      </text>
    </comment>
    <comment ref="M53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$27,221 Servers
($29,768) Net A/C
$5,000 Papa Johns
</t>
        </r>
      </text>
    </comment>
    <comment ref="D54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Campus Payoff for Athletics Loan
</t>
        </r>
      </text>
    </comment>
    <comment ref="A55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Dollar Cost average monthly funding
</t>
        </r>
      </text>
    </comment>
    <comment ref="M55" authorId="1" shapeId="0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Non Cash Adjustment of $991,618
$7,342,914 minus $8,334,532</t>
        </r>
      </text>
    </comment>
    <comment ref="A56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Includes Other Income as well as Interest Income</t>
        </r>
      </text>
    </comment>
    <comment ref="A57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Cash out for loss</t>
        </r>
      </text>
    </comment>
    <comment ref="A6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Net of Designated and Bond Reserve</t>
        </r>
      </text>
    </comment>
    <comment ref="B6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Per Bal Sheet Total Cash line as of 6/30/16
</t>
        </r>
      </text>
    </comment>
  </commentList>
</comments>
</file>

<file path=xl/comments16.xml><?xml version="1.0" encoding="utf-8"?>
<comments xmlns="http://schemas.openxmlformats.org/spreadsheetml/2006/main">
  <authors>
    <author>Robert de Wit</author>
    <author>rdewit1</author>
    <author>Robert Dewit</author>
  </authors>
  <commentList>
    <comment ref="A11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Only Interest Income Reported here</t>
        </r>
      </text>
    </comment>
    <comment ref="A44" authorId="1" shapeId="0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Net of any Post Medical Accrual
</t>
        </r>
      </text>
    </comment>
    <comment ref="M45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VEBA, FAS adj plus I/C Accrual of $380K
</t>
        </r>
      </text>
    </comment>
    <comment ref="A46" authorId="1" shapeId="0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Net of any Post Medical Accrual
</t>
        </r>
      </text>
    </comment>
    <comment ref="K53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$30K Starbucks plus Outpost Patio Plan</t>
        </r>
      </text>
    </comment>
    <comment ref="M53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$27,221 Servers
($29,768) Net A/C
$5,000 Papa Johns
</t>
        </r>
      </text>
    </comment>
    <comment ref="D54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Campus Payoff for Athletics Loan
</t>
        </r>
      </text>
    </comment>
    <comment ref="A55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Dollar Cost average monthly funding
</t>
        </r>
      </text>
    </comment>
    <comment ref="M55" authorId="1" shapeId="0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Non Cash Adjustment of $991,618
$7,342,914 minus $8,334,532</t>
        </r>
      </text>
    </comment>
    <comment ref="A56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Includes Other Income as well as Interest Income</t>
        </r>
      </text>
    </comment>
    <comment ref="A57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Cash out for loss</t>
        </r>
      </text>
    </comment>
    <comment ref="A6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Net of Designated and Bond Reserve</t>
        </r>
      </text>
    </comment>
    <comment ref="B6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Per Bal Sheet Total Cash line as of 6/30/17
</t>
        </r>
      </text>
    </comment>
  </commentList>
</comments>
</file>

<file path=xl/comments17.xml><?xml version="1.0" encoding="utf-8"?>
<comments xmlns="http://schemas.openxmlformats.org/spreadsheetml/2006/main">
  <authors>
    <author>Robert de Wit</author>
    <author>rdewit1</author>
    <author>Robert Dewit</author>
  </authors>
  <commentList>
    <comment ref="A11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Only Interest Income Reported here</t>
        </r>
      </text>
    </comment>
    <comment ref="A44" authorId="1" shapeId="0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Net of any Post Medical Accrual
</t>
        </r>
      </text>
    </comment>
    <comment ref="M45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VEBA, FAS adj plus I/C Accrual of $380K
</t>
        </r>
      </text>
    </comment>
    <comment ref="A46" authorId="1" shapeId="0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Net of any Post Medical Accrual
</t>
        </r>
      </text>
    </comment>
    <comment ref="K53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$30K Starbucks plus Outpost Patio Plan</t>
        </r>
      </text>
    </comment>
    <comment ref="M53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$27,221 Servers
($29,768) Net A/C
$5,000 Papa Johns
</t>
        </r>
      </text>
    </comment>
    <comment ref="D54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Campus Payoff for Athletics Loan
</t>
        </r>
      </text>
    </comment>
    <comment ref="A55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Dollar Cost average monthly funding
</t>
        </r>
      </text>
    </comment>
    <comment ref="M55" authorId="1" shapeId="0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Non Cash Adjustment of $991,618
$7,342,914 minus $8,334,532</t>
        </r>
      </text>
    </comment>
    <comment ref="A56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Includes Other Income as well as Interest Income</t>
        </r>
      </text>
    </comment>
    <comment ref="B56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A57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Cash out for loss</t>
        </r>
      </text>
    </comment>
    <comment ref="B57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A6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Net of Designated and Bond Reserve</t>
        </r>
      </text>
    </comment>
    <comment ref="B6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Per Bal Sheet Total Cash line as of 6/30/17
</t>
        </r>
      </text>
    </comment>
  </commentList>
</comments>
</file>

<file path=xl/comments18.xml><?xml version="1.0" encoding="utf-8"?>
<comments xmlns="http://schemas.openxmlformats.org/spreadsheetml/2006/main">
  <authors>
    <author>Robert de Wit</author>
    <author>rdewit1</author>
    <author>Robert Dewit</author>
  </authors>
  <commentList>
    <comment ref="A11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Only Interest Income Reported here</t>
        </r>
      </text>
    </comment>
    <comment ref="A44" authorId="1" shapeId="0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Net of any Post Medical Accrual
</t>
        </r>
      </text>
    </comment>
    <comment ref="M45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VEBA, FAS adj plus I/C Accrual of $380K
</t>
        </r>
      </text>
    </comment>
    <comment ref="A46" authorId="1" shapeId="0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Net of any Post Medical Accrual
</t>
        </r>
      </text>
    </comment>
    <comment ref="K53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$30K Starbucks plus Outpost Patio Plan</t>
        </r>
      </text>
    </comment>
    <comment ref="M53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$27,221 Servers
($29,768) Net A/C
$5,000 Papa Johns
</t>
        </r>
      </text>
    </comment>
    <comment ref="D54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Campus Payoff for Athletics Loan
</t>
        </r>
      </text>
    </comment>
    <comment ref="A55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Dollar Cost average monthly funding
</t>
        </r>
      </text>
    </comment>
    <comment ref="M55" authorId="1" shapeId="0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Non Cash Adjustment of $991,618
$7,342,914 minus $8,334,532</t>
        </r>
      </text>
    </comment>
    <comment ref="A56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Includes Other Income as well as Interest Income</t>
        </r>
      </text>
    </comment>
    <comment ref="B56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A57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Cash out for loss</t>
        </r>
      </text>
    </comment>
    <comment ref="B57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A6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Net of Designated and Bond Reserve</t>
        </r>
      </text>
    </comment>
    <comment ref="B6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Per Bal Sheet Total Cash line as of 6/30/17
</t>
        </r>
      </text>
    </comment>
  </commentList>
</comments>
</file>

<file path=xl/comments19.xml><?xml version="1.0" encoding="utf-8"?>
<comments xmlns="http://schemas.openxmlformats.org/spreadsheetml/2006/main">
  <authors>
    <author>Robert de Wit</author>
    <author>rdewit1</author>
    <author>Robert Dewit</author>
  </authors>
  <commentList>
    <comment ref="A11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Only Interest Income Reported here</t>
        </r>
      </text>
    </comment>
    <comment ref="A44" authorId="1" shapeId="0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Net of any Post Medical Accrual
</t>
        </r>
      </text>
    </comment>
    <comment ref="M45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VEBA, FAS adj plus I/C Accrual of $380K
</t>
        </r>
      </text>
    </comment>
    <comment ref="A46" authorId="1" shapeId="0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Net of any Post Medical Accrual
</t>
        </r>
      </text>
    </comment>
    <comment ref="K53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$30K Starbucks plus Outpost Patio Plan</t>
        </r>
      </text>
    </comment>
    <comment ref="M53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$27,221 Servers
($29,768) Net A/C
$5,000 Papa Johns
</t>
        </r>
      </text>
    </comment>
    <comment ref="D54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Campus Payoff for Athletics Loan
</t>
        </r>
      </text>
    </comment>
    <comment ref="A55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Dollar Cost average monthly funding
</t>
        </r>
      </text>
    </comment>
    <comment ref="M55" authorId="1" shapeId="0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Non Cash Adjustment of $991,618
$7,342,914 minus $8,334,532</t>
        </r>
      </text>
    </comment>
    <comment ref="A56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Includes Other Income as well as Interest Income</t>
        </r>
      </text>
    </comment>
    <comment ref="B56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A57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Cash out for loss</t>
        </r>
      </text>
    </comment>
    <comment ref="B57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A6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Net of Designated and Bond Reserve</t>
        </r>
      </text>
    </comment>
    <comment ref="B6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Per Bal Sheet Total Cash line as of 6/30/17
</t>
        </r>
      </text>
    </comment>
  </commentList>
</comments>
</file>

<file path=xl/comments20.xml><?xml version="1.0" encoding="utf-8"?>
<comments xmlns="http://schemas.openxmlformats.org/spreadsheetml/2006/main">
  <authors>
    <author>Robert de Wit</author>
    <author>rdewit1</author>
    <author>Robert Dewit</author>
  </authors>
  <commentList>
    <comment ref="A11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Only Interest Income Reported here</t>
        </r>
      </text>
    </comment>
    <comment ref="A44" authorId="1" shapeId="0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Net of any Post Medical Accrual
</t>
        </r>
      </text>
    </comment>
    <comment ref="M45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VEBA, FAS adj plus I/C Accrual of $380K
</t>
        </r>
      </text>
    </comment>
    <comment ref="A46" authorId="1" shapeId="0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Net of any Post Medical Accrual
</t>
        </r>
      </text>
    </comment>
    <comment ref="K53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$30K Starbucks plus Outpost Patio Plan</t>
        </r>
      </text>
    </comment>
    <comment ref="M53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$27,221 Servers
($29,768) Net A/C
$5,000 Papa Johns
</t>
        </r>
      </text>
    </comment>
    <comment ref="D54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Campus Payoff for Athletics Loan
</t>
        </r>
      </text>
    </comment>
    <comment ref="A55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Dollar Cost average monthly funding
</t>
        </r>
      </text>
    </comment>
    <comment ref="M55" authorId="1" shapeId="0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Non Cash Adjustment of $991,618
$7,342,914 minus $8,334,532</t>
        </r>
      </text>
    </comment>
    <comment ref="A56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Includes Other Income as well as Interest Income</t>
        </r>
      </text>
    </comment>
    <comment ref="B56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A57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Cash out for loss</t>
        </r>
      </text>
    </comment>
    <comment ref="B57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A6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Net of Designated and Bond Reserve</t>
        </r>
      </text>
    </comment>
    <comment ref="B6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Per Bal Sheet Total Cash line as of 6/30/17
</t>
        </r>
      </text>
    </comment>
  </commentList>
</comments>
</file>

<file path=xl/comments21.xml><?xml version="1.0" encoding="utf-8"?>
<comments xmlns="http://schemas.openxmlformats.org/spreadsheetml/2006/main">
  <authors>
    <author>Robert de Wit</author>
    <author>rdewit1</author>
    <author>Robert Dewit</author>
  </authors>
  <commentList>
    <comment ref="A11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Only Interest Income Reported here</t>
        </r>
      </text>
    </comment>
    <comment ref="A44" authorId="1" shapeId="0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Net of any Post Medical Accrual
</t>
        </r>
      </text>
    </comment>
    <comment ref="M45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VEBA, FAS adj plus I/C Accrual of $380K
</t>
        </r>
      </text>
    </comment>
    <comment ref="A46" authorId="1" shapeId="0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Net of any Post Medical Accrual
</t>
        </r>
      </text>
    </comment>
    <comment ref="K53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$30K Starbucks plus Outpost Patio Plan</t>
        </r>
      </text>
    </comment>
    <comment ref="M53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$27,221 Servers
($29,768) Net A/C
$5,000 Papa Johns
</t>
        </r>
      </text>
    </comment>
    <comment ref="D54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Campus Payoff for Athletics Loan
</t>
        </r>
      </text>
    </comment>
    <comment ref="A55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Dollar Cost average monthly funding
</t>
        </r>
      </text>
    </comment>
    <comment ref="M55" authorId="1" shapeId="0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Non Cash Adjustment of $991,618
$7,342,914 minus $8,334,532</t>
        </r>
      </text>
    </comment>
    <comment ref="A56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Includes Other Income as well as Interest Income</t>
        </r>
      </text>
    </comment>
    <comment ref="B56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A57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Cash out for loss</t>
        </r>
      </text>
    </comment>
    <comment ref="B57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A6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Net of Designated and Bond Reserve</t>
        </r>
      </text>
    </comment>
    <comment ref="B6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Per Bal Sheet Total Cash line as of 6/30/17
</t>
        </r>
      </text>
    </comment>
  </commentList>
</comments>
</file>

<file path=xl/comments22.xml><?xml version="1.0" encoding="utf-8"?>
<comments xmlns="http://schemas.openxmlformats.org/spreadsheetml/2006/main">
  <authors>
    <author>Robert de Wit</author>
    <author>rdewit1</author>
    <author>Robert Dewit</author>
  </authors>
  <commentList>
    <comment ref="A11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Only Interest Income Reported here</t>
        </r>
      </text>
    </comment>
    <comment ref="A44" authorId="1" shapeId="0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Net of any Post Medical Accrual
</t>
        </r>
      </text>
    </comment>
    <comment ref="M45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VEBA, FAS adj plus I/C Accrual of $380K
</t>
        </r>
      </text>
    </comment>
    <comment ref="A46" authorId="1" shapeId="0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Net of any Post Medical Accrual
</t>
        </r>
      </text>
    </comment>
    <comment ref="K53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$30K Starbucks plus Outpost Patio Plan</t>
        </r>
      </text>
    </comment>
    <comment ref="M53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$27,221 Servers
($29,768) Net A/C
$5,000 Papa Johns
</t>
        </r>
      </text>
    </comment>
    <comment ref="D54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Campus Payoff for Athletics Loan
</t>
        </r>
      </text>
    </comment>
    <comment ref="A55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Dollar Cost average monthly funding
</t>
        </r>
      </text>
    </comment>
    <comment ref="M55" authorId="1" shapeId="0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Non Cash Adjustment of $991,618
$7,342,914 minus $8,334,532</t>
        </r>
      </text>
    </comment>
    <comment ref="A56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Includes Other Income as well as Interest Income</t>
        </r>
      </text>
    </comment>
    <comment ref="B56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A57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Cash out for loss</t>
        </r>
      </text>
    </comment>
    <comment ref="B57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A6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Net of Designated and Bond Reserve</t>
        </r>
      </text>
    </comment>
    <comment ref="B6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Per Bal Sheet Total Cash line as of 6/30/17
</t>
        </r>
      </text>
    </comment>
  </commentList>
</comments>
</file>

<file path=xl/comments23.xml><?xml version="1.0" encoding="utf-8"?>
<comments xmlns="http://schemas.openxmlformats.org/spreadsheetml/2006/main">
  <authors>
    <author>Robert de Wit</author>
    <author>rdewit1</author>
    <author>Robert Dewit</author>
  </authors>
  <commentList>
    <comment ref="A11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Only Interest Income Reported here</t>
        </r>
      </text>
    </comment>
    <comment ref="A44" authorId="1" shapeId="0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Net of any Post Medical Accrual
</t>
        </r>
      </text>
    </comment>
    <comment ref="M45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VEBA, FAS adj plus I/C Accrual of $380K
</t>
        </r>
      </text>
    </comment>
    <comment ref="A46" authorId="1" shapeId="0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Net of any Post Medical Accrual
</t>
        </r>
      </text>
    </comment>
    <comment ref="K53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$30K Starbucks plus Outpost Patio Plan</t>
        </r>
      </text>
    </comment>
    <comment ref="M53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$27,221 Servers
($29,768) Net A/C
$5,000 Papa Johns
</t>
        </r>
      </text>
    </comment>
    <comment ref="D54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Campus Payoff for Athletics Loan
</t>
        </r>
      </text>
    </comment>
    <comment ref="A55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Dollar Cost average monthly funding
</t>
        </r>
      </text>
    </comment>
    <comment ref="M55" authorId="1" shapeId="0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Non Cash Adjustment of $991,618
$7,342,914 minus $8,334,532</t>
        </r>
      </text>
    </comment>
    <comment ref="A56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Includes Other Income as well as Interest Income</t>
        </r>
      </text>
    </comment>
    <comment ref="B56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A57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Cash out for loss</t>
        </r>
      </text>
    </comment>
    <comment ref="B57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A6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Net of Designated and Bond Reserve</t>
        </r>
      </text>
    </comment>
    <comment ref="B6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Per Bal Sheet Total Cash line as of 6/30/17
</t>
        </r>
      </text>
    </comment>
  </commentList>
</comments>
</file>

<file path=xl/comments24.xml><?xml version="1.0" encoding="utf-8"?>
<comments xmlns="http://schemas.openxmlformats.org/spreadsheetml/2006/main">
  <authors>
    <author>Robert de Wit</author>
    <author>rdewit1</author>
    <author>Robert Dewit</author>
  </authors>
  <commentList>
    <comment ref="A11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Only Interest Income Reported here</t>
        </r>
      </text>
    </comment>
    <comment ref="A44" authorId="1" shapeId="0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Net of any Post Medical Accrual
</t>
        </r>
      </text>
    </comment>
    <comment ref="M45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VEBA, FAS adj plus I/C Accrual of $380K
</t>
        </r>
      </text>
    </comment>
    <comment ref="A46" authorId="1" shapeId="0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Net of any Post Medical Accrual
</t>
        </r>
      </text>
    </comment>
    <comment ref="I53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$46,900 Libr Starbuck
$8274 Wiring Blair
$3499 UDP Str wiring
$9766 IMAC</t>
        </r>
      </text>
    </comment>
    <comment ref="K53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$30K Starbucks plus Outpost Patio Plan</t>
        </r>
      </text>
    </comment>
    <comment ref="M53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$27,221 Servers
($29,768) Net A/C
$5,000 Papa Johns
</t>
        </r>
      </text>
    </comment>
    <comment ref="D54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Campus Payoff for Athletics Loan
</t>
        </r>
      </text>
    </comment>
    <comment ref="A55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Dollar Cost average monthly funding
</t>
        </r>
      </text>
    </comment>
    <comment ref="M55" authorId="1" shapeId="0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Non Cash Adjustment of $991,618
$7,342,914 minus $8,334,532</t>
        </r>
      </text>
    </comment>
    <comment ref="A56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Includes Other Income as well as Interest Income</t>
        </r>
      </text>
    </comment>
    <comment ref="B56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A57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Cash out for loss</t>
        </r>
      </text>
    </comment>
    <comment ref="B57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A6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Net of Designated and Bond Reserve</t>
        </r>
      </text>
    </comment>
    <comment ref="B6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Per Bal Sheet Total Cash line as of 6/30/17
</t>
        </r>
      </text>
    </comment>
  </commentList>
</comments>
</file>

<file path=xl/comments25.xml><?xml version="1.0" encoding="utf-8"?>
<comments xmlns="http://schemas.openxmlformats.org/spreadsheetml/2006/main">
  <authors>
    <author>Robert de Wit</author>
    <author>rdewit1</author>
    <author>Robert Dewit</author>
  </authors>
  <commentList>
    <comment ref="A11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Only Interest Income Reported here</t>
        </r>
      </text>
    </comment>
    <comment ref="A44" authorId="1" shapeId="0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Net of any Post Medical Accrual
</t>
        </r>
      </text>
    </comment>
    <comment ref="M45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VEBA, FAS adj plus I/C Accrual of $380K
</t>
        </r>
      </text>
    </comment>
    <comment ref="A46" authorId="1" shapeId="0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Net of any Post Medical Accrual
</t>
        </r>
      </text>
    </comment>
    <comment ref="I53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$46,900 Libr Starbuck
$8274 Wiring Blair
$3499 UDP Str wiring
$9766 IMAC</t>
        </r>
      </text>
    </comment>
    <comment ref="K53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$30K Starbucks plus Outpost Patio Plan</t>
        </r>
      </text>
    </comment>
    <comment ref="M53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$27,221 Servers
($29,768) Net A/C
$5,000 Papa Johns
</t>
        </r>
      </text>
    </comment>
    <comment ref="D54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Campus Payoff for Athletics Loan
</t>
        </r>
      </text>
    </comment>
    <comment ref="A55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Dollar Cost average monthly funding
</t>
        </r>
      </text>
    </comment>
    <comment ref="J55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PERS Non-Cash reversal
Expense reported in G&amp;A</t>
        </r>
      </text>
    </comment>
    <comment ref="M55" authorId="1" shapeId="0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Non Cash Adjustment of $991,618
$7,342,914 minus $8,334,532</t>
        </r>
      </text>
    </comment>
    <comment ref="A56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Includes Other Income as well as Interest Income</t>
        </r>
      </text>
    </comment>
    <comment ref="B56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A57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Cash out for loss</t>
        </r>
      </text>
    </comment>
    <comment ref="B57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A6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Net of Designated and Bond Reserve</t>
        </r>
      </text>
    </comment>
    <comment ref="B6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Per Bal Sheet Total Cash line as of 6/30/17
</t>
        </r>
      </text>
    </comment>
  </commentList>
</comments>
</file>

<file path=xl/comments26.xml><?xml version="1.0" encoding="utf-8"?>
<comments xmlns="http://schemas.openxmlformats.org/spreadsheetml/2006/main">
  <authors>
    <author>Robert de Wit</author>
    <author>rdewit1</author>
    <author>Robert Dewit</author>
  </authors>
  <commentList>
    <comment ref="A11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Only Interest Income Reported here</t>
        </r>
      </text>
    </comment>
    <comment ref="A44" authorId="1" shapeId="0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Net of any Post Medical Accrual
</t>
        </r>
      </text>
    </comment>
    <comment ref="M45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VEBA, FAS adj plus I/C Accrual of $380K
</t>
        </r>
      </text>
    </comment>
    <comment ref="A46" authorId="1" shapeId="0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Net of any Post Medical Accrual
</t>
        </r>
      </text>
    </comment>
    <comment ref="I53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$46,900 Libr Starbuck
$8274 Wiring Blair
$3499 UDP Str wiring
$9766 IMAC</t>
        </r>
      </text>
    </comment>
    <comment ref="K53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Art Store Cabling
</t>
        </r>
      </text>
    </comment>
    <comment ref="M53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$27,221 Servers
($29,768) Net A/C
$5,000 Papa Johns
</t>
        </r>
      </text>
    </comment>
    <comment ref="D54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Campus Payoff for Athletics Loan
</t>
        </r>
      </text>
    </comment>
    <comment ref="A55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Dollar Cost average monthly funding
</t>
        </r>
      </text>
    </comment>
    <comment ref="J55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PERS Non-Cash reversal
Expense reported in G&amp;A</t>
        </r>
      </text>
    </comment>
    <comment ref="M55" authorId="1" shapeId="0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Non Cash Adjustment of $991,618
$7,342,914 minus $8,334,532</t>
        </r>
      </text>
    </comment>
    <comment ref="A56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Includes Other Income as well as Interest Income</t>
        </r>
      </text>
    </comment>
    <comment ref="B56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A57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Cash out for loss</t>
        </r>
      </text>
    </comment>
    <comment ref="B57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A6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Net of Designated and Bond Reserve</t>
        </r>
      </text>
    </comment>
    <comment ref="B6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Per Bal Sheet Total Cash line as of 6/30/17
</t>
        </r>
      </text>
    </comment>
  </commentList>
</comments>
</file>

<file path=xl/comments27.xml><?xml version="1.0" encoding="utf-8"?>
<comments xmlns="http://schemas.openxmlformats.org/spreadsheetml/2006/main">
  <authors>
    <author>Robert de Wit</author>
    <author>rdewit1</author>
    <author>Robert Dewit</author>
  </authors>
  <commentList>
    <comment ref="A11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Only Interest Income Reported here</t>
        </r>
      </text>
    </comment>
    <comment ref="A44" authorId="1" shapeId="0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Net of any Post Medical Accrual
</t>
        </r>
      </text>
    </comment>
    <comment ref="M45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VEBA, FAS adj plus I/C Accrual of $380K
</t>
        </r>
      </text>
    </comment>
    <comment ref="A46" authorId="1" shapeId="0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Net of any Post Medical Accrual
</t>
        </r>
      </text>
    </comment>
    <comment ref="I53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$46,900 Libr Starbuck
$8274 Wiring Blair
$3499 UDP Str wiring
$9766 IMAC</t>
        </r>
      </text>
    </comment>
    <comment ref="K53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Art Store Cabling
</t>
        </r>
      </text>
    </comment>
    <comment ref="L53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Starbucks Library
</t>
        </r>
      </text>
    </comment>
    <comment ref="M53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$27,221 Servers
($29,768) Net A/C
$5,000 Papa Johns
</t>
        </r>
      </text>
    </comment>
    <comment ref="D54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Campus Payoff for Athletics Loan
</t>
        </r>
      </text>
    </comment>
    <comment ref="A55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Dollar Cost average monthly funding
</t>
        </r>
      </text>
    </comment>
    <comment ref="J55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PERS Non-Cash reversal
Expense reported in G&amp;A</t>
        </r>
      </text>
    </comment>
    <comment ref="M55" authorId="1" shapeId="0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Non Cash Adjustment of $991,618
$7,342,914 minus $8,334,532</t>
        </r>
      </text>
    </comment>
    <comment ref="A56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Includes Other Income as well as Interest Income</t>
        </r>
      </text>
    </comment>
    <comment ref="B56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A57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Cash out for loss</t>
        </r>
      </text>
    </comment>
    <comment ref="B57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L57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Actual instead of May Accrual
</t>
        </r>
      </text>
    </comment>
    <comment ref="A6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Net of Designated and Bond Reserve</t>
        </r>
      </text>
    </comment>
    <comment ref="B6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Per Bal Sheet Total Cash line as of 6/30/17
</t>
        </r>
      </text>
    </comment>
  </commentList>
</comments>
</file>

<file path=xl/comments28.xml><?xml version="1.0" encoding="utf-8"?>
<comments xmlns="http://schemas.openxmlformats.org/spreadsheetml/2006/main">
  <authors>
    <author>Robert de Wit</author>
    <author>rdewit1</author>
    <author>Robert Dewit</author>
  </authors>
  <commentList>
    <comment ref="A11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Only Interest Income Reported here</t>
        </r>
      </text>
    </comment>
    <comment ref="A44" authorId="1" shapeId="0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Net of any Post Medical Accrual
</t>
        </r>
      </text>
    </comment>
    <comment ref="M45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$467,483 VEBA, FAS adj plus I/C Accrual of $380K
</t>
        </r>
      </text>
    </comment>
    <comment ref="P45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$467,483 VEBA, FAS adj plus I/C Accrual of $380K
</t>
        </r>
      </text>
    </comment>
    <comment ref="A46" authorId="1" shapeId="0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Net of any Post Medical Accrual
</t>
        </r>
      </text>
    </comment>
    <comment ref="I53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$46,900 Libr Starbuck
$8274 Wiring Blair
$3499 UDP Str wiring
$9766 IMAC</t>
        </r>
      </text>
    </comment>
    <comment ref="K53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Art Store Cabling
</t>
        </r>
      </text>
    </comment>
    <comment ref="L53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Starbucks Library
</t>
        </r>
      </text>
    </comment>
    <comment ref="M53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$5,671 Network Wiring and A/C credit of $64,849 from Campus
</t>
        </r>
      </text>
    </comment>
    <comment ref="D54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Campus Payoff for Athletics Loan
</t>
        </r>
      </text>
    </comment>
    <comment ref="A55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Dollar Cost average monthly funding
</t>
        </r>
      </text>
    </comment>
    <comment ref="J55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PERS Non-Cash reversal
Expense reported in G&amp;A</t>
        </r>
      </text>
    </comment>
    <comment ref="M55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$467,483 VEBA, FAS adj plus I/C Accrual of $380K
</t>
        </r>
      </text>
    </comment>
    <comment ref="A56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Includes Other Income as well as Interest Income</t>
        </r>
      </text>
    </comment>
    <comment ref="B56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A57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Cash out for loss</t>
        </r>
      </text>
    </comment>
    <comment ref="B57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L57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Actual instead of May Accrual
</t>
        </r>
      </text>
    </comment>
    <comment ref="A6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Net of Designated and Bond Reserve</t>
        </r>
      </text>
    </comment>
    <comment ref="B6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Per Bal Sheet Total Cash line as of 6/30/17
</t>
        </r>
      </text>
    </comment>
  </commentList>
</comments>
</file>

<file path=xl/comments29.xml><?xml version="1.0" encoding="utf-8"?>
<comments xmlns="http://schemas.openxmlformats.org/spreadsheetml/2006/main">
  <authors>
    <author>Robert de Wit</author>
    <author>rdewit1</author>
    <author>Robert Dewit</author>
  </authors>
  <commentList>
    <comment ref="A11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Only Interest Income Reported here</t>
        </r>
      </text>
    </comment>
    <comment ref="A44" authorId="1" shapeId="0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Net of any Post Medical Accrual
</t>
        </r>
      </text>
    </comment>
    <comment ref="M45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$467,483 VEBA, FAS adj plus I/C Accrual of $380K
</t>
        </r>
      </text>
    </comment>
    <comment ref="A46" authorId="1" shapeId="0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Net of any Post Medical Accrual
</t>
        </r>
      </text>
    </comment>
    <comment ref="I53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$46,900 Libr Starbuck
$8274 Wiring Blair
$3499 UDP Str wiring
$9766 IMAC</t>
        </r>
      </text>
    </comment>
    <comment ref="K53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Art Store Cabling
</t>
        </r>
      </text>
    </comment>
    <comment ref="L53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Starbucks Library
</t>
        </r>
      </text>
    </comment>
    <comment ref="M53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$5,671 Network Wiring and A/C credit of $64,849 from Campus
</t>
        </r>
      </text>
    </comment>
    <comment ref="D54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Campus Payoff for Athletics Loan
</t>
        </r>
      </text>
    </comment>
    <comment ref="A55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Dollar Cost average monthly funding
</t>
        </r>
      </text>
    </comment>
    <comment ref="J55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PERS Non-Cash reversal
Expense reported in G&amp;A</t>
        </r>
      </text>
    </comment>
    <comment ref="M55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$467,483 VEBA, FAS adj plus I/C Accrual of $380K
</t>
        </r>
      </text>
    </comment>
    <comment ref="A56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Includes Other Income as well as Interest Income</t>
        </r>
      </text>
    </comment>
    <comment ref="B56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A57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Cash out for loss</t>
        </r>
      </text>
    </comment>
    <comment ref="B57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L57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Actual instead of May Accrual
</t>
        </r>
      </text>
    </comment>
    <comment ref="A6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Net of Designated and Bond Reserve</t>
        </r>
      </text>
    </comment>
    <comment ref="B6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Per Bal Sheet Total Cash line as of 6/30/17
</t>
        </r>
      </text>
    </comment>
  </commentList>
</comments>
</file>

<file path=xl/comments30.xml><?xml version="1.0" encoding="utf-8"?>
<comments xmlns="http://schemas.openxmlformats.org/spreadsheetml/2006/main">
  <authors>
    <author>Robert de Wit</author>
    <author>rdewit1</author>
    <author>Robert Dewit</author>
  </authors>
  <commentList>
    <comment ref="A11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Only Interest Income Reported here</t>
        </r>
      </text>
    </comment>
    <comment ref="A44" authorId="1" shapeId="0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Net of any Post Medical Accrual
</t>
        </r>
      </text>
    </comment>
    <comment ref="M45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$467,483 VEBA, FAS adj plus I/C Accrual of $380K
</t>
        </r>
      </text>
    </comment>
    <comment ref="A46" authorId="1" shapeId="0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Net of any Post Medical Accrual
</t>
        </r>
      </text>
    </comment>
    <comment ref="I53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$46,900 Libr Starbuck
$8274 Wiring Blair
$3499 UDP Str wiring
$9766 IMAC</t>
        </r>
      </text>
    </comment>
    <comment ref="K53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Art Store Cabling
</t>
        </r>
      </text>
    </comment>
    <comment ref="L53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Starbucks Library
</t>
        </r>
      </text>
    </comment>
    <comment ref="M53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$5,671 Network Wiring and A/C credit of $64,849 from Campus
</t>
        </r>
      </text>
    </comment>
    <comment ref="D54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Campus Payoff for Athletics Loan
</t>
        </r>
      </text>
    </comment>
    <comment ref="A55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Dollar Cost average monthly funding
</t>
        </r>
      </text>
    </comment>
    <comment ref="J55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PERS Non-Cash reversal
Expense reported in G&amp;A</t>
        </r>
      </text>
    </comment>
    <comment ref="M55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$467,483 VEBA, FAS adj plus I/C Accrual of $380K
</t>
        </r>
      </text>
    </comment>
    <comment ref="A56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Includes Other Income as well as Interest Income</t>
        </r>
      </text>
    </comment>
    <comment ref="B56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C56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D56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E56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F56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G56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H56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I56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J56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K56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L56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M56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A57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Cash out for loss</t>
        </r>
      </text>
    </comment>
    <comment ref="B57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C57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D57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E57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F57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G57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H57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I57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J57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K57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L57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M57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A6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Net of Designated and Bond Reserve</t>
        </r>
      </text>
    </comment>
    <comment ref="B6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Per Bal Sheet Total Cash line as of 6/30/17
</t>
        </r>
      </text>
    </comment>
  </commentList>
</comments>
</file>

<file path=xl/comments31.xml><?xml version="1.0" encoding="utf-8"?>
<comments xmlns="http://schemas.openxmlformats.org/spreadsheetml/2006/main">
  <authors>
    <author>Robert de Wit</author>
    <author>rdewit1</author>
    <author>Robert Dewit</author>
  </authors>
  <commentList>
    <comment ref="A11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Only Interest Income Reported here</t>
        </r>
      </text>
    </comment>
    <comment ref="A44" authorId="1" shapeId="0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Net of any Post Medical Accrual
</t>
        </r>
      </text>
    </comment>
    <comment ref="M45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$467,483 VEBA, FAS adj plus I/C Accrual of $380K
</t>
        </r>
      </text>
    </comment>
    <comment ref="A46" authorId="1" shapeId="0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Net of any Post Medical Accrual
</t>
        </r>
      </text>
    </comment>
    <comment ref="I53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$46,900 Libr Starbuck
$8274 Wiring Blair
$3499 UDP Str wiring
$9766 IMAC</t>
        </r>
      </text>
    </comment>
    <comment ref="K53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Art Store Cabling
</t>
        </r>
      </text>
    </comment>
    <comment ref="L53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Starbucks Library
</t>
        </r>
      </text>
    </comment>
    <comment ref="M53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$5,671 Network Wiring and A/C credit of $64,849 from Campus
</t>
        </r>
      </text>
    </comment>
    <comment ref="D54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Campus Payoff for Athletics Loan
</t>
        </r>
      </text>
    </comment>
    <comment ref="A55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Dollar Cost average monthly funding
</t>
        </r>
      </text>
    </comment>
    <comment ref="J55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PERS Non-Cash reversal
Expense reported in G&amp;A</t>
        </r>
      </text>
    </comment>
    <comment ref="M55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$467,483 VEBA, FAS adj plus I/C Accrual of $380K
</t>
        </r>
      </text>
    </comment>
    <comment ref="A56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Includes Other Income as well as Interest Income</t>
        </r>
      </text>
    </comment>
    <comment ref="B56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C56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D56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E56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F56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G56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H56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I56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J56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K56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L56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M56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A57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Cash out for loss</t>
        </r>
      </text>
    </comment>
    <comment ref="B57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C57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D57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E57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F57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G57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H57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I57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J57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K57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L57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M57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A6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Net of Designated and Bond Reserve</t>
        </r>
      </text>
    </comment>
    <comment ref="B6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Per Bal Sheet Total Cash line as of 6/30/17
</t>
        </r>
      </text>
    </comment>
  </commentList>
</comments>
</file>

<file path=xl/comments32.xml><?xml version="1.0" encoding="utf-8"?>
<comments xmlns="http://schemas.openxmlformats.org/spreadsheetml/2006/main">
  <authors>
    <author>Robert de Wit</author>
    <author>rdewit1</author>
    <author>Robert Dewit</author>
  </authors>
  <commentList>
    <comment ref="A11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Only Interest Income Reported here</t>
        </r>
      </text>
    </comment>
    <comment ref="A44" authorId="1" shapeId="0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Net of any Post Medical Accrual
</t>
        </r>
      </text>
    </comment>
    <comment ref="M45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$467,483 VEBA, FAS adj plus I/C Accrual of $380K
</t>
        </r>
      </text>
    </comment>
    <comment ref="A46" authorId="1" shapeId="0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Net of any Post Medical Accrual
</t>
        </r>
      </text>
    </comment>
    <comment ref="A55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Dollar Cost average monthly funding
</t>
        </r>
      </text>
    </comment>
    <comment ref="J55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PERS Non-Cash reversal
Expense reported in G&amp;A</t>
        </r>
      </text>
    </comment>
    <comment ref="M55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$467,483 VEBA, FAS adj plus I/C Accrual of $380K
</t>
        </r>
      </text>
    </comment>
    <comment ref="A56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Includes Other Income as well as Interest Income</t>
        </r>
      </text>
    </comment>
    <comment ref="B56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A57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Cash out for loss</t>
        </r>
      </text>
    </comment>
    <comment ref="B57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A6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Net of Designated and Bond Reserve</t>
        </r>
      </text>
    </comment>
    <comment ref="B6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Per Bal Sheet Total Cash line as of 6/30/17
</t>
        </r>
      </text>
    </comment>
  </commentList>
</comments>
</file>

<file path=xl/comments33.xml><?xml version="1.0" encoding="utf-8"?>
<comments xmlns="http://schemas.openxmlformats.org/spreadsheetml/2006/main">
  <authors>
    <author>Robert de Wit</author>
    <author>rdewit1</author>
    <author>Robert Dewit</author>
  </authors>
  <commentList>
    <comment ref="A11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Only Interest Income Reported here</t>
        </r>
      </text>
    </comment>
    <comment ref="A44" authorId="1" shapeId="0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Net of any Post Medical Accrual
</t>
        </r>
      </text>
    </comment>
    <comment ref="M45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$467,483 VEBA, FAS adj plus I/C Accrual of $380K
</t>
        </r>
      </text>
    </comment>
    <comment ref="A46" authorId="1" shapeId="0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Net of any Post Medical Accrual
</t>
        </r>
      </text>
    </comment>
    <comment ref="A55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Dollar Cost average monthly funding
</t>
        </r>
      </text>
    </comment>
    <comment ref="J55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PERS Non-Cash reversal
Expense reported in G&amp;A</t>
        </r>
      </text>
    </comment>
    <comment ref="M55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$467,483 VEBA, FAS adj plus I/C Accrual of $380K
</t>
        </r>
      </text>
    </comment>
    <comment ref="A56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Includes Other Income as well as Interest Income</t>
        </r>
      </text>
    </comment>
    <comment ref="B56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A57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Cash out for loss</t>
        </r>
      </text>
    </comment>
    <comment ref="B57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A6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Net of Designated and Bond Reserve</t>
        </r>
      </text>
    </comment>
    <comment ref="B6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Per Bal Sheet Total Cash line as of 6/30/17
</t>
        </r>
      </text>
    </comment>
  </commentList>
</comments>
</file>

<file path=xl/comments34.xml><?xml version="1.0" encoding="utf-8"?>
<comments xmlns="http://schemas.openxmlformats.org/spreadsheetml/2006/main">
  <authors>
    <author>Robert de Wit</author>
    <author>rdewit1</author>
    <author>Robert Dewit</author>
  </authors>
  <commentList>
    <comment ref="A11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Only Interest Income Reported here</t>
        </r>
      </text>
    </comment>
    <comment ref="A44" authorId="1" shapeId="0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Net of any Post Medical Accrual
</t>
        </r>
      </text>
    </comment>
    <comment ref="M45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$467,483 VEBA, FAS adj plus I/C Accrual of $380K
</t>
        </r>
      </text>
    </comment>
    <comment ref="A46" authorId="1" shapeId="0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Net of any Post Medical Accrual
</t>
        </r>
      </text>
    </comment>
    <comment ref="A55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Dollar Cost average monthly funding
</t>
        </r>
      </text>
    </comment>
    <comment ref="J55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PERS Non-Cash reversal
Expense reported in G&amp;A</t>
        </r>
      </text>
    </comment>
    <comment ref="M55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$467,483 VEBA, FAS adj plus I/C Accrual of $380K
</t>
        </r>
      </text>
    </comment>
    <comment ref="A56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Includes Other Income as well as Interest Income</t>
        </r>
      </text>
    </comment>
    <comment ref="B56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A57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Cash out for loss</t>
        </r>
      </text>
    </comment>
    <comment ref="B57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A6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Net of Designated and Bond Reserve</t>
        </r>
      </text>
    </comment>
    <comment ref="B6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Per Bal Sheet Total Cash line as of 6/30/17
</t>
        </r>
      </text>
    </comment>
  </commentList>
</comments>
</file>

<file path=xl/comments35.xml><?xml version="1.0" encoding="utf-8"?>
<comments xmlns="http://schemas.openxmlformats.org/spreadsheetml/2006/main">
  <authors>
    <author>Robert de Wit</author>
    <author>rdewit1</author>
    <author>Robert Dewit</author>
  </authors>
  <commentList>
    <comment ref="A11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Only Interest Income Reported here</t>
        </r>
      </text>
    </comment>
    <comment ref="A44" authorId="1" shapeId="0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Net of any Post Medical Accrual
</t>
        </r>
      </text>
    </comment>
    <comment ref="M45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$467,483 VEBA, FAS adj plus I/C Accrual of $380K
</t>
        </r>
      </text>
    </comment>
    <comment ref="A46" authorId="1" shapeId="0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Net of any Post Medical Accrual
</t>
        </r>
      </text>
    </comment>
    <comment ref="A55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Dollar Cost average monthly funding
</t>
        </r>
      </text>
    </comment>
    <comment ref="J55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PERS Non-Cash reversal
Expense reported in G&amp;A</t>
        </r>
      </text>
    </comment>
    <comment ref="M55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$467,483 VEBA, FAS adj plus I/C Accrual of $380K
</t>
        </r>
      </text>
    </comment>
    <comment ref="A56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Includes Other Income as well as Interest Income</t>
        </r>
      </text>
    </comment>
    <comment ref="B56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A57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Cash out for loss</t>
        </r>
      </text>
    </comment>
    <comment ref="B57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A6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Net of Designated and Bond Reserve</t>
        </r>
      </text>
    </comment>
    <comment ref="B6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Per Bal Sheet Total Cash line as of 6/30/17
</t>
        </r>
      </text>
    </comment>
  </commentList>
</comments>
</file>

<file path=xl/comments36.xml><?xml version="1.0" encoding="utf-8"?>
<comments xmlns="http://schemas.openxmlformats.org/spreadsheetml/2006/main">
  <authors>
    <author>Robert de Wit</author>
    <author>rdewit1</author>
    <author>Robert Dewit</author>
  </authors>
  <commentList>
    <comment ref="A11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Only Interest Income Reported here</t>
        </r>
      </text>
    </comment>
    <comment ref="A44" authorId="1" shapeId="0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Net of any Post Medical Accrual
</t>
        </r>
      </text>
    </comment>
    <comment ref="M45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$467,483 VEBA, FAS adj plus I/C Accrual of $380K
</t>
        </r>
      </text>
    </comment>
    <comment ref="A46" authorId="1" shapeId="0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Net of any Post Medical Accrual
</t>
        </r>
      </text>
    </comment>
    <comment ref="A55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Dollar Cost average monthly funding
</t>
        </r>
      </text>
    </comment>
    <comment ref="J55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PERS Non-Cash reversal
Expense reported in G&amp;A</t>
        </r>
      </text>
    </comment>
    <comment ref="M55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$467,483 VEBA, FAS adj plus I/C Accrual of $380K
</t>
        </r>
      </text>
    </comment>
    <comment ref="A56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Includes Other Income as well as Interest Income</t>
        </r>
      </text>
    </comment>
    <comment ref="B56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A57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Cash out for loss</t>
        </r>
      </text>
    </comment>
    <comment ref="B57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A6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Net of Designated and Bond Reserve</t>
        </r>
      </text>
    </comment>
    <comment ref="B6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Per Bal Sheet Total Cash line as of 6/30/17
</t>
        </r>
      </text>
    </comment>
  </commentList>
</comments>
</file>

<file path=xl/comments37.xml><?xml version="1.0" encoding="utf-8"?>
<comments xmlns="http://schemas.openxmlformats.org/spreadsheetml/2006/main">
  <authors>
    <author>Robert de Wit</author>
    <author>rdewit1</author>
    <author>Robert Dewit</author>
  </authors>
  <commentList>
    <comment ref="A11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Only Interest Income Reported here</t>
        </r>
      </text>
    </comment>
    <comment ref="A44" authorId="1" shapeId="0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Net of any Post Medical Accrual
</t>
        </r>
      </text>
    </comment>
    <comment ref="M45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$467,483 VEBA, FAS adj plus I/C Accrual of $380K
</t>
        </r>
      </text>
    </comment>
    <comment ref="A46" authorId="1" shapeId="0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Net of any Post Medical Accrual
</t>
        </r>
      </text>
    </comment>
    <comment ref="A55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Dollar Cost average monthly funding
</t>
        </r>
      </text>
    </comment>
    <comment ref="J55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PERS Non-Cash reversal
Expense reported in G&amp;A</t>
        </r>
      </text>
    </comment>
    <comment ref="M55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$467,483 VEBA, FAS adj plus I/C Accrual of $380K
</t>
        </r>
      </text>
    </comment>
    <comment ref="A56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Includes Other Income as well as Interest Income</t>
        </r>
      </text>
    </comment>
    <comment ref="B56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A57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Cash out for loss</t>
        </r>
      </text>
    </comment>
    <comment ref="B57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A6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Net of Designated and Bond Reserve</t>
        </r>
      </text>
    </comment>
    <comment ref="B6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Per Bal Sheet Total Cash line as of 6/30/17
</t>
        </r>
      </text>
    </comment>
  </commentList>
</comments>
</file>

<file path=xl/comments38.xml><?xml version="1.0" encoding="utf-8"?>
<comments xmlns="http://schemas.openxmlformats.org/spreadsheetml/2006/main">
  <authors>
    <author>Robert de Wit</author>
    <author>rdewit1</author>
    <author>Robert Dewit</author>
  </authors>
  <commentList>
    <comment ref="A11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Only Interest Income Reported here</t>
        </r>
      </text>
    </comment>
    <comment ref="A44" authorId="1" shapeId="0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Net of any Post Medical Accrual
</t>
        </r>
      </text>
    </comment>
    <comment ref="M45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$467,483 VEBA, FAS adj plus I/C Accrual of $380K
</t>
        </r>
      </text>
    </comment>
    <comment ref="A46" authorId="1" shapeId="0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Net of any Post Medical Accrual
</t>
        </r>
      </text>
    </comment>
    <comment ref="J53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Starbucks UDP &amp; $6K trash containers</t>
        </r>
      </text>
    </comment>
    <comment ref="A55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Dollar Cost average monthly funding
</t>
        </r>
      </text>
    </comment>
    <comment ref="J55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PERS Non-Cash reversal
Expense reported in G&amp;A</t>
        </r>
      </text>
    </comment>
    <comment ref="M55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$467,483 VEBA, FAS adj plus I/C Accrual of $380K
</t>
        </r>
      </text>
    </comment>
    <comment ref="A56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Includes Other Income as well as Interest Income</t>
        </r>
      </text>
    </comment>
    <comment ref="B56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A57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Cash out for loss</t>
        </r>
      </text>
    </comment>
    <comment ref="B57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A6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Net of Designated and Bond Reserve</t>
        </r>
      </text>
    </comment>
    <comment ref="B6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Per Bal Sheet Total Cash line as of 6/30/17
</t>
        </r>
      </text>
    </comment>
  </commentList>
</comments>
</file>

<file path=xl/comments39.xml><?xml version="1.0" encoding="utf-8"?>
<comments xmlns="http://schemas.openxmlformats.org/spreadsheetml/2006/main">
  <authors>
    <author>Robert de Wit</author>
    <author>rdewit1</author>
    <author>Robert Dewit</author>
  </authors>
  <commentList>
    <comment ref="A11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Only Interest Income Reported here</t>
        </r>
      </text>
    </comment>
    <comment ref="A44" authorId="1" shapeId="0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Net of any Post Medical Accrual
</t>
        </r>
      </text>
    </comment>
    <comment ref="M45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$467,483 VEBA, FAS adj plus I/C Accrual of $380K
</t>
        </r>
      </text>
    </comment>
    <comment ref="A46" authorId="1" shapeId="0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Net of any Post Medical Accrual
</t>
        </r>
      </text>
    </comment>
    <comment ref="J53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Starbucks UDP &amp; $6K trash containers</t>
        </r>
      </text>
    </comment>
    <comment ref="A55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Dollar Cost average monthly funding
</t>
        </r>
      </text>
    </comment>
    <comment ref="J55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PERS Non-Cash reversal
Expense reported in G&amp;A</t>
        </r>
      </text>
    </comment>
    <comment ref="M55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$467,483 VEBA, FAS adj plus I/C Accrual of $380K
</t>
        </r>
      </text>
    </comment>
    <comment ref="A56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Includes Other Income as well as Interest Income</t>
        </r>
      </text>
    </comment>
    <comment ref="B56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A57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Cash out for loss</t>
        </r>
      </text>
    </comment>
    <comment ref="B57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A6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Net of Designated and Bond Reserve</t>
        </r>
      </text>
    </comment>
    <comment ref="B6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Per Bal Sheet Total Cash line as of 6/30/17
</t>
        </r>
      </text>
    </comment>
  </commentList>
</comments>
</file>

<file path=xl/comments40.xml><?xml version="1.0" encoding="utf-8"?>
<comments xmlns="http://schemas.openxmlformats.org/spreadsheetml/2006/main">
  <authors>
    <author>Robert de Wit</author>
    <author>rdewit1</author>
    <author>Robert Dewit</author>
  </authors>
  <commentList>
    <comment ref="A11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Only Interest Income Reported here</t>
        </r>
      </text>
    </comment>
    <comment ref="A44" authorId="1" shapeId="0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Net of any Post Medical Accrual
</t>
        </r>
      </text>
    </comment>
    <comment ref="M45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$467,483 VEBA, FAS adj plus I/C Accrual of $380K
</t>
        </r>
      </text>
    </comment>
    <comment ref="A46" authorId="1" shapeId="0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Net of any Post Medical Accrual
</t>
        </r>
      </text>
    </comment>
    <comment ref="J53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Starbucks UDP &amp; $6K trash containers</t>
        </r>
      </text>
    </comment>
    <comment ref="A55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Dollar Cost average monthly funding
</t>
        </r>
      </text>
    </comment>
    <comment ref="B55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55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PERS Non-Cash reversal
Expense reported in G&amp;A</t>
        </r>
      </text>
    </comment>
    <comment ref="M55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$467,483 VEBA, FAS adj plus I/C Accrual of $380K
</t>
        </r>
      </text>
    </comment>
    <comment ref="A56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Includes Other Income as well as Interest Income</t>
        </r>
      </text>
    </comment>
    <comment ref="B56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A57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Cash out for loss</t>
        </r>
      </text>
    </comment>
    <comment ref="B57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A6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Net of Designated and Bond Reserve</t>
        </r>
      </text>
    </comment>
    <comment ref="B6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Per Bal Sheet Total Cash line as of 6/30/19
</t>
        </r>
      </text>
    </comment>
  </commentList>
</comments>
</file>

<file path=xl/comments41.xml><?xml version="1.0" encoding="utf-8"?>
<comments xmlns="http://schemas.openxmlformats.org/spreadsheetml/2006/main">
  <authors>
    <author>Robert de Wit</author>
    <author>rdewit1</author>
    <author>Robert Dewit</author>
  </authors>
  <commentList>
    <comment ref="A11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Only Interest Income Reported here</t>
        </r>
      </text>
    </comment>
    <comment ref="A44" authorId="1" shapeId="0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Net of any Post Medical Accrual
</t>
        </r>
      </text>
    </comment>
    <comment ref="M45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$467,483 VEBA, FAS adj plus I/C Accrual of $380K
</t>
        </r>
      </text>
    </comment>
    <comment ref="A46" authorId="1" shapeId="0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Net of any Post Medical Accrual
</t>
        </r>
      </text>
    </comment>
    <comment ref="J53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Starbucks UDP &amp; $6K trash containers</t>
        </r>
      </text>
    </comment>
    <comment ref="A55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Dollar Cost average monthly funding
</t>
        </r>
      </text>
    </comment>
    <comment ref="B55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55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PERS Non-Cash reversal
Expense reported in G&amp;A</t>
        </r>
      </text>
    </comment>
    <comment ref="M55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$467,483 VEBA, FAS adj plus I/C Accrual of $380K
</t>
        </r>
      </text>
    </comment>
    <comment ref="A56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Includes Other Income as well as Interest Income</t>
        </r>
      </text>
    </comment>
    <comment ref="B56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A57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Cash out for loss</t>
        </r>
      </text>
    </comment>
    <comment ref="B57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A6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Net of Designated and Bond Reserve</t>
        </r>
      </text>
    </comment>
    <comment ref="B6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Per Bal Sheet Total Cash line as of 6/30/19
</t>
        </r>
      </text>
    </comment>
  </commentList>
</comments>
</file>

<file path=xl/comments42.xml><?xml version="1.0" encoding="utf-8"?>
<comments xmlns="http://schemas.openxmlformats.org/spreadsheetml/2006/main">
  <authors>
    <author>Robert de Wit</author>
    <author>rdewit1</author>
    <author>Robert Dewit</author>
  </authors>
  <commentList>
    <comment ref="A11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Only Interest Income Reported here</t>
        </r>
      </text>
    </comment>
    <comment ref="A44" authorId="1" shapeId="0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Net of any Post Medical Accrual
</t>
        </r>
      </text>
    </comment>
    <comment ref="M45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$467,483 VEBA, FAS adj plus I/C Accrual of $380K
</t>
        </r>
      </text>
    </comment>
    <comment ref="A46" authorId="1" shapeId="0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Net of any Post Medical Accrual
</t>
        </r>
      </text>
    </comment>
    <comment ref="J53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Starbucks UDP &amp; $6K trash containers</t>
        </r>
      </text>
    </comment>
    <comment ref="A55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Dollar Cost average monthly funding
</t>
        </r>
      </text>
    </comment>
    <comment ref="B55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55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PERS Non-Cash reversal
Expense reported in G&amp;A</t>
        </r>
      </text>
    </comment>
    <comment ref="M55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$467,483 VEBA, FAS adj plus I/C Accrual of $380K
</t>
        </r>
      </text>
    </comment>
    <comment ref="A56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Includes Other Income as well as Interest Income</t>
        </r>
      </text>
    </comment>
    <comment ref="B56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A57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Cash out for loss</t>
        </r>
      </text>
    </comment>
    <comment ref="B57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A6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Net of Designated and Bond Reserve</t>
        </r>
      </text>
    </comment>
    <comment ref="B6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Per Bal Sheet Total Cash line as of 6/30/19
</t>
        </r>
      </text>
    </comment>
  </commentList>
</comments>
</file>

<file path=xl/comments43.xml><?xml version="1.0" encoding="utf-8"?>
<comments xmlns="http://schemas.openxmlformats.org/spreadsheetml/2006/main">
  <authors>
    <author>Robert de Wit</author>
    <author>rdewit1</author>
    <author>Robert Dewit</author>
  </authors>
  <commentList>
    <comment ref="A11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Only Interest Income Reported here</t>
        </r>
      </text>
    </comment>
    <comment ref="A44" authorId="1" shapeId="0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Net of any Post Medical Accrual
</t>
        </r>
      </text>
    </comment>
    <comment ref="M45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$467,483 VEBA, FAS adj plus I/C Accrual of $380K
</t>
        </r>
      </text>
    </comment>
    <comment ref="A46" authorId="1" shapeId="0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Net of any Post Medical Accrual
</t>
        </r>
      </text>
    </comment>
    <comment ref="J53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Starbucks UDP &amp; $6K trash containers</t>
        </r>
      </text>
    </comment>
    <comment ref="A55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Dollar Cost average monthly funding
</t>
        </r>
      </text>
    </comment>
    <comment ref="B55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55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PERS Non-Cash reversal
Expense reported in G&amp;A</t>
        </r>
      </text>
    </comment>
    <comment ref="M55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$467,483 VEBA, FAS adj plus I/C Accrual of $380K
</t>
        </r>
      </text>
    </comment>
    <comment ref="A56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Includes Other Income as well as Interest Income</t>
        </r>
      </text>
    </comment>
    <comment ref="B56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A57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Cash out for loss</t>
        </r>
      </text>
    </comment>
    <comment ref="B57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A6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Net of Designated and Bond Reserve</t>
        </r>
      </text>
    </comment>
    <comment ref="B6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Per Bal Sheet Total Cash line as of 6/30/19
</t>
        </r>
      </text>
    </comment>
  </commentList>
</comments>
</file>

<file path=xl/comments44.xml><?xml version="1.0" encoding="utf-8"?>
<comments xmlns="http://schemas.openxmlformats.org/spreadsheetml/2006/main">
  <authors>
    <author>Robert de Wit</author>
    <author>rdewit1</author>
    <author>Robert Dewit</author>
  </authors>
  <commentList>
    <comment ref="A11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Only Interest Income Reported here</t>
        </r>
      </text>
    </comment>
    <comment ref="A44" authorId="1" shapeId="0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Net of any Post Medical Accrual
</t>
        </r>
      </text>
    </comment>
    <comment ref="M45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$467,483 VEBA, FAS adj plus I/C Accrual of $380K
</t>
        </r>
      </text>
    </comment>
    <comment ref="A46" authorId="1" shapeId="0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Net of any Post Medical Accrual
</t>
        </r>
      </text>
    </comment>
    <comment ref="J53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Starbucks UDP &amp; $6K trash containers</t>
        </r>
      </text>
    </comment>
    <comment ref="A55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Dollar Cost average monthly funding
</t>
        </r>
      </text>
    </comment>
    <comment ref="B55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55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PERS Non-Cash reversal
Expense reported in G&amp;A</t>
        </r>
      </text>
    </comment>
    <comment ref="M55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$467,483 VEBA, FAS adj plus I/C Accrual of $380K
</t>
        </r>
      </text>
    </comment>
    <comment ref="A56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Includes Other Income as well as Interest Income</t>
        </r>
      </text>
    </comment>
    <comment ref="B56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A57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Cash out for loss</t>
        </r>
      </text>
    </comment>
    <comment ref="B57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A6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Net of Designated and Bond Reserve</t>
        </r>
      </text>
    </comment>
    <comment ref="B6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Per Bal Sheet Total Cash line as of 6/30/19
</t>
        </r>
      </text>
    </comment>
  </commentList>
</comments>
</file>

<file path=xl/comments45.xml><?xml version="1.0" encoding="utf-8"?>
<comments xmlns="http://schemas.openxmlformats.org/spreadsheetml/2006/main">
  <authors>
    <author>Robert de Wit</author>
    <author>rdewit1</author>
    <author>Robert Dewit</author>
  </authors>
  <commentList>
    <comment ref="A11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Only Interest Income Reported here</t>
        </r>
      </text>
    </comment>
    <comment ref="A44" authorId="1" shapeId="0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Net of any Post Medical Accrual
</t>
        </r>
      </text>
    </comment>
    <comment ref="M45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$467,483 VEBA, FAS adj plus I/C Accrual of $380K
</t>
        </r>
      </text>
    </comment>
    <comment ref="A46" authorId="1" shapeId="0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Net of any Post Medical Accrual
</t>
        </r>
      </text>
    </comment>
    <comment ref="J53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Starbucks UDP &amp; $6K trash containers</t>
        </r>
      </text>
    </comment>
    <comment ref="A55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Dollar Cost average monthly funding
</t>
        </r>
      </text>
    </comment>
    <comment ref="B55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55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PERS Non-Cash reversal
Expense reported in G&amp;A</t>
        </r>
      </text>
    </comment>
    <comment ref="M55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$467,483 VEBA, FAS adj plus I/C Accrual of $380K
</t>
        </r>
      </text>
    </comment>
    <comment ref="A56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Includes Other Income as well as Interest Income</t>
        </r>
      </text>
    </comment>
    <comment ref="B56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A57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Cash out for loss</t>
        </r>
      </text>
    </comment>
    <comment ref="B57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A6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Net of Designated and Bond Reserve</t>
        </r>
      </text>
    </comment>
    <comment ref="B6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Per Bal Sheet Total Cash line as of 6/30/19
</t>
        </r>
      </text>
    </comment>
  </commentList>
</comments>
</file>

<file path=xl/comments46.xml><?xml version="1.0" encoding="utf-8"?>
<comments xmlns="http://schemas.openxmlformats.org/spreadsheetml/2006/main">
  <authors>
    <author>Robert de Wit</author>
    <author>rdewit1</author>
    <author>Robert Dewit</author>
    <author>Tom Collier</author>
  </authors>
  <commentList>
    <comment ref="A11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Only Interest Income Reported here</t>
        </r>
      </text>
    </comment>
    <comment ref="A44" authorId="1" shapeId="0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Net of any Post Medical Accrual
</t>
        </r>
      </text>
    </comment>
    <comment ref="M45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$467,483 VEBA, FAS adj plus I/C Accrual of $380K
</t>
        </r>
      </text>
    </comment>
    <comment ref="A46" authorId="1" shapeId="0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Net of any Post Medical Accrual
</t>
        </r>
      </text>
    </comment>
    <comment ref="A50" authorId="3" shapeId="0">
      <text>
        <r>
          <rPr>
            <b/>
            <sz val="9"/>
            <color indexed="81"/>
            <rFont val="Tahoma"/>
            <family val="2"/>
          </rPr>
          <t>Tom Collier:</t>
        </r>
        <r>
          <rPr>
            <sz val="9"/>
            <color indexed="81"/>
            <rFont val="Tahoma"/>
            <family val="2"/>
          </rPr>
          <t xml:space="preserve">
BEFORE GAIN/LOSS &amp; INTEREST/OTHER INCOME, BUT INCLUDING INTEREST INCOME</t>
        </r>
      </text>
    </comment>
    <comment ref="J53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Starbucks UDP &amp; $6K trash containers</t>
        </r>
      </text>
    </comment>
    <comment ref="A55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Dollar Cost average monthly funding
</t>
        </r>
      </text>
    </comment>
    <comment ref="B55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55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PERS Non-Cash reversal
Expense reported in G&amp;A</t>
        </r>
      </text>
    </comment>
    <comment ref="M55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$467,483 VEBA, FAS adj plus I/C Accrual of $380K
</t>
        </r>
      </text>
    </comment>
    <comment ref="A56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Includes Other Income as well as Interest Income</t>
        </r>
      </text>
    </comment>
    <comment ref="B56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A57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Cash out for loss</t>
        </r>
      </text>
    </comment>
    <comment ref="B57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A6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Net of Designated and Bond Reserve</t>
        </r>
      </text>
    </comment>
    <comment ref="B6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Per Bal Sheet Total Cash line as of 6/30/19
</t>
        </r>
      </text>
    </comment>
  </commentList>
</comments>
</file>

<file path=xl/comments47.xml><?xml version="1.0" encoding="utf-8"?>
<comments xmlns="http://schemas.openxmlformats.org/spreadsheetml/2006/main">
  <authors>
    <author>Robert de Wit</author>
    <author>rdewit1</author>
    <author>Robert Dewit</author>
  </authors>
  <commentList>
    <comment ref="A11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Only Interest Income Reported here</t>
        </r>
      </text>
    </comment>
    <comment ref="A44" authorId="1" shapeId="0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Net of any Post Medical Accrual
</t>
        </r>
      </text>
    </comment>
    <comment ref="M45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$467,483 VEBA, FAS adj plus I/C Accrual of $380K
</t>
        </r>
      </text>
    </comment>
    <comment ref="A46" authorId="1" shapeId="0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Net of any Post Medical Accrual
</t>
        </r>
      </text>
    </comment>
    <comment ref="A55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Dollar Cost average monthly funding
</t>
        </r>
      </text>
    </comment>
    <comment ref="J55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PERS Non-Cash reversal
Expense reported in G&amp;A</t>
        </r>
      </text>
    </comment>
    <comment ref="M55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$467,483 VEBA, FAS adj plus I/C Accrual of $380K
</t>
        </r>
      </text>
    </comment>
    <comment ref="A56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Includes Other Income as well as Interest Income</t>
        </r>
      </text>
    </comment>
    <comment ref="B56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A57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Cash out for loss</t>
        </r>
      </text>
    </comment>
    <comment ref="B57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A6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Net of Designated and Bond Reserve</t>
        </r>
      </text>
    </comment>
    <comment ref="B6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Per Bal Sheet Total Cash line as of 6/30/17
</t>
        </r>
      </text>
    </comment>
  </commentList>
</comments>
</file>

<file path=xl/comments48.xml><?xml version="1.0" encoding="utf-8"?>
<comments xmlns="http://schemas.openxmlformats.org/spreadsheetml/2006/main">
  <authors>
    <author>Robert de Wit</author>
    <author>rdewit1</author>
    <author>Robert Dewit</author>
    <author>Tom Collier</author>
  </authors>
  <commentList>
    <comment ref="A11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Only Interest Income Reported here</t>
        </r>
      </text>
    </comment>
    <comment ref="A44" authorId="1" shapeId="0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Net of any Post Medical Accrual
</t>
        </r>
      </text>
    </comment>
    <comment ref="M45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$467,483 VEBA, FAS adj plus I/C Accrual of $380K
</t>
        </r>
      </text>
    </comment>
    <comment ref="A46" authorId="1" shapeId="0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Net of any Post Medical Accrual
</t>
        </r>
      </text>
    </comment>
    <comment ref="A50" authorId="3" shapeId="0">
      <text>
        <r>
          <rPr>
            <b/>
            <sz val="9"/>
            <color indexed="81"/>
            <rFont val="Tahoma"/>
            <family val="2"/>
          </rPr>
          <t>Tom Collier:</t>
        </r>
        <r>
          <rPr>
            <sz val="9"/>
            <color indexed="81"/>
            <rFont val="Tahoma"/>
            <family val="2"/>
          </rPr>
          <t xml:space="preserve">
BEFORE GAIN/LOSS &amp; INTEREST/OTHER INCOME, BUT INCLUDING INTEREST INCOME</t>
        </r>
      </text>
    </comment>
    <comment ref="J53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Starbucks UDP &amp; $6K trash containers</t>
        </r>
      </text>
    </comment>
    <comment ref="A55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Dollar Cost average monthly funding
</t>
        </r>
      </text>
    </comment>
    <comment ref="B55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55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PERS Non-Cash reversal
Expense reported in G&amp;A</t>
        </r>
      </text>
    </comment>
    <comment ref="M55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$467,483 VEBA, FAS adj plus I/C Accrual of $380K
</t>
        </r>
      </text>
    </comment>
    <comment ref="A56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Includes Other Income as well as Interest Income</t>
        </r>
      </text>
    </comment>
    <comment ref="B56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A57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Cash out for loss</t>
        </r>
      </text>
    </comment>
    <comment ref="B57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A6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Net of Designated and Bond Reserve</t>
        </r>
      </text>
    </comment>
    <comment ref="B6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Per Bal Sheet Total Cash line as of 6/30/19
</t>
        </r>
      </text>
    </comment>
  </commentList>
</comments>
</file>

<file path=xl/comments49.xml><?xml version="1.0" encoding="utf-8"?>
<comments xmlns="http://schemas.openxmlformats.org/spreadsheetml/2006/main">
  <authors>
    <author>Robert de Wit</author>
    <author>rdewit1</author>
    <author>Robert Dewit</author>
  </authors>
  <commentList>
    <comment ref="A11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Only Interest Income Reported here</t>
        </r>
      </text>
    </comment>
    <comment ref="A44" authorId="1" shapeId="0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Net of any Post Medical Accrual
</t>
        </r>
      </text>
    </comment>
    <comment ref="M45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$467,483 VEBA, FAS adj plus I/C Accrual of $380K
</t>
        </r>
      </text>
    </comment>
    <comment ref="A46" authorId="1" shapeId="0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Net of any Post Medical Accrual
</t>
        </r>
      </text>
    </comment>
    <comment ref="J53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Starbucks UDP &amp; $6K trash containers</t>
        </r>
      </text>
    </comment>
    <comment ref="A55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Dollar Cost average monthly funding
</t>
        </r>
      </text>
    </comment>
    <comment ref="B55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55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PERS Non-Cash reversal
Expense reported in G&amp;A</t>
        </r>
      </text>
    </comment>
    <comment ref="M55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$467,483 VEBA, FAS adj plus I/C Accrual of $380K
</t>
        </r>
      </text>
    </comment>
    <comment ref="A56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Includes Other Income as well as Interest Income</t>
        </r>
      </text>
    </comment>
    <comment ref="B56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A57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Cash out for loss</t>
        </r>
      </text>
    </comment>
    <comment ref="B57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A6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Net of Designated and Bond Reserve</t>
        </r>
      </text>
    </comment>
    <comment ref="B6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Per Bal Sheet Total Cash line as of 6/30/19
</t>
        </r>
      </text>
    </comment>
  </commentList>
</comments>
</file>

<file path=xl/sharedStrings.xml><?xml version="1.0" encoding="utf-8"?>
<sst xmlns="http://schemas.openxmlformats.org/spreadsheetml/2006/main" count="4190" uniqueCount="136">
  <si>
    <t>Cash Flow report is designed to reflect actual cash outlay while considering Sales accruals and deferred budgetted Capital Expenditures.</t>
  </si>
  <si>
    <t xml:space="preserve">Revenue: </t>
  </si>
  <si>
    <t>Bookstore consists of Division 3 &amp; 6 Sales and Credit &amp; Revenues</t>
  </si>
  <si>
    <t>Foodservices consists of Division 4 Sales and Credit &amp; Revenues minus Dept 492 sales plus prior month 492 sales (492 depicts accrued sales)</t>
  </si>
  <si>
    <t>Interest Income is Division 1 Credit &amp; Revenue</t>
  </si>
  <si>
    <t>Cost of Sales:</t>
  </si>
  <si>
    <t>Bookstore COS consists of Division 3 &amp; 6 Cost of Sales</t>
  </si>
  <si>
    <t>Foodservices consists of Division 4 COS minus Dept 492 COS plus prior month 492 COS</t>
  </si>
  <si>
    <t>Labor/Benefits:</t>
  </si>
  <si>
    <t>Bookstore consists of Division 3 &amp; 6 Payroll and Benefits line items</t>
  </si>
  <si>
    <t xml:space="preserve">Foodservices consists of Division 4 Payroll and Benefits line items </t>
  </si>
  <si>
    <t>Operating Expense:</t>
  </si>
  <si>
    <t>Bookstore consists of Division 3 &amp; 6 Expense, minus above Payroll and Benefits, minus depreciation, minus inventory adjustment</t>
  </si>
  <si>
    <t xml:space="preserve">Foodservices consists of Division 4 Expense, minus above Payroll and Benefits, minus depreciation. </t>
  </si>
  <si>
    <t>G&amp;A Expense</t>
  </si>
  <si>
    <t>Division 1 &amp; 2 Expense only (minus depreciation).  Credit &amp; Revenue is accounted for in above Revenue</t>
  </si>
  <si>
    <t>Capital Expenditures</t>
  </si>
  <si>
    <t>Consists of net change in Capital Accounts (100-1600 thru 100-1630, 100-1700 thru 100-1790)</t>
  </si>
  <si>
    <t>Note:  Since this has a major impact on budgeted cash the difference between monthly actual and budget is moved to the following month and total budget target is maintained.</t>
  </si>
  <si>
    <t>Bond Repayment</t>
  </si>
  <si>
    <t>Amounts are predetermined by the Bond schedule in the Arbitrage report</t>
  </si>
  <si>
    <t>All other fields are formula based</t>
  </si>
  <si>
    <t xml:space="preserve">Note:  ID Card Office not part of Cash Flow calculation subject to change upon Revenue reporting agreement with Campus. </t>
  </si>
  <si>
    <t>2015/2016 CASH FLOW - JUNE 2016</t>
  </si>
  <si>
    <t>Actual</t>
  </si>
  <si>
    <t>TOTAL YEAR</t>
  </si>
  <si>
    <t>FY2014/2015</t>
  </si>
  <si>
    <t>REVENUES:</t>
  </si>
  <si>
    <t xml:space="preserve"> SALES</t>
  </si>
  <si>
    <t xml:space="preserve"> CREDIT &amp; REVENUES</t>
  </si>
  <si>
    <t>TOTAL REVENUE</t>
  </si>
  <si>
    <t xml:space="preserve">  OTHER INCOME (NO INVESTMENT)</t>
  </si>
  <si>
    <t xml:space="preserve">OPERATING CASH IN: </t>
  </si>
  <si>
    <t>COST OF SALES:</t>
  </si>
  <si>
    <t xml:space="preserve"> COST OF GOODS</t>
  </si>
  <si>
    <t>COST OF SALES</t>
  </si>
  <si>
    <t>GROSS MARGIN:</t>
  </si>
  <si>
    <t xml:space="preserve"> GM CALC</t>
  </si>
  <si>
    <t xml:space="preserve"> </t>
  </si>
  <si>
    <t>COMBINED GROSS MARGIN</t>
  </si>
  <si>
    <t>LABOR COST AND BENEFITS:</t>
  </si>
  <si>
    <t xml:space="preserve"> PAYROL</t>
  </si>
  <si>
    <t xml:space="preserve"> BENEFITS</t>
  </si>
  <si>
    <t>LABOR COST &amp; BENEFITS</t>
  </si>
  <si>
    <t>OPERATING EXPENSES:  (NET DEP)</t>
  </si>
  <si>
    <t xml:space="preserve"> TOTAL SUMMARY EXPENSE</t>
  </si>
  <si>
    <t xml:space="preserve"> CALC- MINUS L&amp;B ABOVE</t>
  </si>
  <si>
    <t xml:space="preserve"> MINUS DEPRECIATION</t>
  </si>
  <si>
    <t xml:space="preserve"> MINUS INV RESERVE</t>
  </si>
  <si>
    <t>OPERATING EXPENSE (NET DEP)</t>
  </si>
  <si>
    <t>GENERAL &amp; ADMINISTRATIVE</t>
  </si>
  <si>
    <t xml:space="preserve">  POST RETIREMENT MEDICAL</t>
  </si>
  <si>
    <t>OPERATING CASH OUT:</t>
  </si>
  <si>
    <t>NET CONTRIBUTION W/O DEPR/INV</t>
  </si>
  <si>
    <t>OTHER CASH/NON-CASH  IN/OUT(+)</t>
  </si>
  <si>
    <t xml:space="preserve">  CAPITAL EXPENDITURES</t>
  </si>
  <si>
    <t xml:space="preserve">  OUTPOST SRB PAYMENT/ Athletic</t>
  </si>
  <si>
    <t xml:space="preserve">  VEBA/PERS</t>
  </si>
  <si>
    <t xml:space="preserve">  INTEREST INCOME/NO FMV</t>
  </si>
  <si>
    <t xml:space="preserve">  FAIR MARKET VALUE Gain-/Loss+ </t>
  </si>
  <si>
    <t xml:space="preserve">    SUBTOTAL OTHER IN/OUT(+)</t>
  </si>
  <si>
    <t xml:space="preserve">OPENING CASH BALANCE </t>
  </si>
  <si>
    <t xml:space="preserve"> TOTAL CASH OUT</t>
  </si>
  <si>
    <t xml:space="preserve"> NET MONTHLY CASH FLOW</t>
  </si>
  <si>
    <t xml:space="preserve"> CUMULATIVE CASH FLOW</t>
  </si>
  <si>
    <t xml:space="preserve"> CASH BALANCE </t>
  </si>
  <si>
    <t>2015/2016 BUDGET PROFILE</t>
  </si>
  <si>
    <t xml:space="preserve">  NET MONTHLY CASH FLOW</t>
  </si>
  <si>
    <t>BUDGET VARIANCE</t>
  </si>
  <si>
    <t>*****************************************************</t>
  </si>
  <si>
    <t>MONTHLY CAPITAL BUDGET</t>
  </si>
  <si>
    <t>YTD CAPITAL BUDGET</t>
  </si>
  <si>
    <t>YTD CAPITAL EXPENSE</t>
  </si>
  <si>
    <t>CAPITAL BUDGET VARIANCE</t>
  </si>
  <si>
    <t xml:space="preserve"> FMV/ Interest Impact MO/Cume</t>
  </si>
  <si>
    <t>2016/2017 CASH FLOW - BUDGET</t>
  </si>
  <si>
    <t>Budget</t>
  </si>
  <si>
    <t>FY2016/2017</t>
  </si>
  <si>
    <t xml:space="preserve"> Plus INV RESERVE not in Summary</t>
  </si>
  <si>
    <t>2016/2017 BUDGET PROFILE</t>
  </si>
  <si>
    <t>2016/2017 CASH FLOW - JULY</t>
  </si>
  <si>
    <t>2016/2017 CASH FLOW - AUGUST</t>
  </si>
  <si>
    <t>2016/2017 CASH FLOW - SEPTEMBER</t>
  </si>
  <si>
    <t>2016/2017 CASH FLOW - OCTOBER</t>
  </si>
  <si>
    <t>2016/2017 CASH FLOW - NOVEMBER</t>
  </si>
  <si>
    <t>2016/2017 CASH FLOW - DECEMBER</t>
  </si>
  <si>
    <t>2016/2017 CASH FLOW - JANUARY</t>
  </si>
  <si>
    <t>2016/2017 CASH FLOW - FEBRUARY</t>
  </si>
  <si>
    <t>2016/2017 CASH FLOW - MARCH</t>
  </si>
  <si>
    <t>2016/2017 CASH FLOW - APRIL</t>
  </si>
  <si>
    <t>2016/2017 CASH FLOW - MAY</t>
  </si>
  <si>
    <t>2016/2017 CASH FLOW - JUNE</t>
  </si>
  <si>
    <t>2017/2018 CASH FLOW - BUDGET</t>
  </si>
  <si>
    <t xml:space="preserve"> PAYROLL</t>
  </si>
  <si>
    <t>2017/2018 BUDGET PROFILE</t>
  </si>
  <si>
    <t>2017/2018 CASH FLOW - July</t>
  </si>
  <si>
    <t xml:space="preserve">  OUTPOST SRB PAYMENT</t>
  </si>
  <si>
    <t xml:space="preserve">  PERS </t>
  </si>
  <si>
    <t>2017/2018 CASH FLOW - August</t>
  </si>
  <si>
    <t>2017/2018 CASH FLOW - September</t>
  </si>
  <si>
    <t>FY2017/2018</t>
  </si>
  <si>
    <t>2017/2018 CASH FLOW - October</t>
  </si>
  <si>
    <t>2017/2018 CASH FLOW - November</t>
  </si>
  <si>
    <t>2017/2018 CASH FLOW - December</t>
  </si>
  <si>
    <t>2017/2018 CASH FLOW - January</t>
  </si>
  <si>
    <t>2017/2018 CASH FLOW - February</t>
  </si>
  <si>
    <t>2017/2018 CASH FLOW - March</t>
  </si>
  <si>
    <t xml:space="preserve">  PERS\POST RETIREMENT MEDICAL</t>
  </si>
  <si>
    <t>2017/2018 CASH FLOW - April</t>
  </si>
  <si>
    <t>2017/2018 CASH FLOW - May</t>
  </si>
  <si>
    <t>2017/2018 CASH FLOW - June</t>
  </si>
  <si>
    <t xml:space="preserve">  PERS /FAS 106/IC</t>
  </si>
  <si>
    <t xml:space="preserve">2018/2019 CASH FLOW - Budget </t>
  </si>
  <si>
    <t>FY2018/2019</t>
  </si>
  <si>
    <t>2018/2019 BUDGET PROFILE</t>
  </si>
  <si>
    <t xml:space="preserve">2018/2019 CASH FLOW - October </t>
  </si>
  <si>
    <t>2018/2019 CASH FLOW - November</t>
  </si>
  <si>
    <t>2018/2019 CASH FLOW - December</t>
  </si>
  <si>
    <t>2018/2019 CASH FLOW - January 2019</t>
  </si>
  <si>
    <t>2018/2019 CASH FLOW - February 2019</t>
  </si>
  <si>
    <t>2018/2019 CASH FLOW - March 2019</t>
  </si>
  <si>
    <t>2018/2019 CASH FLOW - April 2019</t>
  </si>
  <si>
    <t>2019/2020 CASH FLOW -  Budget</t>
  </si>
  <si>
    <t>FY2019/2020</t>
  </si>
  <si>
    <t xml:space="preserve"> MINUS DEPRECIATION - G&amp;A</t>
  </si>
  <si>
    <t>2019/2020 CASH FLOW -  July</t>
  </si>
  <si>
    <t>2019/2020 BUDGET PROFILE</t>
  </si>
  <si>
    <t>2019/2020 CASH FLOW -  August</t>
  </si>
  <si>
    <t>2019/2020 CASH FLOW -  September</t>
  </si>
  <si>
    <t>2019/2020 CASH FLOW -  October</t>
  </si>
  <si>
    <t>2019/2020 CASH FLOW -  November</t>
  </si>
  <si>
    <t>2019/2020 CASH FLOW -  December</t>
  </si>
  <si>
    <t>2019/2020 CASH FLOW -  January</t>
  </si>
  <si>
    <t>FY19/20</t>
  </si>
  <si>
    <t xml:space="preserve">  FAIR MARKET VALUE (GAIN)/LOSS</t>
  </si>
  <si>
    <t>2019/2020 CASH FLOW - Feburary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</si>
</sst>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_(&quot;$&quot;* #,##0_);_(&quot;$&quot;* \(#,##0\);_(&quot;$&quot;* &quot;-&quot;??_);_(@_)"/>
    <numFmt numFmtId="166" formatCode="#,###,##0;\(#,###,##0\)"/>
    <numFmt numFmtId="167" formatCode="0.0%"/>
  </numFmts>
  <fonts count="16">
    <font>
      <sz val="10"/>
      <name val="Arial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sz val="8"/>
      <color indexed="81"/>
      <name val="Tahoma"/>
      <family val="2"/>
    </font>
    <font>
      <b/>
      <sz val="8"/>
      <color indexed="81"/>
      <name val="Tahoma"/>
      <family val="2"/>
    </font>
    <font>
      <sz val="8"/>
      <name val="Arial"/>
      <family val="2"/>
    </font>
    <font>
      <b/>
      <u/>
      <sz val="10"/>
      <name val="Arial"/>
      <family val="2"/>
    </font>
    <font>
      <sz val="10"/>
      <color rgb="FF000000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0"/>
      <color indexed="0"/>
      <name val="Arial"/>
      <family val="2"/>
    </font>
    <font>
      <sz val="10"/>
      <color rgb="FFFF0000"/>
      <name val="Arial"/>
      <family val="2"/>
    </font>
    <font>
      <i/>
      <sz val="11"/>
      <color theme="1"/>
      <name val="Calibri"/>
      <family val="2"/>
      <scheme val="minor"/>
    </font>
    <font>
      <sz val="9"/>
      <name val="Geneva"/>
      <family val="2"/>
    </font>
    <font>
      <b/>
      <sz val="10"/>
      <color rgb="FFFF0000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3" tint="0.79998168889431442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1">
    <xf numFmtId="0" fontId="0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8" fillId="0" borderId="0" applyNumberFormat="0" applyBorder="0" applyAlignment="0"/>
    <xf numFmtId="9" fontId="2" fillId="0" borderId="0" applyFont="0" applyFill="0" applyBorder="0" applyAlignment="0" applyProtection="0"/>
    <xf numFmtId="166" fontId="11" fillId="0" borderId="0"/>
    <xf numFmtId="0" fontId="2" fillId="0" borderId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4" fillId="0" borderId="0"/>
  </cellStyleXfs>
  <cellXfs count="100">
    <xf numFmtId="0" fontId="0" fillId="0" borderId="0" xfId="0"/>
    <xf numFmtId="0" fontId="3" fillId="0" borderId="0" xfId="0" applyFont="1"/>
    <xf numFmtId="41" fontId="0" fillId="0" borderId="0" xfId="0" applyNumberFormat="1"/>
    <xf numFmtId="0" fontId="0" fillId="0" borderId="0" xfId="0" applyAlignment="1">
      <alignment horizontal="center"/>
    </xf>
    <xf numFmtId="41" fontId="0" fillId="0" borderId="0" xfId="0" applyNumberFormat="1" applyBorder="1"/>
    <xf numFmtId="0" fontId="0" fillId="0" borderId="0" xfId="0" applyBorder="1"/>
    <xf numFmtId="0" fontId="0" fillId="0" borderId="0" xfId="0" applyFill="1"/>
    <xf numFmtId="41" fontId="0" fillId="0" borderId="0" xfId="0" applyNumberFormat="1" applyFill="1"/>
    <xf numFmtId="41" fontId="0" fillId="0" borderId="0" xfId="0" applyNumberFormat="1" applyFill="1" applyBorder="1"/>
    <xf numFmtId="0" fontId="0" fillId="0" borderId="0" xfId="0" applyAlignment="1">
      <alignment wrapText="1"/>
    </xf>
    <xf numFmtId="164" fontId="0" fillId="0" borderId="0" xfId="1" applyNumberFormat="1" applyFont="1" applyFill="1"/>
    <xf numFmtId="17" fontId="0" fillId="0" borderId="1" xfId="0" applyNumberFormat="1" applyBorder="1" applyAlignment="1">
      <alignment horizontal="center"/>
    </xf>
    <xf numFmtId="165" fontId="2" fillId="0" borderId="0" xfId="2" applyNumberFormat="1" applyFill="1"/>
    <xf numFmtId="0" fontId="3" fillId="0" borderId="0" xfId="0" applyFont="1" applyFill="1"/>
    <xf numFmtId="165" fontId="2" fillId="0" borderId="3" xfId="2" applyNumberFormat="1" applyFill="1" applyBorder="1"/>
    <xf numFmtId="41" fontId="0" fillId="0" borderId="1" xfId="0" applyNumberFormat="1" applyFill="1" applyBorder="1"/>
    <xf numFmtId="165" fontId="2" fillId="0" borderId="0" xfId="2" applyNumberFormat="1" applyFill="1" applyBorder="1"/>
    <xf numFmtId="0" fontId="3" fillId="0" borderId="0" xfId="0" applyFont="1" applyFill="1" applyBorder="1"/>
    <xf numFmtId="0" fontId="3" fillId="0" borderId="0" xfId="0" applyFont="1" applyFill="1" applyBorder="1" applyAlignment="1"/>
    <xf numFmtId="165" fontId="2" fillId="0" borderId="2" xfId="2" applyNumberFormat="1" applyFill="1" applyBorder="1"/>
    <xf numFmtId="0" fontId="0" fillId="2" borderId="0" xfId="0" applyFill="1"/>
    <xf numFmtId="43" fontId="0" fillId="0" borderId="0" xfId="1" applyFont="1" applyFill="1"/>
    <xf numFmtId="164" fontId="0" fillId="0" borderId="1" xfId="1" applyNumberFormat="1" applyFont="1" applyFill="1" applyBorder="1"/>
    <xf numFmtId="164" fontId="2" fillId="0" borderId="0" xfId="1" applyNumberFormat="1" applyFont="1" applyFill="1"/>
    <xf numFmtId="0" fontId="7" fillId="0" borderId="0" xfId="0" applyFont="1" applyFill="1" applyBorder="1"/>
    <xf numFmtId="165" fontId="0" fillId="0" borderId="0" xfId="0" applyNumberFormat="1"/>
    <xf numFmtId="165" fontId="2" fillId="3" borderId="0" xfId="2" applyNumberFormat="1" applyFill="1"/>
    <xf numFmtId="166" fontId="8" fillId="0" borderId="0" xfId="3" applyNumberFormat="1" applyFill="1"/>
    <xf numFmtId="0" fontId="0" fillId="0" borderId="2" xfId="0" applyFill="1" applyBorder="1" applyAlignment="1">
      <alignment horizontal="center" wrapText="1"/>
    </xf>
    <xf numFmtId="165" fontId="0" fillId="0" borderId="0" xfId="0" applyNumberFormat="1" applyFill="1"/>
    <xf numFmtId="165" fontId="2" fillId="6" borderId="3" xfId="2" applyNumberFormat="1" applyFill="1" applyBorder="1"/>
    <xf numFmtId="165" fontId="2" fillId="6" borderId="0" xfId="2" applyNumberFormat="1" applyFill="1" applyBorder="1"/>
    <xf numFmtId="165" fontId="2" fillId="6" borderId="0" xfId="2" applyNumberFormat="1" applyFill="1"/>
    <xf numFmtId="0" fontId="2" fillId="0" borderId="0" xfId="0" applyFont="1"/>
    <xf numFmtId="43" fontId="0" fillId="0" borderId="0" xfId="0" applyNumberFormat="1" applyFill="1"/>
    <xf numFmtId="164" fontId="0" fillId="0" borderId="0" xfId="0" applyNumberFormat="1"/>
    <xf numFmtId="165" fontId="2" fillId="0" borderId="0" xfId="0" applyNumberFormat="1" applyFont="1" applyFill="1"/>
    <xf numFmtId="0" fontId="2" fillId="0" borderId="0" xfId="0" applyFont="1" applyFill="1"/>
    <xf numFmtId="41" fontId="2" fillId="0" borderId="0" xfId="0" applyNumberFormat="1" applyFont="1" applyFill="1" applyBorder="1"/>
    <xf numFmtId="41" fontId="0" fillId="6" borderId="0" xfId="0" applyNumberFormat="1" applyFill="1"/>
    <xf numFmtId="164" fontId="0" fillId="0" borderId="0" xfId="0" applyNumberFormat="1" applyFill="1"/>
    <xf numFmtId="164" fontId="0" fillId="3" borderId="0" xfId="1" applyNumberFormat="1" applyFont="1" applyFill="1"/>
    <xf numFmtId="41" fontId="0" fillId="7" borderId="0" xfId="0" applyNumberFormat="1" applyFill="1"/>
    <xf numFmtId="41" fontId="0" fillId="7" borderId="1" xfId="0" applyNumberFormat="1" applyFill="1" applyBorder="1"/>
    <xf numFmtId="165" fontId="2" fillId="7" borderId="0" xfId="2" applyNumberFormat="1" applyFill="1"/>
    <xf numFmtId="0" fontId="2" fillId="6" borderId="2" xfId="0" applyFont="1" applyFill="1" applyBorder="1" applyAlignment="1">
      <alignment horizontal="center"/>
    </xf>
    <xf numFmtId="0" fontId="3" fillId="6" borderId="4" xfId="0" applyFont="1" applyFill="1" applyBorder="1"/>
    <xf numFmtId="164" fontId="0" fillId="6" borderId="0" xfId="1" applyNumberFormat="1" applyFont="1" applyFill="1"/>
    <xf numFmtId="0" fontId="2" fillId="0" borderId="2" xfId="0" applyFont="1" applyFill="1" applyBorder="1" applyAlignment="1">
      <alignment horizontal="center"/>
    </xf>
    <xf numFmtId="166" fontId="11" fillId="7" borderId="0" xfId="5" applyFill="1"/>
    <xf numFmtId="164" fontId="0" fillId="7" borderId="1" xfId="1" applyNumberFormat="1" applyFont="1" applyFill="1" applyBorder="1"/>
    <xf numFmtId="164" fontId="0" fillId="7" borderId="0" xfId="1" applyNumberFormat="1" applyFont="1" applyFill="1"/>
    <xf numFmtId="164" fontId="2" fillId="7" borderId="0" xfId="1" applyNumberFormat="1" applyFont="1" applyFill="1"/>
    <xf numFmtId="166" fontId="11" fillId="0" borderId="0" xfId="5" applyFill="1"/>
    <xf numFmtId="164" fontId="2" fillId="6" borderId="0" xfId="1" applyNumberFormat="1" applyFont="1" applyFill="1"/>
    <xf numFmtId="0" fontId="0" fillId="6" borderId="2" xfId="0" applyFill="1" applyBorder="1" applyAlignment="1">
      <alignment horizontal="center" wrapText="1"/>
    </xf>
    <xf numFmtId="164" fontId="0" fillId="0" borderId="0" xfId="1" applyNumberFormat="1" applyFont="1" applyFill="1" applyBorder="1"/>
    <xf numFmtId="17" fontId="2" fillId="0" borderId="1" xfId="0" applyNumberFormat="1" applyFont="1" applyBorder="1" applyAlignment="1">
      <alignment horizontal="center"/>
    </xf>
    <xf numFmtId="0" fontId="0" fillId="7" borderId="0" xfId="0" applyFill="1"/>
    <xf numFmtId="166" fontId="11" fillId="0" borderId="0" xfId="5"/>
    <xf numFmtId="166" fontId="11" fillId="0" borderId="1" xfId="5" applyFill="1" applyBorder="1"/>
    <xf numFmtId="164" fontId="0" fillId="2" borderId="0" xfId="0" applyNumberFormat="1" applyFill="1"/>
    <xf numFmtId="166" fontId="0" fillId="4" borderId="0" xfId="0" applyNumberFormat="1" applyFill="1"/>
    <xf numFmtId="166" fontId="12" fillId="0" borderId="0" xfId="5" applyFont="1" applyFill="1"/>
    <xf numFmtId="166" fontId="11" fillId="6" borderId="0" xfId="5" applyFill="1"/>
    <xf numFmtId="37" fontId="13" fillId="8" borderId="0" xfId="1" applyNumberFormat="1" applyFont="1" applyFill="1" applyBorder="1"/>
    <xf numFmtId="166" fontId="2" fillId="0" borderId="0" xfId="5" applyFont="1" applyFill="1"/>
    <xf numFmtId="0" fontId="0" fillId="4" borderId="0" xfId="0" applyFill="1"/>
    <xf numFmtId="37" fontId="13" fillId="0" borderId="0" xfId="1" applyNumberFormat="1" applyFont="1" applyFill="1" applyBorder="1"/>
    <xf numFmtId="166" fontId="0" fillId="0" borderId="0" xfId="0" applyNumberFormat="1" applyFill="1"/>
    <xf numFmtId="3" fontId="0" fillId="0" borderId="0" xfId="0" applyNumberFormat="1" applyFill="1"/>
    <xf numFmtId="3" fontId="0" fillId="0" borderId="0" xfId="0" applyNumberFormat="1"/>
    <xf numFmtId="164" fontId="11" fillId="0" borderId="0" xfId="1" applyNumberFormat="1" applyFont="1" applyFill="1"/>
    <xf numFmtId="167" fontId="0" fillId="0" borderId="0" xfId="4" applyNumberFormat="1" applyFont="1" applyFill="1"/>
    <xf numFmtId="37" fontId="13" fillId="7" borderId="0" xfId="1" applyNumberFormat="1" applyFont="1" applyFill="1" applyBorder="1"/>
    <xf numFmtId="164" fontId="11" fillId="7" borderId="0" xfId="1" applyNumberFormat="1" applyFont="1" applyFill="1"/>
    <xf numFmtId="166" fontId="11" fillId="7" borderId="1" xfId="5" applyFill="1" applyBorder="1"/>
    <xf numFmtId="164" fontId="0" fillId="6" borderId="1" xfId="1" applyNumberFormat="1" applyFont="1" applyFill="1" applyBorder="1"/>
    <xf numFmtId="166" fontId="8" fillId="6" borderId="0" xfId="3" applyNumberFormat="1" applyFill="1"/>
    <xf numFmtId="41" fontId="0" fillId="6" borderId="1" xfId="0" applyNumberFormat="1" applyFill="1" applyBorder="1"/>
    <xf numFmtId="167" fontId="0" fillId="6" borderId="0" xfId="4" applyNumberFormat="1" applyFont="1" applyFill="1"/>
    <xf numFmtId="37" fontId="13" fillId="6" borderId="0" xfId="1" applyNumberFormat="1" applyFont="1" applyFill="1" applyBorder="1"/>
    <xf numFmtId="164" fontId="11" fillId="6" borderId="0" xfId="1" applyNumberFormat="1" applyFont="1" applyFill="1"/>
    <xf numFmtId="166" fontId="11" fillId="6" borderId="1" xfId="5" applyFill="1" applyBorder="1"/>
    <xf numFmtId="165" fontId="2" fillId="6" borderId="2" xfId="2" applyNumberFormat="1" applyFill="1" applyBorder="1"/>
    <xf numFmtId="165" fontId="2" fillId="0" borderId="2" xfId="2" applyNumberFormat="1" applyBorder="1"/>
    <xf numFmtId="165" fontId="14" fillId="0" borderId="0" xfId="10" applyNumberFormat="1"/>
    <xf numFmtId="164" fontId="15" fillId="0" borderId="0" xfId="1" applyNumberFormat="1" applyFont="1" applyFill="1"/>
    <xf numFmtId="165" fontId="0" fillId="7" borderId="0" xfId="0" applyNumberFormat="1" applyFill="1"/>
    <xf numFmtId="164" fontId="0" fillId="5" borderId="0" xfId="1" applyNumberFormat="1" applyFont="1" applyFill="1"/>
    <xf numFmtId="17" fontId="0" fillId="0" borderId="1" xfId="0" applyNumberFormat="1" applyFill="1" applyBorder="1" applyAlignment="1">
      <alignment horizontal="center"/>
    </xf>
    <xf numFmtId="164" fontId="0" fillId="3" borderId="1" xfId="1" applyNumberFormat="1" applyFont="1" applyFill="1" applyBorder="1"/>
    <xf numFmtId="0" fontId="3" fillId="6" borderId="2" xfId="0" applyFont="1" applyFill="1" applyBorder="1" applyAlignment="1">
      <alignment horizontal="center"/>
    </xf>
    <xf numFmtId="0" fontId="3" fillId="6" borderId="2" xfId="0" applyFont="1" applyFill="1" applyBorder="1" applyAlignment="1">
      <alignment horizontal="center" wrapText="1"/>
    </xf>
    <xf numFmtId="17" fontId="3" fillId="0" borderId="1" xfId="0" applyNumberFormat="1" applyFont="1" applyBorder="1" applyAlignment="1">
      <alignment horizontal="center"/>
    </xf>
    <xf numFmtId="17" fontId="3" fillId="0" borderId="1" xfId="0" applyNumberFormat="1" applyFont="1" applyFill="1" applyBorder="1" applyAlignment="1">
      <alignment horizontal="center"/>
    </xf>
    <xf numFmtId="0" fontId="0" fillId="0" borderId="0" xfId="0" applyFill="1" applyBorder="1"/>
    <xf numFmtId="0" fontId="0" fillId="2" borderId="0" xfId="0" applyFill="1" applyBorder="1"/>
    <xf numFmtId="165" fontId="2" fillId="0" borderId="0" xfId="2" applyNumberFormat="1" applyBorder="1"/>
    <xf numFmtId="165" fontId="14" fillId="0" borderId="0" xfId="10" applyNumberFormat="1" applyBorder="1"/>
  </cellXfs>
  <cellStyles count="11">
    <cellStyle name="Comma" xfId="1" builtinId="3"/>
    <cellStyle name="Comma 2" xfId="8"/>
    <cellStyle name="Currency" xfId="2" builtinId="4"/>
    <cellStyle name="Currency 2" xfId="9"/>
    <cellStyle name="FRxAmtStyle" xfId="5"/>
    <cellStyle name="Normal" xfId="0" builtinId="0"/>
    <cellStyle name="Normal 2" xfId="6"/>
    <cellStyle name="Normal 3" xfId="7"/>
    <cellStyle name="Normal_INVESTMENT REPORT June 2008 Post Audit 91208" xfId="10"/>
    <cellStyle name="Percent" xfId="4" builtinId="5"/>
    <cellStyle name="STYLE1" xfId="3"/>
  </cellStyles>
  <dxfs count="0"/>
  <tableStyles count="0" defaultTableStyle="TableStyleMedium9" defaultPivotStyle="PivotStyleLight16"/>
  <colors>
    <mruColors>
      <color rgb="FFFFFFCC"/>
      <color rgb="FFFFFF66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worksheet" Target="worksheets/sheet50.xml"/><Relationship Id="rId55" Type="http://schemas.openxmlformats.org/officeDocument/2006/relationships/customXml" Target="../customXml/item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worksheet" Target="worksheets/sheet41.xml"/><Relationship Id="rId54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customXml" Target="../customXml/item3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customXml" Target="../customXml/item2.xml"/><Relationship Id="rId8" Type="http://schemas.openxmlformats.org/officeDocument/2006/relationships/worksheet" Target="worksheets/sheet8.xml"/><Relationship Id="rId51" Type="http://schemas.openxmlformats.org/officeDocument/2006/relationships/theme" Target="theme/theme1.xml"/><Relationship Id="rId3" Type="http://schemas.openxmlformats.org/officeDocument/2006/relationships/worksheet" Target="worksheets/sheet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mments" Target="../comments6.xml"/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comments" Target="../comments7.xml"/><Relationship Id="rId2" Type="http://schemas.openxmlformats.org/officeDocument/2006/relationships/vmlDrawing" Target="../drawings/vmlDrawing7.v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comments" Target="../comments8.xml"/><Relationship Id="rId2" Type="http://schemas.openxmlformats.org/officeDocument/2006/relationships/vmlDrawing" Target="../drawings/vmlDrawing8.v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comments" Target="../comments9.xml"/><Relationship Id="rId2" Type="http://schemas.openxmlformats.org/officeDocument/2006/relationships/vmlDrawing" Target="../drawings/vmlDrawing9.v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0.xml"/><Relationship Id="rId2" Type="http://schemas.openxmlformats.org/officeDocument/2006/relationships/vmlDrawing" Target="../drawings/vmlDrawing10.v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1.xml"/><Relationship Id="rId2" Type="http://schemas.openxmlformats.org/officeDocument/2006/relationships/vmlDrawing" Target="../drawings/vmlDrawing11.v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2.xml"/><Relationship Id="rId2" Type="http://schemas.openxmlformats.org/officeDocument/2006/relationships/vmlDrawing" Target="../drawings/vmlDrawing12.v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comments" Target="../comments13.xml"/><Relationship Id="rId2" Type="http://schemas.openxmlformats.org/officeDocument/2006/relationships/vmlDrawing" Target="../drawings/vmlDrawing13.v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comments" Target="../comments14.xml"/><Relationship Id="rId2" Type="http://schemas.openxmlformats.org/officeDocument/2006/relationships/vmlDrawing" Target="../drawings/vmlDrawing14.v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comments" Target="../comments15.xml"/><Relationship Id="rId2" Type="http://schemas.openxmlformats.org/officeDocument/2006/relationships/vmlDrawing" Target="../drawings/vmlDrawing15.v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3" Type="http://schemas.openxmlformats.org/officeDocument/2006/relationships/comments" Target="../comments16.xml"/><Relationship Id="rId2" Type="http://schemas.openxmlformats.org/officeDocument/2006/relationships/vmlDrawing" Target="../drawings/vmlDrawing16.v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3" Type="http://schemas.openxmlformats.org/officeDocument/2006/relationships/comments" Target="../comments17.xml"/><Relationship Id="rId2" Type="http://schemas.openxmlformats.org/officeDocument/2006/relationships/vmlDrawing" Target="../drawings/vmlDrawing17.v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3" Type="http://schemas.openxmlformats.org/officeDocument/2006/relationships/comments" Target="../comments18.xml"/><Relationship Id="rId2" Type="http://schemas.openxmlformats.org/officeDocument/2006/relationships/vmlDrawing" Target="../drawings/vmlDrawing18.v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3" Type="http://schemas.openxmlformats.org/officeDocument/2006/relationships/comments" Target="../comments19.xml"/><Relationship Id="rId2" Type="http://schemas.openxmlformats.org/officeDocument/2006/relationships/vmlDrawing" Target="../drawings/vmlDrawing19.v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3" Type="http://schemas.openxmlformats.org/officeDocument/2006/relationships/comments" Target="../comments20.xml"/><Relationship Id="rId2" Type="http://schemas.openxmlformats.org/officeDocument/2006/relationships/vmlDrawing" Target="../drawings/vmlDrawing20.v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1.xml"/><Relationship Id="rId2" Type="http://schemas.openxmlformats.org/officeDocument/2006/relationships/vmlDrawing" Target="../drawings/vmlDrawing21.vml"/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2.xml"/><Relationship Id="rId2" Type="http://schemas.openxmlformats.org/officeDocument/2006/relationships/vmlDrawing" Target="../drawings/vmlDrawing22.vml"/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3" Type="http://schemas.openxmlformats.org/officeDocument/2006/relationships/comments" Target="../comments23.xml"/><Relationship Id="rId2" Type="http://schemas.openxmlformats.org/officeDocument/2006/relationships/vmlDrawing" Target="../drawings/vmlDrawing23.vml"/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3" Type="http://schemas.openxmlformats.org/officeDocument/2006/relationships/comments" Target="../comments24.xml"/><Relationship Id="rId2" Type="http://schemas.openxmlformats.org/officeDocument/2006/relationships/vmlDrawing" Target="../drawings/vmlDrawing24.vml"/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3" Type="http://schemas.openxmlformats.org/officeDocument/2006/relationships/comments" Target="../comments25.xml"/><Relationship Id="rId2" Type="http://schemas.openxmlformats.org/officeDocument/2006/relationships/vmlDrawing" Target="../drawings/vmlDrawing25.vml"/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3" Type="http://schemas.openxmlformats.org/officeDocument/2006/relationships/comments" Target="../comments26.xml"/><Relationship Id="rId2" Type="http://schemas.openxmlformats.org/officeDocument/2006/relationships/vmlDrawing" Target="../drawings/vmlDrawing26.vml"/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3" Type="http://schemas.openxmlformats.org/officeDocument/2006/relationships/comments" Target="../comments27.xml"/><Relationship Id="rId2" Type="http://schemas.openxmlformats.org/officeDocument/2006/relationships/vmlDrawing" Target="../drawings/vmlDrawing27.vml"/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3" Type="http://schemas.openxmlformats.org/officeDocument/2006/relationships/comments" Target="../comments28.xml"/><Relationship Id="rId2" Type="http://schemas.openxmlformats.org/officeDocument/2006/relationships/vmlDrawing" Target="../drawings/vmlDrawing28.vml"/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3" Type="http://schemas.openxmlformats.org/officeDocument/2006/relationships/comments" Target="../comments29.xml"/><Relationship Id="rId2" Type="http://schemas.openxmlformats.org/officeDocument/2006/relationships/vmlDrawing" Target="../drawings/vmlDrawing29.vml"/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3" Type="http://schemas.openxmlformats.org/officeDocument/2006/relationships/comments" Target="../comments30.xml"/><Relationship Id="rId2" Type="http://schemas.openxmlformats.org/officeDocument/2006/relationships/vmlDrawing" Target="../drawings/vmlDrawing30.vml"/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3" Type="http://schemas.openxmlformats.org/officeDocument/2006/relationships/comments" Target="../comments31.xml"/><Relationship Id="rId2" Type="http://schemas.openxmlformats.org/officeDocument/2006/relationships/vmlDrawing" Target="../drawings/vmlDrawing31.vml"/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3" Type="http://schemas.openxmlformats.org/officeDocument/2006/relationships/comments" Target="../comments32.xml"/><Relationship Id="rId2" Type="http://schemas.openxmlformats.org/officeDocument/2006/relationships/vmlDrawing" Target="../drawings/vmlDrawing32.vml"/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3" Type="http://schemas.openxmlformats.org/officeDocument/2006/relationships/comments" Target="../comments33.xml"/><Relationship Id="rId2" Type="http://schemas.openxmlformats.org/officeDocument/2006/relationships/vmlDrawing" Target="../drawings/vmlDrawing33.vml"/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3" Type="http://schemas.openxmlformats.org/officeDocument/2006/relationships/comments" Target="../comments34.xml"/><Relationship Id="rId2" Type="http://schemas.openxmlformats.org/officeDocument/2006/relationships/vmlDrawing" Target="../drawings/vmlDrawing34.vml"/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3" Type="http://schemas.openxmlformats.org/officeDocument/2006/relationships/comments" Target="../comments35.xml"/><Relationship Id="rId2" Type="http://schemas.openxmlformats.org/officeDocument/2006/relationships/vmlDrawing" Target="../drawings/vmlDrawing35.vml"/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3" Type="http://schemas.openxmlformats.org/officeDocument/2006/relationships/comments" Target="../comments36.xml"/><Relationship Id="rId2" Type="http://schemas.openxmlformats.org/officeDocument/2006/relationships/vmlDrawing" Target="../drawings/vmlDrawing36.vml"/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3" Type="http://schemas.openxmlformats.org/officeDocument/2006/relationships/comments" Target="../comments37.xml"/><Relationship Id="rId2" Type="http://schemas.openxmlformats.org/officeDocument/2006/relationships/vmlDrawing" Target="../drawings/vmlDrawing37.vml"/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3" Type="http://schemas.openxmlformats.org/officeDocument/2006/relationships/comments" Target="../comments38.xml"/><Relationship Id="rId2" Type="http://schemas.openxmlformats.org/officeDocument/2006/relationships/vmlDrawing" Target="../drawings/vmlDrawing38.vml"/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3" Type="http://schemas.openxmlformats.org/officeDocument/2006/relationships/comments" Target="../comments39.xml"/><Relationship Id="rId2" Type="http://schemas.openxmlformats.org/officeDocument/2006/relationships/vmlDrawing" Target="../drawings/vmlDrawing39.vml"/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3" Type="http://schemas.openxmlformats.org/officeDocument/2006/relationships/comments" Target="../comments40.xml"/><Relationship Id="rId2" Type="http://schemas.openxmlformats.org/officeDocument/2006/relationships/vmlDrawing" Target="../drawings/vmlDrawing40.vml"/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3" Type="http://schemas.openxmlformats.org/officeDocument/2006/relationships/comments" Target="../comments41.xml"/><Relationship Id="rId2" Type="http://schemas.openxmlformats.org/officeDocument/2006/relationships/vmlDrawing" Target="../drawings/vmlDrawing41.vml"/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3" Type="http://schemas.openxmlformats.org/officeDocument/2006/relationships/comments" Target="../comments42.xml"/><Relationship Id="rId2" Type="http://schemas.openxmlformats.org/officeDocument/2006/relationships/vmlDrawing" Target="../drawings/vmlDrawing42.vml"/><Relationship Id="rId1" Type="http://schemas.openxmlformats.org/officeDocument/2006/relationships/printerSettings" Target="../printerSettings/printerSettings43.bin"/></Relationships>
</file>

<file path=xl/worksheets/_rels/sheet44.xml.rels><?xml version="1.0" encoding="UTF-8" standalone="yes"?>
<Relationships xmlns="http://schemas.openxmlformats.org/package/2006/relationships"><Relationship Id="rId3" Type="http://schemas.openxmlformats.org/officeDocument/2006/relationships/comments" Target="../comments43.xml"/><Relationship Id="rId2" Type="http://schemas.openxmlformats.org/officeDocument/2006/relationships/vmlDrawing" Target="../drawings/vmlDrawing43.vml"/><Relationship Id="rId1" Type="http://schemas.openxmlformats.org/officeDocument/2006/relationships/printerSettings" Target="../printerSettings/printerSettings44.bin"/></Relationships>
</file>

<file path=xl/worksheets/_rels/sheet45.xml.rels><?xml version="1.0" encoding="UTF-8" standalone="yes"?>
<Relationships xmlns="http://schemas.openxmlformats.org/package/2006/relationships"><Relationship Id="rId3" Type="http://schemas.openxmlformats.org/officeDocument/2006/relationships/comments" Target="../comments44.xml"/><Relationship Id="rId2" Type="http://schemas.openxmlformats.org/officeDocument/2006/relationships/vmlDrawing" Target="../drawings/vmlDrawing44.vml"/><Relationship Id="rId1" Type="http://schemas.openxmlformats.org/officeDocument/2006/relationships/printerSettings" Target="../printerSettings/printerSettings45.bin"/></Relationships>
</file>

<file path=xl/worksheets/_rels/sheet46.xml.rels><?xml version="1.0" encoding="UTF-8" standalone="yes"?>
<Relationships xmlns="http://schemas.openxmlformats.org/package/2006/relationships"><Relationship Id="rId3" Type="http://schemas.openxmlformats.org/officeDocument/2006/relationships/comments" Target="../comments45.xml"/><Relationship Id="rId2" Type="http://schemas.openxmlformats.org/officeDocument/2006/relationships/vmlDrawing" Target="../drawings/vmlDrawing45.vml"/><Relationship Id="rId1" Type="http://schemas.openxmlformats.org/officeDocument/2006/relationships/printerSettings" Target="../printerSettings/printerSettings46.bin"/></Relationships>
</file>

<file path=xl/worksheets/_rels/sheet47.xml.rels><?xml version="1.0" encoding="UTF-8" standalone="yes"?>
<Relationships xmlns="http://schemas.openxmlformats.org/package/2006/relationships"><Relationship Id="rId3" Type="http://schemas.openxmlformats.org/officeDocument/2006/relationships/comments" Target="../comments46.xml"/><Relationship Id="rId2" Type="http://schemas.openxmlformats.org/officeDocument/2006/relationships/vmlDrawing" Target="../drawings/vmlDrawing46.vml"/><Relationship Id="rId1" Type="http://schemas.openxmlformats.org/officeDocument/2006/relationships/printerSettings" Target="../printerSettings/printerSettings47.bin"/></Relationships>
</file>

<file path=xl/worksheets/_rels/sheet48.xml.rels><?xml version="1.0" encoding="UTF-8" standalone="yes"?>
<Relationships xmlns="http://schemas.openxmlformats.org/package/2006/relationships"><Relationship Id="rId3" Type="http://schemas.openxmlformats.org/officeDocument/2006/relationships/comments" Target="../comments47.xml"/><Relationship Id="rId2" Type="http://schemas.openxmlformats.org/officeDocument/2006/relationships/vmlDrawing" Target="../drawings/vmlDrawing47.vml"/><Relationship Id="rId1" Type="http://schemas.openxmlformats.org/officeDocument/2006/relationships/printerSettings" Target="../printerSettings/printerSettings48.bin"/></Relationships>
</file>

<file path=xl/worksheets/_rels/sheet49.xml.rels><?xml version="1.0" encoding="UTF-8" standalone="yes"?>
<Relationships xmlns="http://schemas.openxmlformats.org/package/2006/relationships"><Relationship Id="rId3" Type="http://schemas.openxmlformats.org/officeDocument/2006/relationships/comments" Target="../comments48.xml"/><Relationship Id="rId2" Type="http://schemas.openxmlformats.org/officeDocument/2006/relationships/vmlDrawing" Target="../drawings/vmlDrawing48.vml"/><Relationship Id="rId1" Type="http://schemas.openxmlformats.org/officeDocument/2006/relationships/printerSettings" Target="../printerSettings/printerSettings49.bin"/></Relationships>
</file>

<file path=xl/worksheets/_rels/sheet50.xml.rels><?xml version="1.0" encoding="UTF-8" standalone="yes"?>
<Relationships xmlns="http://schemas.openxmlformats.org/package/2006/relationships"><Relationship Id="rId3" Type="http://schemas.openxmlformats.org/officeDocument/2006/relationships/comments" Target="../comments49.xml"/><Relationship Id="rId2" Type="http://schemas.openxmlformats.org/officeDocument/2006/relationships/vmlDrawing" Target="../drawings/vmlDrawing49.vml"/><Relationship Id="rId1" Type="http://schemas.openxmlformats.org/officeDocument/2006/relationships/printerSettings" Target="../printerSettings/printerSettings5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3"/>
    <pageSetUpPr fitToPage="1"/>
  </sheetPr>
  <dimension ref="B3:C29"/>
  <sheetViews>
    <sheetView workbookViewId="0">
      <selection activeCell="B54" sqref="B54"/>
    </sheetView>
  </sheetViews>
  <sheetFormatPr defaultRowHeight="12.75"/>
  <cols>
    <col min="2" max="2" width="20.42578125" customWidth="1"/>
    <col min="3" max="3" width="119.85546875" customWidth="1"/>
  </cols>
  <sheetData>
    <row r="3" spans="2:3">
      <c r="B3" t="s">
        <v>0</v>
      </c>
    </row>
    <row r="5" spans="2:3">
      <c r="B5" t="s">
        <v>1</v>
      </c>
      <c r="C5" t="s">
        <v>2</v>
      </c>
    </row>
    <row r="6" spans="2:3">
      <c r="C6" t="s">
        <v>3</v>
      </c>
    </row>
    <row r="7" spans="2:3">
      <c r="C7" t="s">
        <v>4</v>
      </c>
    </row>
    <row r="9" spans="2:3">
      <c r="B9" t="s">
        <v>5</v>
      </c>
      <c r="C9" t="s">
        <v>6</v>
      </c>
    </row>
    <row r="10" spans="2:3">
      <c r="C10" t="s">
        <v>7</v>
      </c>
    </row>
    <row r="12" spans="2:3">
      <c r="B12" t="s">
        <v>8</v>
      </c>
      <c r="C12" t="s">
        <v>9</v>
      </c>
    </row>
    <row r="13" spans="2:3">
      <c r="C13" t="s">
        <v>10</v>
      </c>
    </row>
    <row r="15" spans="2:3">
      <c r="B15" t="s">
        <v>11</v>
      </c>
      <c r="C15" t="s">
        <v>12</v>
      </c>
    </row>
    <row r="16" spans="2:3">
      <c r="C16" t="s">
        <v>13</v>
      </c>
    </row>
    <row r="18" spans="2:3">
      <c r="B18" t="s">
        <v>14</v>
      </c>
      <c r="C18" t="s">
        <v>15</v>
      </c>
    </row>
    <row r="20" spans="2:3">
      <c r="B20" t="s">
        <v>16</v>
      </c>
      <c r="C20" t="s">
        <v>17</v>
      </c>
    </row>
    <row r="22" spans="2:3" ht="25.5">
      <c r="C22" s="9" t="s">
        <v>18</v>
      </c>
    </row>
    <row r="24" spans="2:3">
      <c r="B24" t="s">
        <v>19</v>
      </c>
      <c r="C24" t="s">
        <v>20</v>
      </c>
    </row>
    <row r="27" spans="2:3">
      <c r="B27" t="s">
        <v>21</v>
      </c>
    </row>
    <row r="29" spans="2:3">
      <c r="C29" t="s">
        <v>22</v>
      </c>
    </row>
  </sheetData>
  <phoneticPr fontId="6" type="noConversion"/>
  <pageMargins left="0.75" right="0.75" top="1" bottom="1" header="0.5" footer="0.5"/>
  <pageSetup scale="83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FF00"/>
    <pageSetUpPr fitToPage="1"/>
  </sheetPr>
  <dimension ref="A1:Q100"/>
  <sheetViews>
    <sheetView showGridLines="0" workbookViewId="0">
      <pane xSplit="1" ySplit="3" topLeftCell="B4" activePane="bottomRight" state="frozen"/>
      <selection pane="topRight" activeCell="B66" sqref="B66"/>
      <selection pane="bottomLeft" activeCell="B66" sqref="B66"/>
      <selection pane="bottomRight" activeCell="B66" sqref="B66"/>
    </sheetView>
  </sheetViews>
  <sheetFormatPr defaultRowHeight="12.75"/>
  <cols>
    <col min="1" max="1" width="35.42578125" customWidth="1"/>
    <col min="2" max="2" width="14" customWidth="1"/>
    <col min="3" max="3" width="12.5703125" customWidth="1"/>
    <col min="4" max="4" width="12.140625" customWidth="1"/>
    <col min="5" max="5" width="13.5703125" customWidth="1"/>
    <col min="6" max="6" width="12.85546875" customWidth="1"/>
    <col min="7" max="7" width="12.5703125" style="6" customWidth="1"/>
    <col min="8" max="9" width="12.85546875" customWidth="1"/>
    <col min="10" max="11" width="12.140625" customWidth="1"/>
    <col min="12" max="13" width="12.85546875" customWidth="1"/>
    <col min="14" max="14" width="12.85546875" bestFit="1" customWidth="1"/>
    <col min="15" max="15" width="10.140625" bestFit="1" customWidth="1"/>
    <col min="16" max="16" width="13.140625" bestFit="1" customWidth="1"/>
  </cols>
  <sheetData>
    <row r="1" spans="1:15" ht="13.5" thickBot="1">
      <c r="A1" s="46" t="s">
        <v>23</v>
      </c>
      <c r="E1" s="6"/>
      <c r="F1" s="6"/>
      <c r="J1" s="6"/>
      <c r="K1" s="6"/>
      <c r="N1" s="3"/>
    </row>
    <row r="2" spans="1:15">
      <c r="B2" s="45" t="s">
        <v>24</v>
      </c>
      <c r="C2" s="45" t="s">
        <v>24</v>
      </c>
      <c r="D2" s="45" t="s">
        <v>24</v>
      </c>
      <c r="E2" s="45" t="s">
        <v>24</v>
      </c>
      <c r="F2" s="45" t="s">
        <v>24</v>
      </c>
      <c r="G2" s="45" t="s">
        <v>24</v>
      </c>
      <c r="H2" s="45" t="s">
        <v>24</v>
      </c>
      <c r="I2" s="45" t="s">
        <v>24</v>
      </c>
      <c r="J2" s="45" t="s">
        <v>24</v>
      </c>
      <c r="K2" s="45" t="s">
        <v>24</v>
      </c>
      <c r="L2" s="45" t="s">
        <v>24</v>
      </c>
      <c r="M2" s="45" t="s">
        <v>24</v>
      </c>
      <c r="N2" s="55" t="s">
        <v>25</v>
      </c>
    </row>
    <row r="3" spans="1:15" s="5" customFormat="1">
      <c r="B3" s="11">
        <v>42187</v>
      </c>
      <c r="C3" s="11">
        <v>42218</v>
      </c>
      <c r="D3" s="11">
        <v>42249</v>
      </c>
      <c r="E3" s="11">
        <v>42279</v>
      </c>
      <c r="F3" s="11">
        <v>42310</v>
      </c>
      <c r="G3" s="11">
        <v>42340</v>
      </c>
      <c r="H3" s="11">
        <v>42371</v>
      </c>
      <c r="I3" s="11">
        <v>42402</v>
      </c>
      <c r="J3" s="11">
        <v>42431</v>
      </c>
      <c r="K3" s="11">
        <v>42462</v>
      </c>
      <c r="L3" s="11">
        <v>42492</v>
      </c>
      <c r="M3" s="11">
        <v>42523</v>
      </c>
      <c r="N3" s="57" t="s">
        <v>26</v>
      </c>
    </row>
    <row r="4" spans="1:15">
      <c r="A4" s="1" t="s">
        <v>27</v>
      </c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>
        <f>SUM(B4:M4)</f>
        <v>0</v>
      </c>
      <c r="O4" s="6"/>
    </row>
    <row r="5" spans="1:15" s="6" customFormat="1">
      <c r="A5" s="6" t="s">
        <v>28</v>
      </c>
      <c r="B5" s="53">
        <v>1260836</v>
      </c>
      <c r="C5" s="53">
        <v>5180219</v>
      </c>
      <c r="D5" s="53">
        <v>3898090</v>
      </c>
      <c r="E5" s="53">
        <v>3622571</v>
      </c>
      <c r="F5" s="53">
        <v>2472212</v>
      </c>
      <c r="G5" s="53">
        <v>2263447</v>
      </c>
      <c r="H5" s="53">
        <v>4725477</v>
      </c>
      <c r="I5" s="53">
        <v>3252593</v>
      </c>
      <c r="J5" s="53">
        <v>3205727</v>
      </c>
      <c r="K5" s="53">
        <v>3042134</v>
      </c>
      <c r="L5" s="53">
        <v>2412136</v>
      </c>
      <c r="M5" s="64">
        <v>1300984</v>
      </c>
      <c r="N5" s="12">
        <f>SUM(B5:M5)</f>
        <v>36636426</v>
      </c>
    </row>
    <row r="6" spans="1:15" s="6" customFormat="1">
      <c r="A6" s="6" t="s">
        <v>29</v>
      </c>
      <c r="B6" s="53">
        <v>24269</v>
      </c>
      <c r="C6" s="53">
        <v>64025</v>
      </c>
      <c r="D6" s="53">
        <v>259674</v>
      </c>
      <c r="E6" s="53">
        <v>87432</v>
      </c>
      <c r="F6" s="53">
        <v>48121</v>
      </c>
      <c r="G6" s="53">
        <v>55259</v>
      </c>
      <c r="H6" s="53">
        <v>40648</v>
      </c>
      <c r="I6" s="53">
        <v>50858</v>
      </c>
      <c r="J6" s="53">
        <v>185361</v>
      </c>
      <c r="K6" s="53">
        <v>194680</v>
      </c>
      <c r="L6" s="53">
        <v>168246</v>
      </c>
      <c r="M6" s="53">
        <v>154354</v>
      </c>
      <c r="N6" s="7">
        <f>SUM(B6:M6)</f>
        <v>1332927</v>
      </c>
    </row>
    <row r="7" spans="1:15" s="6" customFormat="1">
      <c r="B7" s="7"/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7">
        <f>SUM(B7:M7)</f>
        <v>0</v>
      </c>
    </row>
    <row r="8" spans="1:15" s="6" customFormat="1">
      <c r="B8" s="15"/>
      <c r="C8" s="15"/>
      <c r="D8" s="15"/>
      <c r="E8" s="15"/>
      <c r="F8" s="15"/>
      <c r="G8" s="15"/>
      <c r="H8" s="15"/>
      <c r="I8" s="15"/>
      <c r="J8" s="15"/>
      <c r="K8" s="15"/>
      <c r="L8" s="15"/>
      <c r="M8" s="15"/>
      <c r="N8" s="15">
        <f>SUM(B8:M8)</f>
        <v>0</v>
      </c>
    </row>
    <row r="9" spans="1:15" s="6" customFormat="1">
      <c r="A9" s="13" t="s">
        <v>30</v>
      </c>
      <c r="B9" s="12">
        <f t="shared" ref="B9:N9" si="0">SUM(B5:B8)</f>
        <v>1285105</v>
      </c>
      <c r="C9" s="12">
        <f t="shared" si="0"/>
        <v>5244244</v>
      </c>
      <c r="D9" s="12">
        <f t="shared" si="0"/>
        <v>4157764</v>
      </c>
      <c r="E9" s="12">
        <f t="shared" si="0"/>
        <v>3710003</v>
      </c>
      <c r="F9" s="12">
        <f t="shared" si="0"/>
        <v>2520333</v>
      </c>
      <c r="G9" s="12">
        <f t="shared" si="0"/>
        <v>2318706</v>
      </c>
      <c r="H9" s="12">
        <f t="shared" si="0"/>
        <v>4766125</v>
      </c>
      <c r="I9" s="12">
        <f t="shared" si="0"/>
        <v>3303451</v>
      </c>
      <c r="J9" s="12">
        <f t="shared" si="0"/>
        <v>3391088</v>
      </c>
      <c r="K9" s="12">
        <f t="shared" si="0"/>
        <v>3236814</v>
      </c>
      <c r="L9" s="12">
        <f t="shared" si="0"/>
        <v>2580382</v>
      </c>
      <c r="M9" s="12">
        <f t="shared" si="0"/>
        <v>1455338</v>
      </c>
      <c r="N9" s="12">
        <f t="shared" si="0"/>
        <v>37969353</v>
      </c>
    </row>
    <row r="10" spans="1:15" s="6" customFormat="1" ht="6.75" customHeight="1"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</row>
    <row r="11" spans="1:15" s="6" customFormat="1">
      <c r="A11" s="13" t="s">
        <v>31</v>
      </c>
      <c r="B11" s="7">
        <f>16770-5788</f>
        <v>10982</v>
      </c>
      <c r="C11" s="7">
        <f>518+300</f>
        <v>818</v>
      </c>
      <c r="D11" s="7">
        <v>400</v>
      </c>
      <c r="E11" s="7">
        <v>20000</v>
      </c>
      <c r="F11" s="7">
        <v>1522</v>
      </c>
      <c r="G11" s="7">
        <v>1865</v>
      </c>
      <c r="H11" s="7">
        <v>1448</v>
      </c>
      <c r="I11" s="7">
        <v>1152</v>
      </c>
      <c r="J11" s="7">
        <v>0</v>
      </c>
      <c r="K11" s="7">
        <v>-659</v>
      </c>
      <c r="L11" s="7">
        <f>725+600</f>
        <v>1325</v>
      </c>
      <c r="M11" s="39">
        <f>57655-7029</f>
        <v>50626</v>
      </c>
      <c r="N11" s="7">
        <f>SUM(B11:M11)</f>
        <v>89479</v>
      </c>
    </row>
    <row r="12" spans="1:15" s="6" customFormat="1" ht="7.5" customHeight="1">
      <c r="B12" s="7"/>
      <c r="C12" s="7"/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</row>
    <row r="13" spans="1:15" s="6" customFormat="1" ht="13.5" thickBot="1">
      <c r="A13" s="13" t="s">
        <v>32</v>
      </c>
      <c r="B13" s="14">
        <f t="shared" ref="B13:N13" si="1">B9+B11</f>
        <v>1296087</v>
      </c>
      <c r="C13" s="14">
        <f>C9+C11</f>
        <v>5245062</v>
      </c>
      <c r="D13" s="14">
        <f t="shared" si="1"/>
        <v>4158164</v>
      </c>
      <c r="E13" s="14">
        <f t="shared" si="1"/>
        <v>3730003</v>
      </c>
      <c r="F13" s="14">
        <f t="shared" si="1"/>
        <v>2521855</v>
      </c>
      <c r="G13" s="14">
        <f t="shared" si="1"/>
        <v>2320571</v>
      </c>
      <c r="H13" s="14">
        <f t="shared" si="1"/>
        <v>4767573</v>
      </c>
      <c r="I13" s="14">
        <f t="shared" si="1"/>
        <v>3304603</v>
      </c>
      <c r="J13" s="14">
        <f t="shared" si="1"/>
        <v>3391088</v>
      </c>
      <c r="K13" s="14">
        <f t="shared" si="1"/>
        <v>3236155</v>
      </c>
      <c r="L13" s="14">
        <f t="shared" si="1"/>
        <v>2581707</v>
      </c>
      <c r="M13" s="14">
        <f t="shared" si="1"/>
        <v>1505964</v>
      </c>
      <c r="N13" s="14">
        <f t="shared" si="1"/>
        <v>38058832</v>
      </c>
    </row>
    <row r="14" spans="1:15" s="6" customFormat="1" ht="13.5" thickTop="1">
      <c r="B14" s="7"/>
      <c r="C14" s="7"/>
      <c r="D14" s="7"/>
      <c r="E14" s="7"/>
      <c r="F14" s="7"/>
      <c r="G14" s="7"/>
      <c r="H14" s="7"/>
      <c r="I14" s="7"/>
      <c r="J14" s="7"/>
      <c r="K14" s="7"/>
      <c r="L14" s="7"/>
      <c r="M14" s="7"/>
    </row>
    <row r="15" spans="1:15" s="6" customFormat="1">
      <c r="A15" s="13" t="s">
        <v>33</v>
      </c>
      <c r="B15" s="7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</row>
    <row r="16" spans="1:15" s="6" customFormat="1">
      <c r="A16" s="6" t="s">
        <v>34</v>
      </c>
      <c r="B16" s="53">
        <v>585889</v>
      </c>
      <c r="C16" s="53">
        <v>3216024</v>
      </c>
      <c r="D16" s="53">
        <v>1662271</v>
      </c>
      <c r="E16" s="53">
        <v>1314506</v>
      </c>
      <c r="F16" s="53">
        <v>871920</v>
      </c>
      <c r="G16" s="53">
        <v>898493</v>
      </c>
      <c r="H16" s="53">
        <v>2711294</v>
      </c>
      <c r="I16" s="53">
        <v>1272552</v>
      </c>
      <c r="J16" s="53">
        <v>1098757</v>
      </c>
      <c r="K16" s="53">
        <v>1166440</v>
      </c>
      <c r="L16" s="53">
        <v>1032470</v>
      </c>
      <c r="M16" s="53">
        <v>720006</v>
      </c>
      <c r="N16" s="7">
        <f>SUM(B16:M16)</f>
        <v>16550622</v>
      </c>
    </row>
    <row r="17" spans="1:14" s="6" customFormat="1">
      <c r="B17" s="27"/>
      <c r="C17" s="27"/>
      <c r="D17" s="27"/>
      <c r="E17" s="27"/>
      <c r="F17" s="27"/>
      <c r="G17" s="27"/>
      <c r="H17" s="27"/>
      <c r="I17" s="27"/>
      <c r="J17" s="27"/>
      <c r="K17" s="27"/>
      <c r="L17" s="27"/>
      <c r="M17" s="27"/>
      <c r="N17" s="7">
        <f>SUM(B17:M17)</f>
        <v>0</v>
      </c>
    </row>
    <row r="18" spans="1:14" s="6" customFormat="1">
      <c r="B18" s="7"/>
      <c r="C18" s="7"/>
      <c r="D18" s="7"/>
      <c r="E18" s="7"/>
      <c r="F18" s="7"/>
      <c r="G18" s="7"/>
      <c r="H18" s="7"/>
      <c r="I18" s="7"/>
      <c r="J18" s="7"/>
      <c r="K18" s="7"/>
      <c r="L18" s="7"/>
      <c r="M18" s="7"/>
      <c r="N18" s="7">
        <v>0</v>
      </c>
    </row>
    <row r="19" spans="1:14" s="6" customFormat="1">
      <c r="B19" s="15"/>
      <c r="C19" s="15"/>
      <c r="D19" s="15"/>
      <c r="E19" s="15"/>
      <c r="F19" s="15"/>
      <c r="G19" s="15"/>
      <c r="H19" s="15"/>
      <c r="I19" s="15"/>
      <c r="J19" s="15"/>
      <c r="K19" s="15"/>
      <c r="L19" s="15"/>
      <c r="M19" s="15"/>
      <c r="N19" s="15">
        <f>SUM(B19:M19)</f>
        <v>0</v>
      </c>
    </row>
    <row r="20" spans="1:14" s="6" customFormat="1">
      <c r="A20" s="13" t="s">
        <v>35</v>
      </c>
      <c r="B20" s="12">
        <f t="shared" ref="B20:N20" si="2">SUM(B16:B19)</f>
        <v>585889</v>
      </c>
      <c r="C20" s="12">
        <f t="shared" si="2"/>
        <v>3216024</v>
      </c>
      <c r="D20" s="12">
        <f t="shared" si="2"/>
        <v>1662271</v>
      </c>
      <c r="E20" s="12">
        <f t="shared" si="2"/>
        <v>1314506</v>
      </c>
      <c r="F20" s="12">
        <f t="shared" si="2"/>
        <v>871920</v>
      </c>
      <c r="G20" s="12">
        <f t="shared" si="2"/>
        <v>898493</v>
      </c>
      <c r="H20" s="12">
        <f t="shared" si="2"/>
        <v>2711294</v>
      </c>
      <c r="I20" s="12">
        <f t="shared" si="2"/>
        <v>1272552</v>
      </c>
      <c r="J20" s="12">
        <f t="shared" si="2"/>
        <v>1098757</v>
      </c>
      <c r="K20" s="12">
        <f t="shared" si="2"/>
        <v>1166440</v>
      </c>
      <c r="L20" s="12">
        <f t="shared" si="2"/>
        <v>1032470</v>
      </c>
      <c r="M20" s="12">
        <f t="shared" si="2"/>
        <v>720006</v>
      </c>
      <c r="N20" s="12">
        <f t="shared" si="2"/>
        <v>16550622</v>
      </c>
    </row>
    <row r="21" spans="1:14" s="6" customFormat="1">
      <c r="B21" s="7"/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</row>
    <row r="22" spans="1:14" s="6" customFormat="1">
      <c r="A22" s="13" t="s">
        <v>36</v>
      </c>
      <c r="B22" s="7"/>
      <c r="C22" s="7"/>
      <c r="D22" s="7"/>
      <c r="E22" s="7"/>
      <c r="F22" s="7"/>
      <c r="G22" s="7"/>
      <c r="H22" s="7"/>
      <c r="I22" s="7"/>
      <c r="J22" s="7"/>
      <c r="K22" s="7"/>
      <c r="L22" s="7"/>
      <c r="M22" s="7"/>
    </row>
    <row r="23" spans="1:14" s="6" customFormat="1">
      <c r="A23" s="6" t="s">
        <v>37</v>
      </c>
      <c r="B23" s="7">
        <f t="shared" ref="B23:M26" si="3">+B5-B16</f>
        <v>674947</v>
      </c>
      <c r="C23" s="7">
        <f t="shared" si="3"/>
        <v>1964195</v>
      </c>
      <c r="D23" s="7">
        <f t="shared" si="3"/>
        <v>2235819</v>
      </c>
      <c r="E23" s="7">
        <f t="shared" si="3"/>
        <v>2308065</v>
      </c>
      <c r="F23" s="7">
        <f t="shared" si="3"/>
        <v>1600292</v>
      </c>
      <c r="G23" s="7">
        <f t="shared" si="3"/>
        <v>1364954</v>
      </c>
      <c r="H23" s="7">
        <f t="shared" si="3"/>
        <v>2014183</v>
      </c>
      <c r="I23" s="7">
        <f t="shared" si="3"/>
        <v>1980041</v>
      </c>
      <c r="J23" s="7">
        <f t="shared" si="3"/>
        <v>2106970</v>
      </c>
      <c r="K23" s="7">
        <f t="shared" si="3"/>
        <v>1875694</v>
      </c>
      <c r="L23" s="7">
        <f t="shared" si="3"/>
        <v>1379666</v>
      </c>
      <c r="M23" s="7">
        <f t="shared" si="3"/>
        <v>580978</v>
      </c>
      <c r="N23" s="7">
        <f>SUM(B23:M23)</f>
        <v>20085804</v>
      </c>
    </row>
    <row r="24" spans="1:14" s="6" customFormat="1">
      <c r="A24" s="6" t="s">
        <v>37</v>
      </c>
      <c r="B24" s="7">
        <f t="shared" si="3"/>
        <v>24269</v>
      </c>
      <c r="C24" s="7">
        <f t="shared" si="3"/>
        <v>64025</v>
      </c>
      <c r="D24" s="7">
        <f t="shared" si="3"/>
        <v>259674</v>
      </c>
      <c r="E24" s="7">
        <f t="shared" si="3"/>
        <v>87432</v>
      </c>
      <c r="F24" s="7">
        <f t="shared" si="3"/>
        <v>48121</v>
      </c>
      <c r="G24" s="7">
        <f t="shared" si="3"/>
        <v>55259</v>
      </c>
      <c r="H24" s="7">
        <f t="shared" si="3"/>
        <v>40648</v>
      </c>
      <c r="I24" s="7">
        <f t="shared" si="3"/>
        <v>50858</v>
      </c>
      <c r="J24" s="7">
        <f t="shared" si="3"/>
        <v>185361</v>
      </c>
      <c r="K24" s="7">
        <f t="shared" si="3"/>
        <v>194680</v>
      </c>
      <c r="L24" s="7">
        <f t="shared" si="3"/>
        <v>168246</v>
      </c>
      <c r="M24" s="7">
        <f t="shared" si="3"/>
        <v>154354</v>
      </c>
      <c r="N24" s="7">
        <f>SUM(B24:M24)</f>
        <v>1332927</v>
      </c>
    </row>
    <row r="25" spans="1:14" s="6" customFormat="1">
      <c r="A25" s="6" t="s">
        <v>38</v>
      </c>
      <c r="B25" s="7">
        <f t="shared" si="3"/>
        <v>0</v>
      </c>
      <c r="C25" s="7">
        <f t="shared" si="3"/>
        <v>0</v>
      </c>
      <c r="D25" s="7">
        <f t="shared" si="3"/>
        <v>0</v>
      </c>
      <c r="E25" s="7">
        <f t="shared" si="3"/>
        <v>0</v>
      </c>
      <c r="F25" s="7">
        <f t="shared" si="3"/>
        <v>0</v>
      </c>
      <c r="G25" s="7">
        <f t="shared" si="3"/>
        <v>0</v>
      </c>
      <c r="H25" s="7">
        <f t="shared" si="3"/>
        <v>0</v>
      </c>
      <c r="I25" s="7">
        <f t="shared" si="3"/>
        <v>0</v>
      </c>
      <c r="J25" s="7">
        <f t="shared" si="3"/>
        <v>0</v>
      </c>
      <c r="K25" s="7">
        <f t="shared" si="3"/>
        <v>0</v>
      </c>
      <c r="L25" s="7">
        <f t="shared" si="3"/>
        <v>0</v>
      </c>
      <c r="M25" s="7">
        <f t="shared" si="3"/>
        <v>0</v>
      </c>
      <c r="N25" s="7">
        <f>SUM(B25:M25)</f>
        <v>0</v>
      </c>
    </row>
    <row r="26" spans="1:14" s="6" customFormat="1">
      <c r="A26" s="6" t="s">
        <v>38</v>
      </c>
      <c r="B26" s="15">
        <f t="shared" si="3"/>
        <v>0</v>
      </c>
      <c r="C26" s="15">
        <f t="shared" si="3"/>
        <v>0</v>
      </c>
      <c r="D26" s="15">
        <f t="shared" si="3"/>
        <v>0</v>
      </c>
      <c r="E26" s="15">
        <f t="shared" si="3"/>
        <v>0</v>
      </c>
      <c r="F26" s="15">
        <f t="shared" si="3"/>
        <v>0</v>
      </c>
      <c r="G26" s="15">
        <f t="shared" si="3"/>
        <v>0</v>
      </c>
      <c r="H26" s="15">
        <f t="shared" si="3"/>
        <v>0</v>
      </c>
      <c r="I26" s="15">
        <f t="shared" si="3"/>
        <v>0</v>
      </c>
      <c r="J26" s="15">
        <f t="shared" si="3"/>
        <v>0</v>
      </c>
      <c r="K26" s="15">
        <f t="shared" si="3"/>
        <v>0</v>
      </c>
      <c r="L26" s="15">
        <f t="shared" si="3"/>
        <v>0</v>
      </c>
      <c r="M26" s="15">
        <f t="shared" si="3"/>
        <v>0</v>
      </c>
      <c r="N26" s="15">
        <f>SUM(B26:M26)</f>
        <v>0</v>
      </c>
    </row>
    <row r="27" spans="1:14" s="6" customFormat="1">
      <c r="A27" s="13" t="s">
        <v>39</v>
      </c>
      <c r="B27" s="12">
        <f t="shared" ref="B27:N27" si="4">SUM(B23:B26)</f>
        <v>699216</v>
      </c>
      <c r="C27" s="12">
        <f t="shared" si="4"/>
        <v>2028220</v>
      </c>
      <c r="D27" s="12">
        <f t="shared" si="4"/>
        <v>2495493</v>
      </c>
      <c r="E27" s="12">
        <f t="shared" si="4"/>
        <v>2395497</v>
      </c>
      <c r="F27" s="12">
        <f t="shared" si="4"/>
        <v>1648413</v>
      </c>
      <c r="G27" s="12">
        <f t="shared" si="4"/>
        <v>1420213</v>
      </c>
      <c r="H27" s="12">
        <f t="shared" si="4"/>
        <v>2054831</v>
      </c>
      <c r="I27" s="12">
        <f t="shared" si="4"/>
        <v>2030899</v>
      </c>
      <c r="J27" s="12">
        <f t="shared" si="4"/>
        <v>2292331</v>
      </c>
      <c r="K27" s="12">
        <f t="shared" si="4"/>
        <v>2070374</v>
      </c>
      <c r="L27" s="12">
        <f t="shared" si="4"/>
        <v>1547912</v>
      </c>
      <c r="M27" s="12">
        <f>SUM(M23:M26)</f>
        <v>735332</v>
      </c>
      <c r="N27" s="12">
        <f t="shared" si="4"/>
        <v>21418731</v>
      </c>
    </row>
    <row r="28" spans="1:14" s="6" customFormat="1">
      <c r="B28" s="7"/>
      <c r="C28" s="7"/>
      <c r="D28" s="7"/>
      <c r="E28" s="7"/>
      <c r="F28" s="7"/>
      <c r="G28" s="7"/>
      <c r="H28" s="7"/>
      <c r="I28" s="7"/>
      <c r="J28" s="7"/>
      <c r="K28" s="7"/>
      <c r="L28" s="7"/>
      <c r="M28" s="7"/>
    </row>
    <row r="29" spans="1:14" s="6" customFormat="1">
      <c r="A29" s="13" t="s">
        <v>40</v>
      </c>
      <c r="B29" s="7"/>
      <c r="C29" s="7"/>
      <c r="D29" s="7"/>
      <c r="E29" s="7"/>
      <c r="F29" s="7"/>
      <c r="G29" s="7"/>
      <c r="H29" s="7"/>
      <c r="I29" s="7"/>
      <c r="J29" s="7"/>
      <c r="K29" s="7"/>
      <c r="L29" s="7"/>
      <c r="M29" s="7"/>
    </row>
    <row r="30" spans="1:14" s="6" customFormat="1">
      <c r="A30" s="6" t="s">
        <v>41</v>
      </c>
      <c r="B30" s="53">
        <v>472749</v>
      </c>
      <c r="C30" s="53">
        <v>515192</v>
      </c>
      <c r="D30" s="53">
        <v>599688</v>
      </c>
      <c r="E30" s="53">
        <v>722646</v>
      </c>
      <c r="F30" s="53">
        <v>526671</v>
      </c>
      <c r="G30" s="53">
        <v>479836</v>
      </c>
      <c r="H30" s="53">
        <v>621287</v>
      </c>
      <c r="I30" s="53">
        <v>636469</v>
      </c>
      <c r="J30" s="53">
        <v>627098</v>
      </c>
      <c r="K30" s="53">
        <v>688845</v>
      </c>
      <c r="L30" s="53">
        <v>595366</v>
      </c>
      <c r="M30" s="53">
        <v>372700</v>
      </c>
      <c r="N30" s="7">
        <f>SUM(B30:M30)</f>
        <v>6858547</v>
      </c>
    </row>
    <row r="31" spans="1:14" s="6" customFormat="1">
      <c r="A31" s="6" t="s">
        <v>42</v>
      </c>
      <c r="B31" s="53">
        <v>253779</v>
      </c>
      <c r="C31" s="53">
        <v>210112</v>
      </c>
      <c r="D31" s="53">
        <v>185921</v>
      </c>
      <c r="E31" s="53">
        <v>194719</v>
      </c>
      <c r="F31" s="53">
        <v>211645</v>
      </c>
      <c r="G31" s="53">
        <v>175408</v>
      </c>
      <c r="H31" s="53">
        <v>215399</v>
      </c>
      <c r="I31" s="53">
        <v>193332</v>
      </c>
      <c r="J31" s="53">
        <v>203244</v>
      </c>
      <c r="K31" s="53">
        <v>188593</v>
      </c>
      <c r="L31" s="53">
        <v>177507</v>
      </c>
      <c r="M31" s="53">
        <v>119141</v>
      </c>
      <c r="N31" s="7">
        <f>SUM(B31:M31)</f>
        <v>2328800</v>
      </c>
    </row>
    <row r="32" spans="1:14" s="6" customFormat="1">
      <c r="A32" s="6" t="s">
        <v>38</v>
      </c>
      <c r="B32" s="7"/>
      <c r="C32" s="7"/>
      <c r="D32" s="7"/>
      <c r="E32" s="7"/>
      <c r="F32" s="7"/>
      <c r="G32" s="7"/>
      <c r="H32" s="7"/>
      <c r="I32" s="7"/>
      <c r="J32" s="7"/>
      <c r="K32" s="7"/>
      <c r="L32" s="7"/>
      <c r="M32" s="7"/>
      <c r="N32" s="7">
        <f>SUM(B32:M32)</f>
        <v>0</v>
      </c>
    </row>
    <row r="33" spans="1:16" s="6" customFormat="1">
      <c r="B33" s="15"/>
      <c r="C33" s="15"/>
      <c r="D33" s="15"/>
      <c r="E33" s="15"/>
      <c r="F33" s="15"/>
      <c r="G33" s="15"/>
      <c r="H33" s="15"/>
      <c r="I33" s="15"/>
      <c r="J33" s="15"/>
      <c r="K33" s="15"/>
      <c r="L33" s="15"/>
      <c r="M33" s="15"/>
      <c r="N33" s="15">
        <f>SUM(B33:M33)</f>
        <v>0</v>
      </c>
    </row>
    <row r="34" spans="1:16" s="6" customFormat="1">
      <c r="A34" s="13" t="s">
        <v>43</v>
      </c>
      <c r="B34" s="12">
        <f t="shared" ref="B34:N34" si="5">SUM(B30:B33)</f>
        <v>726528</v>
      </c>
      <c r="C34" s="12">
        <f t="shared" si="5"/>
        <v>725304</v>
      </c>
      <c r="D34" s="12">
        <f t="shared" si="5"/>
        <v>785609</v>
      </c>
      <c r="E34" s="12">
        <f t="shared" si="5"/>
        <v>917365</v>
      </c>
      <c r="F34" s="12">
        <f t="shared" si="5"/>
        <v>738316</v>
      </c>
      <c r="G34" s="12">
        <f t="shared" si="5"/>
        <v>655244</v>
      </c>
      <c r="H34" s="12">
        <f t="shared" si="5"/>
        <v>836686</v>
      </c>
      <c r="I34" s="12">
        <f t="shared" si="5"/>
        <v>829801</v>
      </c>
      <c r="J34" s="12">
        <f t="shared" si="5"/>
        <v>830342</v>
      </c>
      <c r="K34" s="12">
        <f t="shared" si="5"/>
        <v>877438</v>
      </c>
      <c r="L34" s="12">
        <f t="shared" si="5"/>
        <v>772873</v>
      </c>
      <c r="M34" s="12">
        <f t="shared" si="5"/>
        <v>491841</v>
      </c>
      <c r="N34" s="12">
        <f t="shared" si="5"/>
        <v>9187347</v>
      </c>
      <c r="O34" s="7"/>
    </row>
    <row r="35" spans="1:16" s="6" customFormat="1">
      <c r="B35" s="7"/>
      <c r="C35" s="7"/>
      <c r="D35" s="7"/>
      <c r="E35" s="7"/>
      <c r="F35" s="7"/>
      <c r="G35" s="7"/>
      <c r="H35" s="7"/>
      <c r="I35" s="7"/>
      <c r="J35" s="7"/>
      <c r="K35" s="7"/>
      <c r="L35" s="7"/>
      <c r="M35" s="7"/>
    </row>
    <row r="36" spans="1:16" s="6" customFormat="1">
      <c r="A36" s="13" t="s">
        <v>44</v>
      </c>
      <c r="B36" s="7"/>
      <c r="C36" s="7"/>
      <c r="D36" s="7"/>
      <c r="E36" s="7"/>
      <c r="F36" s="7"/>
      <c r="G36" s="7"/>
      <c r="H36" s="7"/>
      <c r="I36" s="7"/>
      <c r="J36" s="7"/>
      <c r="K36" s="7"/>
      <c r="L36" s="7"/>
      <c r="M36" s="7"/>
    </row>
    <row r="37" spans="1:16" s="6" customFormat="1">
      <c r="A37" s="6" t="s">
        <v>45</v>
      </c>
      <c r="B37" s="53">
        <v>1190556</v>
      </c>
      <c r="C37" s="53">
        <v>1298225</v>
      </c>
      <c r="D37" s="53">
        <v>1484770</v>
      </c>
      <c r="E37" s="53">
        <v>1601442</v>
      </c>
      <c r="F37" s="53">
        <v>1350288</v>
      </c>
      <c r="G37" s="63">
        <v>1180874</v>
      </c>
      <c r="H37" s="63">
        <v>1361339</v>
      </c>
      <c r="I37" s="63">
        <v>1389742</v>
      </c>
      <c r="J37" s="63">
        <v>1438719</v>
      </c>
      <c r="K37" s="53">
        <v>1478876</v>
      </c>
      <c r="L37" s="53">
        <v>1239219</v>
      </c>
      <c r="M37" s="53">
        <v>840903</v>
      </c>
      <c r="N37" s="7">
        <f>SUM(B37:M37)</f>
        <v>15854953</v>
      </c>
      <c r="O37" s="53">
        <v>15957284</v>
      </c>
      <c r="P37" s="62">
        <f>+N37-O37</f>
        <v>-102331</v>
      </c>
    </row>
    <row r="38" spans="1:16" s="6" customFormat="1">
      <c r="A38" s="6" t="s">
        <v>46</v>
      </c>
      <c r="B38" s="7">
        <f>-B34</f>
        <v>-726528</v>
      </c>
      <c r="C38" s="7">
        <f t="shared" ref="C38:M38" si="6">-C34</f>
        <v>-725304</v>
      </c>
      <c r="D38" s="7">
        <f t="shared" si="6"/>
        <v>-785609</v>
      </c>
      <c r="E38" s="7">
        <f t="shared" si="6"/>
        <v>-917365</v>
      </c>
      <c r="F38" s="7">
        <f t="shared" si="6"/>
        <v>-738316</v>
      </c>
      <c r="G38" s="7">
        <f t="shared" si="6"/>
        <v>-655244</v>
      </c>
      <c r="H38" s="7">
        <f t="shared" si="6"/>
        <v>-836686</v>
      </c>
      <c r="I38" s="7">
        <f t="shared" si="6"/>
        <v>-829801</v>
      </c>
      <c r="J38" s="7">
        <f t="shared" si="6"/>
        <v>-830342</v>
      </c>
      <c r="K38" s="7">
        <f t="shared" si="6"/>
        <v>-877438</v>
      </c>
      <c r="L38" s="7">
        <f t="shared" si="6"/>
        <v>-772873</v>
      </c>
      <c r="M38" s="7">
        <f t="shared" si="6"/>
        <v>-491841</v>
      </c>
      <c r="N38" s="7">
        <f>SUM(B38:M38)</f>
        <v>-9187347</v>
      </c>
    </row>
    <row r="39" spans="1:16" s="6" customFormat="1">
      <c r="A39" s="6" t="s">
        <v>47</v>
      </c>
      <c r="B39" s="53">
        <v>-75016</v>
      </c>
      <c r="C39" s="53">
        <v>-74159</v>
      </c>
      <c r="D39" s="53">
        <v>-74053</v>
      </c>
      <c r="E39" s="53">
        <v>-75271</v>
      </c>
      <c r="F39" s="53">
        <v>-75518</v>
      </c>
      <c r="G39" s="53">
        <v>-74876</v>
      </c>
      <c r="H39" s="53">
        <v>-74488</v>
      </c>
      <c r="I39" s="53">
        <v>-74488</v>
      </c>
      <c r="J39" s="53">
        <v>-71920</v>
      </c>
      <c r="K39" s="53">
        <v>-72339</v>
      </c>
      <c r="L39" s="53">
        <v>-71805</v>
      </c>
      <c r="M39" s="53">
        <v>-84258</v>
      </c>
      <c r="N39" s="7">
        <f>SUM(B39:M39)</f>
        <v>-898191</v>
      </c>
    </row>
    <row r="40" spans="1:16" s="6" customFormat="1">
      <c r="A40" s="6" t="s">
        <v>48</v>
      </c>
      <c r="B40" s="60">
        <v>-12633</v>
      </c>
      <c r="C40" s="60">
        <v>-12633</v>
      </c>
      <c r="D40" s="60">
        <v>-12633</v>
      </c>
      <c r="E40" s="60">
        <v>-12633</v>
      </c>
      <c r="F40" s="60">
        <v>-12633</v>
      </c>
      <c r="G40" s="60">
        <v>-10633</v>
      </c>
      <c r="H40" s="60">
        <v>-10633</v>
      </c>
      <c r="I40" s="60">
        <v>-10183</v>
      </c>
      <c r="J40" s="60">
        <v>-10183</v>
      </c>
      <c r="K40" s="60">
        <v>-10183</v>
      </c>
      <c r="L40" s="60">
        <v>-10183</v>
      </c>
      <c r="M40" s="60">
        <v>125163</v>
      </c>
      <c r="N40" s="15">
        <f>SUM(B40:M40)</f>
        <v>0</v>
      </c>
    </row>
    <row r="41" spans="1:16" s="6" customFormat="1">
      <c r="A41" s="13" t="s">
        <v>49</v>
      </c>
      <c r="B41" s="12">
        <f t="shared" ref="B41:N41" si="7">SUM(B37:B40)</f>
        <v>376379</v>
      </c>
      <c r="C41" s="12">
        <f t="shared" si="7"/>
        <v>486129</v>
      </c>
      <c r="D41" s="12">
        <f t="shared" si="7"/>
        <v>612475</v>
      </c>
      <c r="E41" s="12">
        <f t="shared" si="7"/>
        <v>596173</v>
      </c>
      <c r="F41" s="12">
        <f t="shared" si="7"/>
        <v>523821</v>
      </c>
      <c r="G41" s="12">
        <f t="shared" si="7"/>
        <v>440121</v>
      </c>
      <c r="H41" s="12">
        <f t="shared" si="7"/>
        <v>439532</v>
      </c>
      <c r="I41" s="12">
        <f t="shared" si="7"/>
        <v>475270</v>
      </c>
      <c r="J41" s="12">
        <f t="shared" si="7"/>
        <v>526274</v>
      </c>
      <c r="K41" s="12">
        <f t="shared" si="7"/>
        <v>518916</v>
      </c>
      <c r="L41" s="12">
        <f t="shared" si="7"/>
        <v>384358</v>
      </c>
      <c r="M41" s="12">
        <f t="shared" si="7"/>
        <v>389967</v>
      </c>
      <c r="N41" s="12">
        <f t="shared" si="7"/>
        <v>5769415</v>
      </c>
    </row>
    <row r="42" spans="1:16">
      <c r="A42" s="1"/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2"/>
      <c r="N42" s="12"/>
      <c r="O42" s="6"/>
    </row>
    <row r="43" spans="1:16">
      <c r="A43" s="13" t="s">
        <v>50</v>
      </c>
      <c r="B43" s="53">
        <v>290001</v>
      </c>
      <c r="C43" s="53">
        <v>271611</v>
      </c>
      <c r="D43" s="53">
        <v>280237</v>
      </c>
      <c r="E43" s="53">
        <v>393093</v>
      </c>
      <c r="F43" s="53">
        <v>302752</v>
      </c>
      <c r="G43" s="53">
        <v>268998</v>
      </c>
      <c r="H43" s="59">
        <v>327632</v>
      </c>
      <c r="I43" s="53">
        <v>303143</v>
      </c>
      <c r="J43" s="53">
        <v>333414</v>
      </c>
      <c r="K43" s="53">
        <v>393627</v>
      </c>
      <c r="L43" s="53">
        <v>265241</v>
      </c>
      <c r="M43" s="53">
        <v>1785703</v>
      </c>
      <c r="N43" s="12">
        <f>SUM(B43:M43)</f>
        <v>5215452</v>
      </c>
      <c r="O43" s="6"/>
    </row>
    <row r="44" spans="1:16">
      <c r="A44" s="6" t="s">
        <v>51</v>
      </c>
      <c r="B44" s="22">
        <v>-10000</v>
      </c>
      <c r="C44" s="22">
        <v>-10000</v>
      </c>
      <c r="D44" s="22">
        <v>-10000</v>
      </c>
      <c r="E44" s="22">
        <v>-10000</v>
      </c>
      <c r="F44" s="22">
        <v>-10000</v>
      </c>
      <c r="G44" s="22">
        <v>-10000</v>
      </c>
      <c r="H44" s="22">
        <v>-10000</v>
      </c>
      <c r="I44" s="22">
        <v>-10000</v>
      </c>
      <c r="J44" s="22">
        <v>-10000</v>
      </c>
      <c r="K44" s="22">
        <v>-10000</v>
      </c>
      <c r="L44" s="22">
        <v>-10000</v>
      </c>
      <c r="M44" s="22">
        <f>-880337-291720-300000</f>
        <v>-1472057</v>
      </c>
      <c r="N44" s="22">
        <f>SUM(B44:M44)</f>
        <v>-1582057</v>
      </c>
      <c r="O44" s="6"/>
    </row>
    <row r="45" spans="1:16">
      <c r="A45" s="1" t="s">
        <v>50</v>
      </c>
      <c r="B45" s="12">
        <f>SUM(B43:B44)</f>
        <v>280001</v>
      </c>
      <c r="C45" s="12">
        <f>SUM(C43:C44)</f>
        <v>261611</v>
      </c>
      <c r="D45" s="12">
        <f t="shared" ref="D45:N45" si="8">SUM(D43:D44)</f>
        <v>270237</v>
      </c>
      <c r="E45" s="12">
        <f t="shared" si="8"/>
        <v>383093</v>
      </c>
      <c r="F45" s="12">
        <f t="shared" si="8"/>
        <v>292752</v>
      </c>
      <c r="G45" s="12">
        <f t="shared" si="8"/>
        <v>258998</v>
      </c>
      <c r="H45" s="12">
        <f t="shared" si="8"/>
        <v>317632</v>
      </c>
      <c r="I45" s="12">
        <f t="shared" si="8"/>
        <v>293143</v>
      </c>
      <c r="J45" s="12">
        <f t="shared" si="8"/>
        <v>323414</v>
      </c>
      <c r="K45" s="12">
        <f t="shared" si="8"/>
        <v>383627</v>
      </c>
      <c r="L45" s="12">
        <f t="shared" si="8"/>
        <v>255241</v>
      </c>
      <c r="M45" s="32">
        <f t="shared" si="8"/>
        <v>313646</v>
      </c>
      <c r="N45" s="12">
        <f t="shared" si="8"/>
        <v>3633395</v>
      </c>
      <c r="O45" s="6"/>
    </row>
    <row r="46" spans="1:16">
      <c r="B46" s="7"/>
      <c r="C46" s="7"/>
      <c r="D46" s="7"/>
      <c r="E46" s="7"/>
      <c r="F46" s="7"/>
      <c r="G46" s="7"/>
      <c r="H46" s="7"/>
      <c r="I46" s="7"/>
      <c r="J46" s="7"/>
      <c r="K46" s="6"/>
      <c r="L46" s="6"/>
      <c r="M46" s="6"/>
      <c r="N46" s="6"/>
      <c r="O46" s="6"/>
    </row>
    <row r="47" spans="1:16">
      <c r="A47" s="13" t="s">
        <v>52</v>
      </c>
      <c r="B47" s="19">
        <f t="shared" ref="B47:N47" si="9">+B20+B34+B41+B45</f>
        <v>1968797</v>
      </c>
      <c r="C47" s="19">
        <f t="shared" si="9"/>
        <v>4689068</v>
      </c>
      <c r="D47" s="19">
        <f t="shared" si="9"/>
        <v>3330592</v>
      </c>
      <c r="E47" s="19">
        <f t="shared" si="9"/>
        <v>3211137</v>
      </c>
      <c r="F47" s="19">
        <f t="shared" si="9"/>
        <v>2426809</v>
      </c>
      <c r="G47" s="19">
        <f t="shared" si="9"/>
        <v>2252856</v>
      </c>
      <c r="H47" s="19">
        <f t="shared" si="9"/>
        <v>4305144</v>
      </c>
      <c r="I47" s="19">
        <f t="shared" si="9"/>
        <v>2870766</v>
      </c>
      <c r="J47" s="19">
        <f t="shared" si="9"/>
        <v>2778787</v>
      </c>
      <c r="K47" s="19">
        <f t="shared" si="9"/>
        <v>2946421</v>
      </c>
      <c r="L47" s="19">
        <f t="shared" si="9"/>
        <v>2444942</v>
      </c>
      <c r="M47" s="19">
        <f t="shared" si="9"/>
        <v>1915460</v>
      </c>
      <c r="N47" s="19">
        <f t="shared" si="9"/>
        <v>35140779</v>
      </c>
      <c r="O47" s="6"/>
    </row>
    <row r="48" spans="1:16">
      <c r="B48" s="7"/>
      <c r="C48" s="7"/>
      <c r="D48" s="7"/>
      <c r="E48" s="7"/>
      <c r="F48" s="7"/>
      <c r="G48" s="7"/>
      <c r="H48" s="7"/>
      <c r="I48" s="7"/>
      <c r="J48" s="7"/>
      <c r="K48" s="6"/>
      <c r="L48" s="6"/>
      <c r="M48" s="6"/>
      <c r="N48" s="6"/>
      <c r="O48" s="6"/>
    </row>
    <row r="49" spans="1:17">
      <c r="A49" s="1" t="s">
        <v>53</v>
      </c>
      <c r="B49" s="12">
        <f t="shared" ref="B49:M49" si="10">+B13-B47</f>
        <v>-672710</v>
      </c>
      <c r="C49" s="12">
        <f t="shared" si="10"/>
        <v>555994</v>
      </c>
      <c r="D49" s="12">
        <f t="shared" si="10"/>
        <v>827572</v>
      </c>
      <c r="E49" s="12">
        <f t="shared" si="10"/>
        <v>518866</v>
      </c>
      <c r="F49" s="12">
        <f t="shared" si="10"/>
        <v>95046</v>
      </c>
      <c r="G49" s="12">
        <f t="shared" si="10"/>
        <v>67715</v>
      </c>
      <c r="H49" s="12">
        <f t="shared" si="10"/>
        <v>462429</v>
      </c>
      <c r="I49" s="12">
        <f t="shared" si="10"/>
        <v>433837</v>
      </c>
      <c r="J49" s="12">
        <f t="shared" si="10"/>
        <v>612301</v>
      </c>
      <c r="K49" s="12">
        <f t="shared" si="10"/>
        <v>289734</v>
      </c>
      <c r="L49" s="12">
        <f t="shared" si="10"/>
        <v>136765</v>
      </c>
      <c r="M49" s="12">
        <f t="shared" si="10"/>
        <v>-409496</v>
      </c>
      <c r="N49" s="12">
        <f>SUM(B49:M49)</f>
        <v>2918053</v>
      </c>
      <c r="O49" s="6"/>
      <c r="P49" s="25"/>
    </row>
    <row r="50" spans="1:17" ht="7.5" customHeight="1">
      <c r="B50" s="7"/>
      <c r="C50" s="7"/>
      <c r="D50" s="7"/>
      <c r="E50" s="7"/>
      <c r="F50" s="7"/>
      <c r="G50" s="7"/>
      <c r="H50" s="7"/>
      <c r="I50" s="7"/>
      <c r="J50" s="7"/>
      <c r="K50" s="6"/>
      <c r="L50" s="6"/>
      <c r="M50" s="6"/>
      <c r="N50" s="6"/>
      <c r="O50" s="6"/>
    </row>
    <row r="51" spans="1:17">
      <c r="A51" s="1" t="s">
        <v>54</v>
      </c>
      <c r="B51" s="7"/>
      <c r="C51" s="7"/>
      <c r="D51" s="7"/>
      <c r="E51" s="7"/>
      <c r="F51" s="7"/>
      <c r="G51" s="7"/>
      <c r="H51" s="7"/>
      <c r="I51" s="7"/>
      <c r="J51" s="7"/>
      <c r="K51" s="6"/>
      <c r="L51" s="6"/>
      <c r="M51" s="6"/>
      <c r="N51" s="6"/>
      <c r="O51" s="6"/>
    </row>
    <row r="52" spans="1:17" s="6" customFormat="1">
      <c r="A52" s="6" t="s">
        <v>55</v>
      </c>
      <c r="B52" s="10">
        <v>11806</v>
      </c>
      <c r="C52" s="10">
        <v>59991</v>
      </c>
      <c r="D52" s="10">
        <v>585</v>
      </c>
      <c r="E52" s="10">
        <v>95250</v>
      </c>
      <c r="F52" s="10">
        <v>11583</v>
      </c>
      <c r="G52" s="10">
        <v>150864</v>
      </c>
      <c r="H52" s="23">
        <v>205663</v>
      </c>
      <c r="I52" s="10">
        <v>9201</v>
      </c>
      <c r="J52" s="10">
        <v>23627</v>
      </c>
      <c r="K52" s="10">
        <v>6000</v>
      </c>
      <c r="L52" s="10">
        <v>42053</v>
      </c>
      <c r="M52" s="10">
        <v>-41000</v>
      </c>
      <c r="N52" s="10">
        <f>SUM(B52:M52)</f>
        <v>575623</v>
      </c>
      <c r="P52" s="40">
        <f>SUM(B52:J52)</f>
        <v>568570</v>
      </c>
    </row>
    <row r="53" spans="1:17" s="6" customFormat="1">
      <c r="A53" s="6" t="s">
        <v>56</v>
      </c>
      <c r="B53" s="10"/>
      <c r="C53" s="10"/>
      <c r="D53" s="10"/>
      <c r="E53" s="10"/>
      <c r="F53" s="10">
        <v>85000</v>
      </c>
      <c r="G53" s="10"/>
      <c r="H53" s="10"/>
      <c r="I53" s="10"/>
      <c r="J53" s="10"/>
      <c r="K53" s="10"/>
      <c r="L53" s="10"/>
      <c r="M53" s="10"/>
      <c r="N53" s="10">
        <f>SUM(B53:M53)</f>
        <v>85000</v>
      </c>
      <c r="P53" s="7"/>
      <c r="Q53" s="6">
        <v>0</v>
      </c>
    </row>
    <row r="54" spans="1:17" s="6" customFormat="1">
      <c r="A54" s="6" t="s">
        <v>57</v>
      </c>
      <c r="B54" s="10">
        <f>50000+195533</f>
        <v>245533</v>
      </c>
      <c r="C54" s="10">
        <v>50000</v>
      </c>
      <c r="D54" s="10">
        <v>50000</v>
      </c>
      <c r="E54" s="10">
        <v>50000</v>
      </c>
      <c r="F54" s="10">
        <v>50000</v>
      </c>
      <c r="G54" s="10">
        <v>50000</v>
      </c>
      <c r="H54" s="10">
        <v>50000</v>
      </c>
      <c r="I54" s="10">
        <v>0</v>
      </c>
      <c r="J54" s="10">
        <v>0</v>
      </c>
      <c r="K54" s="10">
        <v>50000</v>
      </c>
      <c r="L54" s="10">
        <v>100000</v>
      </c>
      <c r="M54" s="10"/>
      <c r="N54" s="10">
        <f>SUM(B54:M54)</f>
        <v>695533</v>
      </c>
      <c r="P54" s="7"/>
    </row>
    <row r="55" spans="1:17" s="6" customFormat="1">
      <c r="A55" s="37" t="s">
        <v>58</v>
      </c>
      <c r="B55" s="7">
        <v>-5788</v>
      </c>
      <c r="C55" s="7">
        <f>-104-5290</f>
        <v>-5394</v>
      </c>
      <c r="D55" s="7">
        <f>-98-4808</f>
        <v>-4906</v>
      </c>
      <c r="E55" s="7">
        <v>-5357</v>
      </c>
      <c r="F55" s="7">
        <f>-4917-91</f>
        <v>-5008</v>
      </c>
      <c r="G55" s="7">
        <v>-168719</v>
      </c>
      <c r="H55" s="7">
        <f>-5428-35</f>
        <v>-5463</v>
      </c>
      <c r="I55" s="7">
        <f>-3835-90</f>
        <v>-3925</v>
      </c>
      <c r="J55" s="7">
        <v>-5444</v>
      </c>
      <c r="K55" s="7">
        <f>-15741-659</f>
        <v>-16400</v>
      </c>
      <c r="L55" s="7">
        <f>-5587-118</f>
        <v>-5705</v>
      </c>
      <c r="M55" s="7">
        <f>-150819+424</f>
        <v>-150395</v>
      </c>
      <c r="N55" s="7">
        <f>SUM(B55:M55)</f>
        <v>-382504</v>
      </c>
      <c r="P55" s="56"/>
    </row>
    <row r="56" spans="1:17" s="6" customFormat="1">
      <c r="A56" s="6" t="s">
        <v>59</v>
      </c>
      <c r="B56" s="22">
        <v>23306.69</v>
      </c>
      <c r="C56" s="22">
        <v>311029</v>
      </c>
      <c r="D56" s="22">
        <v>264029</v>
      </c>
      <c r="E56" s="22">
        <v>-370264</v>
      </c>
      <c r="F56" s="22">
        <v>44460</v>
      </c>
      <c r="G56" s="22">
        <v>299278</v>
      </c>
      <c r="H56" s="22">
        <v>325286</v>
      </c>
      <c r="I56" s="22">
        <v>36651</v>
      </c>
      <c r="J56" s="22">
        <v>-413865</v>
      </c>
      <c r="K56" s="22">
        <v>-68952</v>
      </c>
      <c r="L56" s="22">
        <v>-3097</v>
      </c>
      <c r="M56" s="22">
        <v>136134</v>
      </c>
      <c r="N56" s="22">
        <f>SUM(B56:M56)</f>
        <v>583995.68999999994</v>
      </c>
      <c r="P56" s="7"/>
    </row>
    <row r="57" spans="1:17" s="6" customFormat="1">
      <c r="A57" s="13" t="s">
        <v>60</v>
      </c>
      <c r="B57" s="19">
        <f t="shared" ref="B57:N57" si="11">SUM(B52:B56)</f>
        <v>274857.69</v>
      </c>
      <c r="C57" s="19">
        <f t="shared" si="11"/>
        <v>415626</v>
      </c>
      <c r="D57" s="19">
        <f t="shared" si="11"/>
        <v>309708</v>
      </c>
      <c r="E57" s="19">
        <f t="shared" si="11"/>
        <v>-230371</v>
      </c>
      <c r="F57" s="19">
        <f t="shared" si="11"/>
        <v>186035</v>
      </c>
      <c r="G57" s="19">
        <f t="shared" si="11"/>
        <v>331423</v>
      </c>
      <c r="H57" s="19">
        <f t="shared" si="11"/>
        <v>575486</v>
      </c>
      <c r="I57" s="19">
        <f t="shared" si="11"/>
        <v>41927</v>
      </c>
      <c r="J57" s="19">
        <f t="shared" si="11"/>
        <v>-395682</v>
      </c>
      <c r="K57" s="19">
        <f t="shared" si="11"/>
        <v>-29352</v>
      </c>
      <c r="L57" s="19">
        <f t="shared" si="11"/>
        <v>133251</v>
      </c>
      <c r="M57" s="19">
        <f t="shared" si="11"/>
        <v>-55261</v>
      </c>
      <c r="N57" s="19">
        <f t="shared" si="11"/>
        <v>1557647.69</v>
      </c>
    </row>
    <row r="58" spans="1:17">
      <c r="B58" s="7"/>
      <c r="C58" s="7"/>
      <c r="D58" s="7"/>
      <c r="E58" s="7"/>
      <c r="F58" s="7"/>
      <c r="G58" s="7"/>
      <c r="H58" s="7"/>
      <c r="I58" s="7"/>
      <c r="J58" s="7"/>
      <c r="K58" s="7"/>
      <c r="L58" s="7"/>
      <c r="M58" s="7"/>
      <c r="N58" s="7"/>
      <c r="O58" s="6"/>
    </row>
    <row r="59" spans="1:17">
      <c r="A59" s="1" t="s">
        <v>61</v>
      </c>
      <c r="B59" s="12">
        <v>11019009</v>
      </c>
      <c r="C59" s="7"/>
      <c r="D59" s="7"/>
      <c r="E59" s="7"/>
      <c r="F59" s="7"/>
      <c r="G59" s="7"/>
      <c r="H59" s="7" t="s">
        <v>38</v>
      </c>
      <c r="I59" s="7"/>
      <c r="J59" s="7"/>
      <c r="K59" s="6"/>
      <c r="L59" s="6"/>
      <c r="M59" s="6"/>
      <c r="N59" s="6"/>
      <c r="O59" s="6"/>
    </row>
    <row r="60" spans="1:17">
      <c r="A60" s="13" t="s">
        <v>62</v>
      </c>
      <c r="B60" s="19">
        <f t="shared" ref="B60:N60" si="12">+B57+B47</f>
        <v>2243654.69</v>
      </c>
      <c r="C60" s="19">
        <f t="shared" si="12"/>
        <v>5104694</v>
      </c>
      <c r="D60" s="19">
        <f t="shared" si="12"/>
        <v>3640300</v>
      </c>
      <c r="E60" s="19">
        <f t="shared" si="12"/>
        <v>2980766</v>
      </c>
      <c r="F60" s="19">
        <f t="shared" si="12"/>
        <v>2612844</v>
      </c>
      <c r="G60" s="19">
        <f t="shared" si="12"/>
        <v>2584279</v>
      </c>
      <c r="H60" s="19">
        <f t="shared" si="12"/>
        <v>4880630</v>
      </c>
      <c r="I60" s="19">
        <f t="shared" si="12"/>
        <v>2912693</v>
      </c>
      <c r="J60" s="19">
        <f t="shared" si="12"/>
        <v>2383105</v>
      </c>
      <c r="K60" s="19">
        <f t="shared" si="12"/>
        <v>2917069</v>
      </c>
      <c r="L60" s="19">
        <f t="shared" si="12"/>
        <v>2578193</v>
      </c>
      <c r="M60" s="19">
        <f t="shared" si="12"/>
        <v>1860199</v>
      </c>
      <c r="N60" s="19">
        <f t="shared" si="12"/>
        <v>36698426.689999998</v>
      </c>
      <c r="O60" s="6"/>
    </row>
    <row r="61" spans="1:17" ht="13.5" thickBot="1">
      <c r="A61" s="13" t="s">
        <v>63</v>
      </c>
      <c r="B61" s="30">
        <f t="shared" ref="B61:N61" si="13">+B13-B60</f>
        <v>-947567.69</v>
      </c>
      <c r="C61" s="30">
        <f t="shared" si="13"/>
        <v>140368</v>
      </c>
      <c r="D61" s="30">
        <f t="shared" si="13"/>
        <v>517864</v>
      </c>
      <c r="E61" s="30">
        <f t="shared" si="13"/>
        <v>749237</v>
      </c>
      <c r="F61" s="30">
        <f t="shared" si="13"/>
        <v>-90989</v>
      </c>
      <c r="G61" s="30">
        <f t="shared" si="13"/>
        <v>-263708</v>
      </c>
      <c r="H61" s="30">
        <f t="shared" si="13"/>
        <v>-113057</v>
      </c>
      <c r="I61" s="30">
        <f t="shared" si="13"/>
        <v>391910</v>
      </c>
      <c r="J61" s="30">
        <f t="shared" si="13"/>
        <v>1007983</v>
      </c>
      <c r="K61" s="30">
        <f t="shared" si="13"/>
        <v>319086</v>
      </c>
      <c r="L61" s="30">
        <f t="shared" si="13"/>
        <v>3514</v>
      </c>
      <c r="M61" s="30">
        <f t="shared" si="13"/>
        <v>-354235</v>
      </c>
      <c r="N61" s="14">
        <f t="shared" si="13"/>
        <v>1360405.3100000024</v>
      </c>
      <c r="O61" s="6"/>
      <c r="P61" s="25"/>
    </row>
    <row r="62" spans="1:17" s="6" customFormat="1" ht="13.5" thickTop="1">
      <c r="A62" s="13" t="s">
        <v>64</v>
      </c>
      <c r="B62" s="32">
        <f>+B61</f>
        <v>-947567.69</v>
      </c>
      <c r="C62" s="32">
        <f t="shared" ref="C62:M62" si="14">B62+C61</f>
        <v>-807199.69</v>
      </c>
      <c r="D62" s="32">
        <f t="shared" si="14"/>
        <v>-289335.68999999994</v>
      </c>
      <c r="E62" s="32">
        <f t="shared" si="14"/>
        <v>459901.31000000006</v>
      </c>
      <c r="F62" s="32">
        <f t="shared" si="14"/>
        <v>368912.31000000006</v>
      </c>
      <c r="G62" s="32">
        <f t="shared" si="14"/>
        <v>105204.31000000006</v>
      </c>
      <c r="H62" s="32">
        <f t="shared" si="14"/>
        <v>-7852.6899999999441</v>
      </c>
      <c r="I62" s="32">
        <f t="shared" si="14"/>
        <v>384057.31000000006</v>
      </c>
      <c r="J62" s="32">
        <f t="shared" si="14"/>
        <v>1392040.31</v>
      </c>
      <c r="K62" s="32">
        <f t="shared" si="14"/>
        <v>1711126.31</v>
      </c>
      <c r="L62" s="32">
        <f t="shared" si="14"/>
        <v>1714640.31</v>
      </c>
      <c r="M62" s="32">
        <f t="shared" si="14"/>
        <v>1360405.31</v>
      </c>
      <c r="N62" s="12"/>
    </row>
    <row r="63" spans="1:17">
      <c r="A63" s="13" t="s">
        <v>65</v>
      </c>
      <c r="B63" s="12">
        <f t="shared" ref="B63:M63" si="15">+$B$59+B62</f>
        <v>10071441.310000001</v>
      </c>
      <c r="C63" s="12">
        <f t="shared" si="15"/>
        <v>10211809.310000001</v>
      </c>
      <c r="D63" s="12">
        <f t="shared" si="15"/>
        <v>10729673.310000001</v>
      </c>
      <c r="E63" s="12">
        <f t="shared" si="15"/>
        <v>11478910.310000001</v>
      </c>
      <c r="F63" s="12">
        <f t="shared" si="15"/>
        <v>11387921.310000001</v>
      </c>
      <c r="G63" s="12">
        <f t="shared" si="15"/>
        <v>11124213.310000001</v>
      </c>
      <c r="H63" s="12">
        <f t="shared" si="15"/>
        <v>11011156.310000001</v>
      </c>
      <c r="I63" s="12">
        <f t="shared" si="15"/>
        <v>11403066.310000001</v>
      </c>
      <c r="J63" s="12">
        <f t="shared" si="15"/>
        <v>12411049.310000001</v>
      </c>
      <c r="K63" s="12">
        <f t="shared" si="15"/>
        <v>12730135.310000001</v>
      </c>
      <c r="L63" s="12">
        <f t="shared" si="15"/>
        <v>12733649.310000001</v>
      </c>
      <c r="M63" s="12">
        <f t="shared" si="15"/>
        <v>12379414.310000001</v>
      </c>
      <c r="N63" s="12"/>
      <c r="O63" s="6"/>
      <c r="P63" s="29"/>
    </row>
    <row r="64" spans="1:17">
      <c r="A64" s="6"/>
      <c r="B64" s="7"/>
      <c r="C64" s="7"/>
      <c r="D64" s="7"/>
      <c r="E64" s="7"/>
      <c r="F64" s="7"/>
      <c r="G64" s="7"/>
      <c r="H64" s="7"/>
      <c r="I64" s="7"/>
      <c r="J64" s="7"/>
      <c r="K64" s="6"/>
      <c r="L64" s="6"/>
      <c r="M64" s="6"/>
      <c r="N64" s="6"/>
      <c r="O64" s="6"/>
    </row>
    <row r="65" spans="1:16" s="6" customFormat="1">
      <c r="A65" s="17" t="s">
        <v>66</v>
      </c>
      <c r="B65" s="18"/>
      <c r="C65" s="18"/>
      <c r="D65" s="18"/>
      <c r="E65" s="18"/>
      <c r="F65" s="18"/>
      <c r="G65" s="18"/>
      <c r="H65" s="18"/>
      <c r="I65" s="18"/>
      <c r="J65" s="18"/>
      <c r="K65" s="18"/>
      <c r="L65" s="18"/>
      <c r="M65" s="18"/>
      <c r="N65" s="18"/>
    </row>
    <row r="66" spans="1:16">
      <c r="A66" s="13" t="s">
        <v>67</v>
      </c>
      <c r="B66" s="16">
        <v>-656994</v>
      </c>
      <c r="C66" s="16">
        <v>509942</v>
      </c>
      <c r="D66" s="16">
        <v>696330</v>
      </c>
      <c r="E66" s="16">
        <v>265094</v>
      </c>
      <c r="F66" s="16">
        <v>-433366</v>
      </c>
      <c r="G66" s="16">
        <v>-137987</v>
      </c>
      <c r="H66" s="16">
        <v>506349</v>
      </c>
      <c r="I66" s="16">
        <v>352153</v>
      </c>
      <c r="J66" s="16">
        <v>413008</v>
      </c>
      <c r="K66" s="16">
        <v>-136272</v>
      </c>
      <c r="L66" s="16">
        <v>76230</v>
      </c>
      <c r="M66" s="16">
        <v>-748336</v>
      </c>
      <c r="N66" s="16"/>
      <c r="O66" s="6"/>
    </row>
    <row r="67" spans="1:16">
      <c r="A67" s="13" t="s">
        <v>64</v>
      </c>
      <c r="B67" s="16">
        <v>-656994</v>
      </c>
      <c r="C67" s="16">
        <v>-147052</v>
      </c>
      <c r="D67" s="16">
        <v>549278</v>
      </c>
      <c r="E67" s="16">
        <v>814372</v>
      </c>
      <c r="F67" s="16">
        <v>381006</v>
      </c>
      <c r="G67" s="16">
        <v>243019</v>
      </c>
      <c r="H67" s="16">
        <v>749368</v>
      </c>
      <c r="I67" s="16">
        <v>1101521</v>
      </c>
      <c r="J67" s="16">
        <v>1514529</v>
      </c>
      <c r="K67" s="16">
        <v>1378257</v>
      </c>
      <c r="L67" s="16">
        <v>1454487</v>
      </c>
      <c r="M67" s="16">
        <v>706151</v>
      </c>
      <c r="N67" s="16"/>
      <c r="O67" s="6"/>
    </row>
    <row r="68" spans="1:16">
      <c r="A68" s="13" t="s">
        <v>65</v>
      </c>
      <c r="B68" s="12">
        <v>10362015</v>
      </c>
      <c r="C68" s="12">
        <v>10871957</v>
      </c>
      <c r="D68" s="12">
        <v>11568287</v>
      </c>
      <c r="E68" s="12">
        <v>11833381</v>
      </c>
      <c r="F68" s="12">
        <v>11400015</v>
      </c>
      <c r="G68" s="12">
        <v>11262028</v>
      </c>
      <c r="H68" s="12">
        <v>11768377</v>
      </c>
      <c r="I68" s="12">
        <v>12120530</v>
      </c>
      <c r="J68" s="12">
        <v>12533538</v>
      </c>
      <c r="K68" s="12">
        <v>12397266</v>
      </c>
      <c r="L68" s="12">
        <v>12473496</v>
      </c>
      <c r="M68" s="12">
        <v>11725160</v>
      </c>
      <c r="N68" s="12"/>
      <c r="O68" s="6"/>
    </row>
    <row r="69" spans="1:16">
      <c r="A69" s="6"/>
      <c r="B69" s="6"/>
      <c r="C69" s="6"/>
      <c r="D69" s="6"/>
      <c r="E69" s="6"/>
      <c r="F69" s="6"/>
      <c r="H69" s="6"/>
      <c r="I69" s="6"/>
      <c r="J69" s="6"/>
      <c r="K69" s="6"/>
      <c r="L69" s="6"/>
      <c r="M69" s="6"/>
      <c r="N69" s="6"/>
      <c r="O69" s="6"/>
    </row>
    <row r="70" spans="1:16">
      <c r="A70" s="24" t="s">
        <v>68</v>
      </c>
      <c r="B70" s="18"/>
      <c r="C70" s="18"/>
      <c r="D70" s="18"/>
      <c r="E70" s="18"/>
      <c r="F70" s="18"/>
      <c r="G70" s="18"/>
      <c r="H70" s="18"/>
      <c r="I70" s="18"/>
      <c r="J70" s="18"/>
      <c r="K70" s="18"/>
      <c r="L70" s="18"/>
      <c r="M70" s="18"/>
      <c r="N70" s="18"/>
      <c r="O70" s="6"/>
    </row>
    <row r="71" spans="1:16">
      <c r="A71" s="13" t="s">
        <v>63</v>
      </c>
      <c r="B71" s="16">
        <f t="shared" ref="B71:N73" si="16">+B61-B66</f>
        <v>-290573.68999999994</v>
      </c>
      <c r="C71" s="16">
        <f t="shared" si="16"/>
        <v>-369574</v>
      </c>
      <c r="D71" s="16">
        <f t="shared" si="16"/>
        <v>-178466</v>
      </c>
      <c r="E71" s="16">
        <f t="shared" si="16"/>
        <v>484143</v>
      </c>
      <c r="F71" s="16">
        <f t="shared" si="16"/>
        <v>342377</v>
      </c>
      <c r="G71" s="16">
        <f t="shared" si="16"/>
        <v>-125721</v>
      </c>
      <c r="H71" s="16">
        <f t="shared" si="16"/>
        <v>-619406</v>
      </c>
      <c r="I71" s="16">
        <f t="shared" si="16"/>
        <v>39757</v>
      </c>
      <c r="J71" s="16">
        <f t="shared" si="16"/>
        <v>594975</v>
      </c>
      <c r="K71" s="16">
        <f t="shared" si="16"/>
        <v>455358</v>
      </c>
      <c r="L71" s="16">
        <f t="shared" si="16"/>
        <v>-72716</v>
      </c>
      <c r="M71" s="16">
        <f t="shared" si="16"/>
        <v>394101</v>
      </c>
      <c r="N71" s="6"/>
      <c r="O71" s="6"/>
      <c r="P71" s="16">
        <f>+N61-N66</f>
        <v>1360405.3100000024</v>
      </c>
    </row>
    <row r="72" spans="1:16" s="6" customFormat="1">
      <c r="A72" s="13" t="s">
        <v>64</v>
      </c>
      <c r="B72" s="16">
        <f t="shared" si="16"/>
        <v>-290573.68999999994</v>
      </c>
      <c r="C72" s="16">
        <f t="shared" si="16"/>
        <v>-660147.68999999994</v>
      </c>
      <c r="D72" s="16">
        <f t="shared" si="16"/>
        <v>-838613.69</v>
      </c>
      <c r="E72" s="16">
        <f t="shared" si="16"/>
        <v>-354470.68999999994</v>
      </c>
      <c r="F72" s="16">
        <f t="shared" si="16"/>
        <v>-12093.689999999944</v>
      </c>
      <c r="G72" s="16">
        <f t="shared" si="16"/>
        <v>-137814.68999999994</v>
      </c>
      <c r="H72" s="16">
        <f t="shared" si="16"/>
        <v>-757220.69</v>
      </c>
      <c r="I72" s="16">
        <f t="shared" si="16"/>
        <v>-717463.69</v>
      </c>
      <c r="J72" s="16">
        <f t="shared" si="16"/>
        <v>-122488.68999999994</v>
      </c>
      <c r="K72" s="16">
        <f t="shared" si="16"/>
        <v>332869.31000000006</v>
      </c>
      <c r="L72" s="16">
        <f t="shared" si="16"/>
        <v>260153.31000000006</v>
      </c>
      <c r="M72" s="16">
        <f t="shared" si="16"/>
        <v>654254.31000000006</v>
      </c>
      <c r="N72" s="16">
        <f t="shared" si="16"/>
        <v>0</v>
      </c>
    </row>
    <row r="73" spans="1:16">
      <c r="A73" s="1" t="s">
        <v>65</v>
      </c>
      <c r="B73" s="16">
        <f t="shared" si="16"/>
        <v>-290573.68999999948</v>
      </c>
      <c r="C73" s="16">
        <f t="shared" si="16"/>
        <v>-660147.68999999948</v>
      </c>
      <c r="D73" s="16">
        <f t="shared" si="16"/>
        <v>-838613.68999999948</v>
      </c>
      <c r="E73" s="16">
        <f t="shared" si="16"/>
        <v>-354470.68999999948</v>
      </c>
      <c r="F73" s="16">
        <f t="shared" si="16"/>
        <v>-12093.689999999478</v>
      </c>
      <c r="G73" s="16">
        <f t="shared" si="16"/>
        <v>-137814.68999999948</v>
      </c>
      <c r="H73" s="16">
        <f t="shared" si="16"/>
        <v>-757220.68999999948</v>
      </c>
      <c r="I73" s="16">
        <f t="shared" si="16"/>
        <v>-717463.68999999948</v>
      </c>
      <c r="J73" s="16">
        <f t="shared" si="16"/>
        <v>-122488.68999999948</v>
      </c>
      <c r="K73" s="16">
        <f t="shared" si="16"/>
        <v>332869.31000000052</v>
      </c>
      <c r="L73" s="16">
        <f t="shared" si="16"/>
        <v>260153.31000000052</v>
      </c>
      <c r="M73" s="16">
        <f t="shared" si="16"/>
        <v>654254.31000000052</v>
      </c>
      <c r="N73" s="16"/>
      <c r="O73" s="6"/>
    </row>
    <row r="74" spans="1:16">
      <c r="B74" s="6"/>
      <c r="C74" s="6"/>
      <c r="D74" s="6"/>
      <c r="E74" s="6"/>
      <c r="F74" s="6"/>
      <c r="H74" s="6"/>
      <c r="I74" s="6"/>
      <c r="J74" s="6"/>
      <c r="K74" s="6"/>
      <c r="L74" s="6"/>
      <c r="M74" s="6"/>
      <c r="N74" s="6"/>
    </row>
    <row r="75" spans="1:16">
      <c r="A75" s="1"/>
      <c r="B75" s="4"/>
      <c r="C75" s="8"/>
      <c r="D75" s="8"/>
      <c r="E75" s="8"/>
      <c r="F75" s="8"/>
      <c r="H75" s="20"/>
      <c r="J75" s="6"/>
      <c r="K75" s="6"/>
    </row>
    <row r="76" spans="1:16">
      <c r="A76" s="1"/>
      <c r="B76" s="4"/>
      <c r="C76" s="8"/>
      <c r="D76" s="8"/>
      <c r="E76" s="8"/>
      <c r="F76" s="8"/>
      <c r="H76" s="20"/>
      <c r="J76" s="6"/>
    </row>
    <row r="77" spans="1:16">
      <c r="A77" s="1"/>
      <c r="B77" s="4"/>
      <c r="D77" s="8"/>
      <c r="E77" s="8"/>
      <c r="F77" s="8"/>
      <c r="H77" s="61"/>
      <c r="J77" s="6"/>
    </row>
    <row r="78" spans="1:16">
      <c r="E78" s="6"/>
      <c r="H78" s="20"/>
      <c r="J78" s="6"/>
      <c r="N78" s="25"/>
    </row>
    <row r="79" spans="1:16">
      <c r="A79" t="s">
        <v>69</v>
      </c>
      <c r="B79" t="s">
        <v>69</v>
      </c>
      <c r="C79" t="s">
        <v>69</v>
      </c>
      <c r="D79" t="s">
        <v>69</v>
      </c>
      <c r="E79" s="6" t="s">
        <v>69</v>
      </c>
      <c r="F79" t="s">
        <v>69</v>
      </c>
      <c r="G79" s="6" t="s">
        <v>69</v>
      </c>
      <c r="H79" t="s">
        <v>69</v>
      </c>
      <c r="I79" t="s">
        <v>69</v>
      </c>
      <c r="J79" s="6" t="s">
        <v>69</v>
      </c>
      <c r="K79" t="s">
        <v>69</v>
      </c>
      <c r="L79" t="s">
        <v>69</v>
      </c>
      <c r="M79" t="s">
        <v>69</v>
      </c>
      <c r="N79" t="s">
        <v>69</v>
      </c>
    </row>
    <row r="80" spans="1:16">
      <c r="E80" s="6"/>
      <c r="J80" s="6"/>
    </row>
    <row r="81" spans="1:14">
      <c r="A81" s="33" t="s">
        <v>70</v>
      </c>
      <c r="B81" s="47">
        <v>0</v>
      </c>
      <c r="C81" s="47">
        <v>101000</v>
      </c>
      <c r="D81" s="47">
        <v>23668</v>
      </c>
      <c r="E81" s="47">
        <v>80000</v>
      </c>
      <c r="F81" s="47">
        <v>184679</v>
      </c>
      <c r="G81" s="10">
        <v>42500</v>
      </c>
      <c r="H81" s="54">
        <v>97000</v>
      </c>
      <c r="I81" s="47">
        <v>5000</v>
      </c>
      <c r="J81" s="47">
        <v>0</v>
      </c>
      <c r="K81" s="47">
        <v>185000</v>
      </c>
      <c r="L81" s="47">
        <v>0</v>
      </c>
      <c r="M81" s="47">
        <v>175000</v>
      </c>
      <c r="N81" s="7">
        <f>SUM(B81:M81)</f>
        <v>893847</v>
      </c>
    </row>
    <row r="82" spans="1:14">
      <c r="A82" s="33" t="s">
        <v>71</v>
      </c>
      <c r="B82" s="2">
        <f>+B81</f>
        <v>0</v>
      </c>
      <c r="C82" s="2">
        <f>+B82+C81</f>
        <v>101000</v>
      </c>
      <c r="D82" s="2">
        <f t="shared" ref="D82:M82" si="17">+C82+D81</f>
        <v>124668</v>
      </c>
      <c r="E82" s="7">
        <f t="shared" si="17"/>
        <v>204668</v>
      </c>
      <c r="F82" s="2">
        <f t="shared" si="17"/>
        <v>389347</v>
      </c>
      <c r="G82" s="7">
        <f t="shared" si="17"/>
        <v>431847</v>
      </c>
      <c r="H82" s="2">
        <f t="shared" si="17"/>
        <v>528847</v>
      </c>
      <c r="I82" s="2">
        <f t="shared" si="17"/>
        <v>533847</v>
      </c>
      <c r="J82" s="7">
        <f t="shared" si="17"/>
        <v>533847</v>
      </c>
      <c r="K82" s="2">
        <f t="shared" si="17"/>
        <v>718847</v>
      </c>
      <c r="L82" s="2">
        <f t="shared" si="17"/>
        <v>718847</v>
      </c>
      <c r="M82" s="2">
        <f t="shared" si="17"/>
        <v>893847</v>
      </c>
    </row>
    <row r="83" spans="1:14">
      <c r="A83" s="33" t="s">
        <v>72</v>
      </c>
      <c r="B83" s="7">
        <f>+B52</f>
        <v>11806</v>
      </c>
      <c r="C83" s="7">
        <f>SUM($B52:C52)</f>
        <v>71797</v>
      </c>
      <c r="D83" s="7">
        <f>SUM($B52:D52)</f>
        <v>72382</v>
      </c>
      <c r="E83" s="7">
        <f>SUM($B52:E52)</f>
        <v>167632</v>
      </c>
      <c r="F83" s="7">
        <f>SUM($B52:F52)</f>
        <v>179215</v>
      </c>
      <c r="G83" s="7">
        <f>SUM($B52:G52)</f>
        <v>330079</v>
      </c>
      <c r="H83" s="7">
        <f>SUM(B52:H52)</f>
        <v>535742</v>
      </c>
      <c r="I83" s="7">
        <f>SUM(B52:I52)</f>
        <v>544943</v>
      </c>
      <c r="J83" s="7">
        <f>SUM(B52:J52)</f>
        <v>568570</v>
      </c>
      <c r="K83" s="7">
        <f>SUM(B52:K52)</f>
        <v>574570</v>
      </c>
      <c r="L83" s="7">
        <f>SUM(B52:L52)</f>
        <v>616623</v>
      </c>
      <c r="M83" s="7">
        <f>SUM(B52:M52)</f>
        <v>575623</v>
      </c>
    </row>
    <row r="84" spans="1:14">
      <c r="A84" s="33" t="s">
        <v>73</v>
      </c>
      <c r="B84" s="7">
        <f t="shared" ref="B84:G84" si="18">+B82-B83</f>
        <v>-11806</v>
      </c>
      <c r="C84" s="7">
        <f t="shared" si="18"/>
        <v>29203</v>
      </c>
      <c r="D84" s="7">
        <f t="shared" si="18"/>
        <v>52286</v>
      </c>
      <c r="E84" s="7">
        <f t="shared" si="18"/>
        <v>37036</v>
      </c>
      <c r="F84" s="7">
        <f t="shared" si="18"/>
        <v>210132</v>
      </c>
      <c r="G84" s="7">
        <f t="shared" si="18"/>
        <v>101768</v>
      </c>
      <c r="H84" s="7">
        <f t="shared" ref="H84:M84" si="19">+H82-H83</f>
        <v>-6895</v>
      </c>
      <c r="I84" s="7">
        <f t="shared" si="19"/>
        <v>-11096</v>
      </c>
      <c r="J84" s="7">
        <f t="shared" si="19"/>
        <v>-34723</v>
      </c>
      <c r="K84" s="7">
        <f t="shared" si="19"/>
        <v>144277</v>
      </c>
      <c r="L84" s="7">
        <f t="shared" si="19"/>
        <v>102224</v>
      </c>
      <c r="M84" s="7">
        <f t="shared" si="19"/>
        <v>318224</v>
      </c>
    </row>
    <row r="85" spans="1:14">
      <c r="J85" s="6"/>
      <c r="K85" s="6"/>
    </row>
    <row r="86" spans="1:14">
      <c r="A86" t="s">
        <v>74</v>
      </c>
      <c r="B86" s="35">
        <f>-B55-B56</f>
        <v>-17518.689999999999</v>
      </c>
      <c r="C86" s="35">
        <f t="shared" ref="C86:N86" si="20">-C55-C56</f>
        <v>-305635</v>
      </c>
      <c r="D86" s="35">
        <f t="shared" si="20"/>
        <v>-259123</v>
      </c>
      <c r="E86" s="35">
        <f t="shared" si="20"/>
        <v>375621</v>
      </c>
      <c r="F86" s="35">
        <f t="shared" si="20"/>
        <v>-39452</v>
      </c>
      <c r="G86" s="40">
        <f t="shared" si="20"/>
        <v>-130559</v>
      </c>
      <c r="H86" s="35">
        <f t="shared" si="20"/>
        <v>-319823</v>
      </c>
      <c r="I86" s="35">
        <f t="shared" si="20"/>
        <v>-32726</v>
      </c>
      <c r="J86" s="35">
        <f t="shared" si="20"/>
        <v>419309</v>
      </c>
      <c r="K86" s="40">
        <f t="shared" si="20"/>
        <v>85352</v>
      </c>
      <c r="L86" s="35">
        <f t="shared" si="20"/>
        <v>8802</v>
      </c>
      <c r="M86" s="35">
        <f t="shared" si="20"/>
        <v>14261</v>
      </c>
      <c r="N86" s="35">
        <f t="shared" si="20"/>
        <v>-201491.68999999994</v>
      </c>
    </row>
    <row r="87" spans="1:14">
      <c r="C87" s="35">
        <f>+B86+C86</f>
        <v>-323153.69</v>
      </c>
      <c r="D87" s="35">
        <f>+C87+D86</f>
        <v>-582276.68999999994</v>
      </c>
      <c r="E87" s="35">
        <f t="shared" ref="E87:M87" si="21">+D87+E86</f>
        <v>-206655.68999999994</v>
      </c>
      <c r="F87" s="35">
        <f t="shared" si="21"/>
        <v>-246107.68999999994</v>
      </c>
      <c r="G87" s="40">
        <f t="shared" si="21"/>
        <v>-376666.68999999994</v>
      </c>
      <c r="H87" s="35">
        <f t="shared" si="21"/>
        <v>-696489.69</v>
      </c>
      <c r="I87" s="40">
        <f t="shared" si="21"/>
        <v>-729215.69</v>
      </c>
      <c r="J87" s="40">
        <f t="shared" si="21"/>
        <v>-309906.68999999994</v>
      </c>
      <c r="K87" s="40">
        <f t="shared" si="21"/>
        <v>-224554.68999999994</v>
      </c>
      <c r="L87" s="35">
        <f t="shared" si="21"/>
        <v>-215752.68999999994</v>
      </c>
      <c r="M87" s="35">
        <f t="shared" si="21"/>
        <v>-201491.68999999994</v>
      </c>
    </row>
    <row r="88" spans="1:14">
      <c r="K88" s="6"/>
    </row>
    <row r="90" spans="1:14">
      <c r="B90" s="6"/>
      <c r="C90" s="6"/>
      <c r="D90" s="6"/>
      <c r="E90" s="6"/>
    </row>
    <row r="91" spans="1:14">
      <c r="B91" s="21">
        <v>48198</v>
      </c>
      <c r="C91" s="21">
        <v>109945</v>
      </c>
      <c r="D91" s="36">
        <v>126000</v>
      </c>
      <c r="E91" s="6">
        <v>7681</v>
      </c>
      <c r="F91">
        <v>52000</v>
      </c>
      <c r="G91" s="6">
        <v>207419</v>
      </c>
      <c r="H91">
        <v>18000</v>
      </c>
      <c r="I91">
        <v>25000</v>
      </c>
      <c r="J91">
        <v>42000</v>
      </c>
      <c r="K91">
        <v>0</v>
      </c>
      <c r="L91">
        <v>0</v>
      </c>
      <c r="M91">
        <v>150000</v>
      </c>
      <c r="N91">
        <v>786243</v>
      </c>
    </row>
    <row r="92" spans="1:14">
      <c r="B92" s="37"/>
      <c r="C92" s="38"/>
      <c r="D92" s="6"/>
      <c r="E92" s="6"/>
    </row>
    <row r="93" spans="1:14">
      <c r="B93" s="6"/>
      <c r="C93" s="6"/>
      <c r="D93" s="6"/>
      <c r="E93" s="6"/>
    </row>
    <row r="94" spans="1:14">
      <c r="B94" s="6"/>
      <c r="C94" s="6"/>
      <c r="D94" s="21"/>
      <c r="E94" s="6"/>
    </row>
    <row r="95" spans="1:14">
      <c r="B95" s="6"/>
      <c r="C95" s="6"/>
      <c r="D95" s="6"/>
      <c r="E95" s="6"/>
    </row>
    <row r="96" spans="1:14">
      <c r="B96" s="6"/>
      <c r="C96" s="6"/>
      <c r="D96" s="6"/>
      <c r="E96" s="6"/>
    </row>
    <row r="97" spans="2:5">
      <c r="B97" s="6"/>
      <c r="C97" s="6"/>
      <c r="D97" s="6"/>
      <c r="E97" s="6"/>
    </row>
    <row r="98" spans="2:5">
      <c r="B98" s="6"/>
      <c r="C98" s="6"/>
      <c r="D98" s="34"/>
      <c r="E98" s="6"/>
    </row>
    <row r="99" spans="2:5">
      <c r="B99" s="6"/>
      <c r="C99" s="6"/>
      <c r="D99" s="6"/>
      <c r="E99" s="6"/>
    </row>
    <row r="100" spans="2:5">
      <c r="B100" s="6"/>
      <c r="C100" s="6"/>
      <c r="D100" s="6"/>
      <c r="E100" s="6"/>
    </row>
  </sheetData>
  <pageMargins left="0.28000000000000003" right="0.25" top="0.99" bottom="0.75" header="0.63" footer="0.23"/>
  <pageSetup scale="62" orientation="landscape" r:id="rId1"/>
  <headerFooter alignWithMargins="0">
    <oddHeader xml:space="preserve">&amp;C&amp;"Arial,Bold"&amp;11 49ER SHOPS, INC.
&amp;UFY2015/2016 OPERATIONAL CASH FLOW </oddHeader>
    <oddFooter xml:space="preserve">&amp;CCash Flow - FY2015/2016 
June 2016 Pre-Audit
</oddFooter>
  </headerFooter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FF00"/>
    <pageSetUpPr fitToPage="1"/>
  </sheetPr>
  <dimension ref="A1:AR101"/>
  <sheetViews>
    <sheetView showGridLines="0" workbookViewId="0">
      <pane xSplit="1" ySplit="3" topLeftCell="B40" activePane="bottomRight" state="frozen"/>
      <selection pane="topRight" activeCell="B2" sqref="B2:N2"/>
      <selection pane="bottomLeft" activeCell="B2" sqref="B2:N2"/>
      <selection pane="bottomRight" activeCell="B2" sqref="B2:N2"/>
    </sheetView>
  </sheetViews>
  <sheetFormatPr defaultRowHeight="12.75"/>
  <cols>
    <col min="1" max="1" width="35.42578125" customWidth="1"/>
    <col min="2" max="2" width="14" customWidth="1"/>
    <col min="3" max="3" width="12.5703125" customWidth="1"/>
    <col min="4" max="4" width="12.140625" customWidth="1"/>
    <col min="5" max="5" width="13.5703125" customWidth="1"/>
    <col min="6" max="6" width="12.85546875" customWidth="1"/>
    <col min="7" max="7" width="12.5703125" style="6" customWidth="1"/>
    <col min="8" max="9" width="12.85546875" customWidth="1"/>
    <col min="10" max="11" width="12.140625" customWidth="1"/>
    <col min="12" max="13" width="12.85546875" customWidth="1"/>
    <col min="14" max="14" width="12.85546875" bestFit="1" customWidth="1"/>
    <col min="15" max="15" width="10.140625" bestFit="1" customWidth="1"/>
    <col min="16" max="16" width="13.140625" bestFit="1" customWidth="1"/>
  </cols>
  <sheetData>
    <row r="1" spans="1:15" ht="13.5" thickBot="1">
      <c r="A1" s="46" t="s">
        <v>75</v>
      </c>
      <c r="E1" s="6"/>
      <c r="F1" s="6"/>
      <c r="J1" s="6"/>
      <c r="K1" s="6"/>
      <c r="N1" s="3"/>
    </row>
    <row r="2" spans="1:15">
      <c r="B2" s="45" t="s">
        <v>76</v>
      </c>
      <c r="C2" s="45" t="s">
        <v>76</v>
      </c>
      <c r="D2" s="45" t="s">
        <v>76</v>
      </c>
      <c r="E2" s="45" t="s">
        <v>76</v>
      </c>
      <c r="F2" s="45" t="s">
        <v>76</v>
      </c>
      <c r="G2" s="45" t="s">
        <v>76</v>
      </c>
      <c r="H2" s="45" t="s">
        <v>76</v>
      </c>
      <c r="I2" s="45" t="s">
        <v>76</v>
      </c>
      <c r="J2" s="45" t="s">
        <v>76</v>
      </c>
      <c r="K2" s="45" t="s">
        <v>76</v>
      </c>
      <c r="L2" s="45" t="s">
        <v>76</v>
      </c>
      <c r="M2" s="45" t="s">
        <v>76</v>
      </c>
      <c r="N2" s="55" t="s">
        <v>25</v>
      </c>
    </row>
    <row r="3" spans="1:15" s="5" customFormat="1">
      <c r="B3" s="11">
        <v>42553</v>
      </c>
      <c r="C3" s="11">
        <v>42584</v>
      </c>
      <c r="D3" s="11">
        <v>42615</v>
      </c>
      <c r="E3" s="11">
        <v>42645</v>
      </c>
      <c r="F3" s="11">
        <v>42676</v>
      </c>
      <c r="G3" s="11">
        <v>42706</v>
      </c>
      <c r="H3" s="11">
        <v>42737</v>
      </c>
      <c r="I3" s="11">
        <v>42768</v>
      </c>
      <c r="J3" s="11">
        <v>42796</v>
      </c>
      <c r="K3" s="11">
        <v>42827</v>
      </c>
      <c r="L3" s="11">
        <v>42857</v>
      </c>
      <c r="M3" s="11">
        <v>42888</v>
      </c>
      <c r="N3" s="57" t="s">
        <v>77</v>
      </c>
    </row>
    <row r="4" spans="1:15">
      <c r="A4" s="1" t="s">
        <v>27</v>
      </c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>
        <f>SUM(B4:M4)</f>
        <v>0</v>
      </c>
      <c r="O4" s="6"/>
    </row>
    <row r="5" spans="1:15" s="6" customFormat="1">
      <c r="A5" s="6" t="s">
        <v>28</v>
      </c>
      <c r="B5" s="49">
        <v>1380571.2415095801</v>
      </c>
      <c r="C5" s="49">
        <v>5060173.2426346</v>
      </c>
      <c r="D5" s="49">
        <v>3867423.1893872898</v>
      </c>
      <c r="E5" s="49">
        <v>3550580.4606545898</v>
      </c>
      <c r="F5" s="49">
        <v>2491408.6501843799</v>
      </c>
      <c r="G5" s="49">
        <v>2443225.8391503901</v>
      </c>
      <c r="H5" s="49">
        <v>4392028.1440046299</v>
      </c>
      <c r="I5" s="49">
        <v>3229385.12840016</v>
      </c>
      <c r="J5" s="49">
        <v>3101264.61223314</v>
      </c>
      <c r="K5" s="49">
        <v>2861289.1218165602</v>
      </c>
      <c r="L5" s="49">
        <v>2884558.9345671199</v>
      </c>
      <c r="M5" s="49">
        <v>1536863.9470107399</v>
      </c>
      <c r="N5" s="12">
        <f>SUM(B5:M5)</f>
        <v>36798772.511553183</v>
      </c>
    </row>
    <row r="6" spans="1:15" s="6" customFormat="1">
      <c r="A6" s="6" t="s">
        <v>29</v>
      </c>
      <c r="B6" s="53">
        <v>69785.051600000006</v>
      </c>
      <c r="C6" s="53">
        <v>52425.4469151991</v>
      </c>
      <c r="D6" s="53">
        <v>271703.80474306311</v>
      </c>
      <c r="E6" s="53">
        <v>142644.5744343327</v>
      </c>
      <c r="F6" s="53">
        <v>68608.629526434102</v>
      </c>
      <c r="G6" s="53">
        <v>80537.490202171612</v>
      </c>
      <c r="H6" s="53">
        <v>93715.085794590996</v>
      </c>
      <c r="I6" s="53">
        <v>76173.313860300201</v>
      </c>
      <c r="J6" s="53">
        <v>194949.6852683014</v>
      </c>
      <c r="K6" s="53">
        <v>107775.7156534557</v>
      </c>
      <c r="L6" s="53">
        <v>303701.34733729798</v>
      </c>
      <c r="M6" s="53">
        <v>46075.731999999996</v>
      </c>
      <c r="N6" s="7">
        <f>SUM(B6:M6)</f>
        <v>1508095.8773351472</v>
      </c>
    </row>
    <row r="7" spans="1:15" s="6" customFormat="1">
      <c r="B7" s="7"/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7">
        <f>SUM(B7:M7)</f>
        <v>0</v>
      </c>
    </row>
    <row r="8" spans="1:15" s="6" customFormat="1">
      <c r="B8" s="15"/>
      <c r="C8" s="15"/>
      <c r="D8" s="15"/>
      <c r="E8" s="15"/>
      <c r="F8" s="15"/>
      <c r="G8" s="15"/>
      <c r="H8" s="15"/>
      <c r="I8" s="15"/>
      <c r="J8" s="15"/>
      <c r="K8" s="15"/>
      <c r="L8" s="15"/>
      <c r="M8" s="15"/>
      <c r="N8" s="15">
        <f>SUM(B8:M8)</f>
        <v>0</v>
      </c>
    </row>
    <row r="9" spans="1:15" s="6" customFormat="1">
      <c r="A9" s="13" t="s">
        <v>30</v>
      </c>
      <c r="B9" s="12">
        <f t="shared" ref="B9:N9" si="0">SUM(B5:B8)</f>
        <v>1450356.2931095799</v>
      </c>
      <c r="C9" s="12">
        <f t="shared" si="0"/>
        <v>5112598.6895497991</v>
      </c>
      <c r="D9" s="12">
        <f t="shared" si="0"/>
        <v>4139126.994130353</v>
      </c>
      <c r="E9" s="12">
        <f t="shared" si="0"/>
        <v>3693225.0350889224</v>
      </c>
      <c r="F9" s="12">
        <f t="shared" si="0"/>
        <v>2560017.2797108139</v>
      </c>
      <c r="G9" s="12">
        <f t="shared" si="0"/>
        <v>2523763.3293525619</v>
      </c>
      <c r="H9" s="12">
        <f t="shared" si="0"/>
        <v>4485743.2297992213</v>
      </c>
      <c r="I9" s="12">
        <f t="shared" si="0"/>
        <v>3305558.44226046</v>
      </c>
      <c r="J9" s="12">
        <f t="shared" si="0"/>
        <v>3296214.2975014416</v>
      </c>
      <c r="K9" s="12">
        <f t="shared" si="0"/>
        <v>2969064.837470016</v>
      </c>
      <c r="L9" s="12">
        <f t="shared" si="0"/>
        <v>3188260.281904418</v>
      </c>
      <c r="M9" s="12">
        <f t="shared" si="0"/>
        <v>1582939.67901074</v>
      </c>
      <c r="N9" s="12">
        <f t="shared" si="0"/>
        <v>38306868.388888329</v>
      </c>
    </row>
    <row r="10" spans="1:15" s="6" customFormat="1" ht="6.75" customHeight="1"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</row>
    <row r="11" spans="1:15" s="6" customFormat="1">
      <c r="A11" s="13" t="s">
        <v>31</v>
      </c>
      <c r="B11" s="7"/>
      <c r="C11" s="7"/>
      <c r="D11" s="7"/>
      <c r="E11" s="7"/>
      <c r="F11" s="7"/>
      <c r="G11" s="7"/>
      <c r="H11" s="7"/>
      <c r="I11" s="7"/>
      <c r="J11" s="7"/>
      <c r="K11" s="7"/>
      <c r="L11" s="7"/>
      <c r="M11" s="39"/>
      <c r="N11" s="7">
        <f>SUM(B11:M11)</f>
        <v>0</v>
      </c>
    </row>
    <row r="12" spans="1:15" s="6" customFormat="1" ht="7.5" customHeight="1">
      <c r="B12" s="7"/>
      <c r="C12" s="7"/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</row>
    <row r="13" spans="1:15" s="6" customFormat="1" ht="13.5" thickBot="1">
      <c r="A13" s="13" t="s">
        <v>32</v>
      </c>
      <c r="B13" s="14">
        <f t="shared" ref="B13:N13" si="1">B9+B11</f>
        <v>1450356.2931095799</v>
      </c>
      <c r="C13" s="14">
        <f>C9+C11</f>
        <v>5112598.6895497991</v>
      </c>
      <c r="D13" s="14">
        <f t="shared" si="1"/>
        <v>4139126.994130353</v>
      </c>
      <c r="E13" s="14">
        <f t="shared" si="1"/>
        <v>3693225.0350889224</v>
      </c>
      <c r="F13" s="14">
        <f t="shared" si="1"/>
        <v>2560017.2797108139</v>
      </c>
      <c r="G13" s="14">
        <f t="shared" si="1"/>
        <v>2523763.3293525619</v>
      </c>
      <c r="H13" s="14">
        <f t="shared" si="1"/>
        <v>4485743.2297992213</v>
      </c>
      <c r="I13" s="14">
        <f t="shared" si="1"/>
        <v>3305558.44226046</v>
      </c>
      <c r="J13" s="14">
        <f t="shared" si="1"/>
        <v>3296214.2975014416</v>
      </c>
      <c r="K13" s="14">
        <f t="shared" si="1"/>
        <v>2969064.837470016</v>
      </c>
      <c r="L13" s="14">
        <f t="shared" si="1"/>
        <v>3188260.281904418</v>
      </c>
      <c r="M13" s="14">
        <f t="shared" si="1"/>
        <v>1582939.67901074</v>
      </c>
      <c r="N13" s="14">
        <f t="shared" si="1"/>
        <v>38306868.388888329</v>
      </c>
    </row>
    <row r="14" spans="1:15" s="6" customFormat="1" ht="13.5" thickTop="1">
      <c r="B14" s="7"/>
      <c r="C14" s="7"/>
      <c r="D14" s="7"/>
      <c r="E14" s="7"/>
      <c r="F14" s="7"/>
      <c r="G14" s="7"/>
      <c r="H14" s="7"/>
      <c r="I14" s="7"/>
      <c r="J14" s="7"/>
      <c r="K14" s="7"/>
      <c r="L14" s="7"/>
      <c r="M14" s="7"/>
    </row>
    <row r="15" spans="1:15" s="6" customFormat="1">
      <c r="A15" s="13" t="s">
        <v>33</v>
      </c>
      <c r="B15" s="7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</row>
    <row r="16" spans="1:15" s="6" customFormat="1">
      <c r="A16" s="6" t="s">
        <v>34</v>
      </c>
      <c r="B16" s="53">
        <v>597054.26846696204</v>
      </c>
      <c r="C16" s="53">
        <v>3202896.3367236801</v>
      </c>
      <c r="D16" s="53">
        <v>1740899.3395841799</v>
      </c>
      <c r="E16" s="53">
        <v>1339199.27059646</v>
      </c>
      <c r="F16" s="53">
        <v>920442.29592504795</v>
      </c>
      <c r="G16" s="53">
        <v>994515.62781412899</v>
      </c>
      <c r="H16" s="53">
        <v>2724198.5675140698</v>
      </c>
      <c r="I16" s="53">
        <v>1309498.16154439</v>
      </c>
      <c r="J16" s="53">
        <v>1146427.91045744</v>
      </c>
      <c r="K16" s="53">
        <v>1014457.82475312</v>
      </c>
      <c r="L16" s="53">
        <v>1202846.3247627199</v>
      </c>
      <c r="M16" s="53">
        <v>808585.32395320502</v>
      </c>
      <c r="N16" s="7">
        <f>SUM(B16:M16)</f>
        <v>17001021.252095405</v>
      </c>
    </row>
    <row r="17" spans="1:44" s="6" customFormat="1">
      <c r="B17" s="27"/>
      <c r="C17" s="27"/>
      <c r="D17" s="27"/>
      <c r="E17" s="27"/>
      <c r="F17" s="27"/>
      <c r="G17" s="27"/>
      <c r="H17" s="27"/>
      <c r="I17" s="27"/>
      <c r="J17" s="27"/>
      <c r="K17" s="27"/>
      <c r="L17" s="27"/>
      <c r="M17" s="27"/>
      <c r="N17" s="7">
        <f>SUM(B17:M17)</f>
        <v>0</v>
      </c>
    </row>
    <row r="18" spans="1:44" s="6" customFormat="1">
      <c r="B18" s="7"/>
      <c r="C18" s="7"/>
      <c r="D18" s="7"/>
      <c r="E18" s="7"/>
      <c r="F18" s="7"/>
      <c r="G18" s="7"/>
      <c r="H18" s="7"/>
      <c r="I18" s="7"/>
      <c r="J18" s="7"/>
      <c r="K18" s="7"/>
      <c r="L18" s="7"/>
      <c r="M18" s="7"/>
      <c r="N18" s="7">
        <v>0</v>
      </c>
    </row>
    <row r="19" spans="1:44" s="6" customFormat="1">
      <c r="B19" s="15"/>
      <c r="C19" s="15"/>
      <c r="D19" s="15"/>
      <c r="E19" s="15"/>
      <c r="F19" s="15"/>
      <c r="G19" s="15"/>
      <c r="H19" s="15"/>
      <c r="I19" s="15"/>
      <c r="J19" s="15"/>
      <c r="K19" s="15"/>
      <c r="L19" s="15"/>
      <c r="M19" s="15"/>
      <c r="N19" s="15">
        <f>SUM(B19:M19)</f>
        <v>0</v>
      </c>
    </row>
    <row r="20" spans="1:44" s="6" customFormat="1">
      <c r="A20" s="13" t="s">
        <v>35</v>
      </c>
      <c r="B20" s="12">
        <f t="shared" ref="B20:N20" si="2">SUM(B16:B19)</f>
        <v>597054.26846696204</v>
      </c>
      <c r="C20" s="12">
        <f t="shared" si="2"/>
        <v>3202896.3367236801</v>
      </c>
      <c r="D20" s="12">
        <f t="shared" si="2"/>
        <v>1740899.3395841799</v>
      </c>
      <c r="E20" s="12">
        <f t="shared" si="2"/>
        <v>1339199.27059646</v>
      </c>
      <c r="F20" s="12">
        <f t="shared" si="2"/>
        <v>920442.29592504795</v>
      </c>
      <c r="G20" s="12">
        <f t="shared" si="2"/>
        <v>994515.62781412899</v>
      </c>
      <c r="H20" s="12">
        <f t="shared" si="2"/>
        <v>2724198.5675140698</v>
      </c>
      <c r="I20" s="12">
        <f t="shared" si="2"/>
        <v>1309498.16154439</v>
      </c>
      <c r="J20" s="12">
        <f t="shared" si="2"/>
        <v>1146427.91045744</v>
      </c>
      <c r="K20" s="12">
        <f t="shared" si="2"/>
        <v>1014457.82475312</v>
      </c>
      <c r="L20" s="12">
        <f t="shared" si="2"/>
        <v>1202846.3247627199</v>
      </c>
      <c r="M20" s="12">
        <f t="shared" si="2"/>
        <v>808585.32395320502</v>
      </c>
      <c r="N20" s="12">
        <f t="shared" si="2"/>
        <v>17001021.252095405</v>
      </c>
    </row>
    <row r="21" spans="1:44" s="6" customFormat="1">
      <c r="B21" s="7"/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</row>
    <row r="22" spans="1:44" s="6" customFormat="1">
      <c r="A22" s="13" t="s">
        <v>36</v>
      </c>
      <c r="B22" s="7"/>
      <c r="C22" s="7"/>
      <c r="D22" s="7"/>
      <c r="E22" s="7"/>
      <c r="F22" s="7"/>
      <c r="G22" s="7"/>
      <c r="H22" s="7"/>
      <c r="I22" s="7"/>
      <c r="J22" s="7"/>
      <c r="K22" s="7"/>
      <c r="L22" s="7"/>
      <c r="M22" s="7"/>
    </row>
    <row r="23" spans="1:44" s="6" customFormat="1">
      <c r="A23" s="6" t="s">
        <v>37</v>
      </c>
      <c r="B23" s="7">
        <f t="shared" ref="B23:M26" si="3">+B5-B16</f>
        <v>783516.97304261802</v>
      </c>
      <c r="C23" s="7">
        <f t="shared" si="3"/>
        <v>1857276.9059109199</v>
      </c>
      <c r="D23" s="7">
        <f t="shared" si="3"/>
        <v>2126523.8498031097</v>
      </c>
      <c r="E23" s="7">
        <f t="shared" si="3"/>
        <v>2211381.1900581298</v>
      </c>
      <c r="F23" s="7">
        <f t="shared" si="3"/>
        <v>1570966.3542593319</v>
      </c>
      <c r="G23" s="7">
        <f t="shared" si="3"/>
        <v>1448710.2113362611</v>
      </c>
      <c r="H23" s="7">
        <f t="shared" si="3"/>
        <v>1667829.5764905601</v>
      </c>
      <c r="I23" s="7">
        <f t="shared" si="3"/>
        <v>1919886.96685577</v>
      </c>
      <c r="J23" s="7">
        <f t="shared" si="3"/>
        <v>1954836.7017757001</v>
      </c>
      <c r="K23" s="7">
        <f t="shared" si="3"/>
        <v>1846831.2970634401</v>
      </c>
      <c r="L23" s="7">
        <f t="shared" si="3"/>
        <v>1681712.6098044</v>
      </c>
      <c r="M23" s="7">
        <f t="shared" si="3"/>
        <v>728278.62305753492</v>
      </c>
      <c r="N23" s="7">
        <f>SUM(B23:M23)</f>
        <v>19797751.259457774</v>
      </c>
    </row>
    <row r="24" spans="1:44" s="6" customFormat="1">
      <c r="A24" s="6" t="s">
        <v>37</v>
      </c>
      <c r="B24" s="7">
        <f t="shared" si="3"/>
        <v>69785.051600000006</v>
      </c>
      <c r="C24" s="7">
        <f t="shared" si="3"/>
        <v>52425.4469151991</v>
      </c>
      <c r="D24" s="7">
        <f t="shared" si="3"/>
        <v>271703.80474306311</v>
      </c>
      <c r="E24" s="7">
        <f t="shared" si="3"/>
        <v>142644.5744343327</v>
      </c>
      <c r="F24" s="7">
        <f t="shared" si="3"/>
        <v>68608.629526434102</v>
      </c>
      <c r="G24" s="7">
        <f t="shared" si="3"/>
        <v>80537.490202171612</v>
      </c>
      <c r="H24" s="7">
        <f t="shared" si="3"/>
        <v>93715.085794590996</v>
      </c>
      <c r="I24" s="7">
        <f t="shared" si="3"/>
        <v>76173.313860300201</v>
      </c>
      <c r="J24" s="7">
        <f t="shared" si="3"/>
        <v>194949.6852683014</v>
      </c>
      <c r="K24" s="7">
        <f t="shared" si="3"/>
        <v>107775.7156534557</v>
      </c>
      <c r="L24" s="7">
        <f t="shared" si="3"/>
        <v>303701.34733729798</v>
      </c>
      <c r="M24" s="7">
        <f t="shared" si="3"/>
        <v>46075.731999999996</v>
      </c>
      <c r="N24" s="7">
        <f>SUM(B24:M24)</f>
        <v>1508095.8773351472</v>
      </c>
    </row>
    <row r="25" spans="1:44" s="6" customFormat="1">
      <c r="A25" s="6" t="s">
        <v>38</v>
      </c>
      <c r="B25" s="7">
        <f t="shared" si="3"/>
        <v>0</v>
      </c>
      <c r="C25" s="7">
        <f t="shared" si="3"/>
        <v>0</v>
      </c>
      <c r="D25" s="7">
        <f t="shared" si="3"/>
        <v>0</v>
      </c>
      <c r="E25" s="7">
        <f t="shared" si="3"/>
        <v>0</v>
      </c>
      <c r="F25" s="7">
        <f t="shared" si="3"/>
        <v>0</v>
      </c>
      <c r="G25" s="7">
        <f t="shared" si="3"/>
        <v>0</v>
      </c>
      <c r="H25" s="7">
        <f t="shared" si="3"/>
        <v>0</v>
      </c>
      <c r="I25" s="7">
        <f t="shared" si="3"/>
        <v>0</v>
      </c>
      <c r="J25" s="7">
        <f t="shared" si="3"/>
        <v>0</v>
      </c>
      <c r="K25" s="7">
        <f t="shared" si="3"/>
        <v>0</v>
      </c>
      <c r="L25" s="7">
        <f t="shared" si="3"/>
        <v>0</v>
      </c>
      <c r="M25" s="7">
        <f t="shared" si="3"/>
        <v>0</v>
      </c>
      <c r="N25" s="7">
        <f>SUM(B25:M25)</f>
        <v>0</v>
      </c>
    </row>
    <row r="26" spans="1:44" s="6" customFormat="1">
      <c r="A26" s="6" t="s">
        <v>38</v>
      </c>
      <c r="B26" s="15">
        <f t="shared" si="3"/>
        <v>0</v>
      </c>
      <c r="C26" s="15">
        <f t="shared" si="3"/>
        <v>0</v>
      </c>
      <c r="D26" s="15">
        <f t="shared" si="3"/>
        <v>0</v>
      </c>
      <c r="E26" s="15">
        <f t="shared" si="3"/>
        <v>0</v>
      </c>
      <c r="F26" s="15">
        <f t="shared" si="3"/>
        <v>0</v>
      </c>
      <c r="G26" s="15">
        <f t="shared" si="3"/>
        <v>0</v>
      </c>
      <c r="H26" s="15">
        <f t="shared" si="3"/>
        <v>0</v>
      </c>
      <c r="I26" s="15">
        <f t="shared" si="3"/>
        <v>0</v>
      </c>
      <c r="J26" s="15">
        <f t="shared" si="3"/>
        <v>0</v>
      </c>
      <c r="K26" s="15">
        <f t="shared" si="3"/>
        <v>0</v>
      </c>
      <c r="L26" s="15">
        <f t="shared" si="3"/>
        <v>0</v>
      </c>
      <c r="M26" s="15">
        <f t="shared" si="3"/>
        <v>0</v>
      </c>
      <c r="N26" s="15">
        <f>SUM(B26:M26)</f>
        <v>0</v>
      </c>
    </row>
    <row r="27" spans="1:44" s="6" customFormat="1">
      <c r="A27" s="13" t="s">
        <v>39</v>
      </c>
      <c r="B27" s="12">
        <f t="shared" ref="B27:N27" si="4">SUM(B23:B26)</f>
        <v>853302.02464261802</v>
      </c>
      <c r="C27" s="12">
        <f t="shared" si="4"/>
        <v>1909702.3528261189</v>
      </c>
      <c r="D27" s="12">
        <f t="shared" si="4"/>
        <v>2398227.6545461728</v>
      </c>
      <c r="E27" s="12">
        <f t="shared" si="4"/>
        <v>2354025.7644924624</v>
      </c>
      <c r="F27" s="12">
        <f t="shared" si="4"/>
        <v>1639574.9837857659</v>
      </c>
      <c r="G27" s="12">
        <f t="shared" si="4"/>
        <v>1529247.7015384329</v>
      </c>
      <c r="H27" s="12">
        <f t="shared" si="4"/>
        <v>1761544.662285151</v>
      </c>
      <c r="I27" s="12">
        <f t="shared" si="4"/>
        <v>1996060.2807160702</v>
      </c>
      <c r="J27" s="12">
        <f t="shared" si="4"/>
        <v>2149786.3870440014</v>
      </c>
      <c r="K27" s="12">
        <f t="shared" si="4"/>
        <v>1954607.0127168959</v>
      </c>
      <c r="L27" s="12">
        <f t="shared" si="4"/>
        <v>1985413.9571416979</v>
      </c>
      <c r="M27" s="12">
        <f>SUM(M23:M26)</f>
        <v>774354.35505753488</v>
      </c>
      <c r="N27" s="12">
        <f t="shared" si="4"/>
        <v>21305847.136792921</v>
      </c>
    </row>
    <row r="28" spans="1:44" s="6" customFormat="1">
      <c r="B28" s="7"/>
      <c r="C28" s="7"/>
      <c r="D28" s="7"/>
      <c r="E28" s="7"/>
      <c r="F28" s="7"/>
      <c r="G28" s="7"/>
      <c r="H28" s="7"/>
      <c r="I28" s="7"/>
      <c r="J28" s="7"/>
      <c r="K28" s="7"/>
      <c r="L28" s="7"/>
      <c r="M28" s="7"/>
    </row>
    <row r="29" spans="1:44" s="6" customFormat="1">
      <c r="A29" s="13" t="s">
        <v>40</v>
      </c>
      <c r="B29" s="7"/>
      <c r="C29" s="7"/>
      <c r="D29" s="7"/>
      <c r="E29" s="7"/>
      <c r="F29" s="7"/>
      <c r="G29" s="7"/>
      <c r="H29" s="7"/>
      <c r="I29" s="7"/>
      <c r="J29" s="7"/>
      <c r="K29" s="7"/>
      <c r="L29" s="7"/>
      <c r="M29" s="7"/>
    </row>
    <row r="30" spans="1:44" s="6" customFormat="1">
      <c r="A30" s="6" t="s">
        <v>41</v>
      </c>
      <c r="B30" s="53">
        <v>537116.44342461496</v>
      </c>
      <c r="C30" s="53">
        <v>558175.27599569201</v>
      </c>
      <c r="D30" s="53">
        <v>653262.22071265604</v>
      </c>
      <c r="E30" s="53">
        <v>759539.17956081894</v>
      </c>
      <c r="F30" s="53">
        <v>592548.56023265596</v>
      </c>
      <c r="G30" s="53">
        <v>571132.83865265502</v>
      </c>
      <c r="H30" s="53">
        <v>611166.92702081904</v>
      </c>
      <c r="I30" s="53">
        <v>664473.65115265595</v>
      </c>
      <c r="J30" s="53">
        <v>653848.24865265505</v>
      </c>
      <c r="K30" s="53">
        <v>727810.13162081898</v>
      </c>
      <c r="L30" s="53">
        <v>615430.25565265596</v>
      </c>
      <c r="M30" s="53">
        <v>456542.16991265502</v>
      </c>
      <c r="N30" s="7">
        <f>SUM(B30:M30)</f>
        <v>7401045.9025913533</v>
      </c>
    </row>
    <row r="31" spans="1:44" s="6" customFormat="1">
      <c r="A31" s="6" t="s">
        <v>42</v>
      </c>
      <c r="B31" s="53">
        <v>209095.000062276</v>
      </c>
      <c r="C31" s="53">
        <v>195291.749597088</v>
      </c>
      <c r="D31" s="53">
        <v>199695.750264748</v>
      </c>
      <c r="E31" s="53">
        <v>226217.130576158</v>
      </c>
      <c r="F31" s="53">
        <v>194628.20504591099</v>
      </c>
      <c r="G31" s="53">
        <v>192740.601426243</v>
      </c>
      <c r="H31" s="53">
        <v>210196.707905202</v>
      </c>
      <c r="I31" s="53">
        <v>201269.28383633701</v>
      </c>
      <c r="J31" s="53">
        <v>200709.39503545201</v>
      </c>
      <c r="K31" s="53">
        <v>223370.57771881</v>
      </c>
      <c r="L31" s="53">
        <v>196340.080043806</v>
      </c>
      <c r="M31" s="53">
        <v>191011.551540168</v>
      </c>
      <c r="N31" s="7">
        <f>SUM(B31:M31)</f>
        <v>2440566.0330521991</v>
      </c>
    </row>
    <row r="32" spans="1:44" s="6" customFormat="1" ht="15">
      <c r="A32" s="6" t="s">
        <v>38</v>
      </c>
      <c r="B32" s="65"/>
      <c r="C32" s="65"/>
      <c r="D32" s="65"/>
      <c r="E32" s="65"/>
      <c r="F32" s="65"/>
      <c r="G32" s="65"/>
      <c r="H32" s="65"/>
      <c r="I32" s="65"/>
      <c r="J32" s="65"/>
      <c r="K32" s="65"/>
      <c r="L32" s="65"/>
      <c r="M32" s="65"/>
      <c r="N32" s="7">
        <f>SUM(B32:M32)</f>
        <v>0</v>
      </c>
      <c r="P32" s="6">
        <f t="shared" ref="P32:AR32" si="5">+B32*-1</f>
        <v>0</v>
      </c>
      <c r="Q32" s="6">
        <f t="shared" si="5"/>
        <v>0</v>
      </c>
      <c r="R32" s="6">
        <f t="shared" si="5"/>
        <v>0</v>
      </c>
      <c r="S32" s="6">
        <f t="shared" si="5"/>
        <v>0</v>
      </c>
      <c r="T32" s="6">
        <f t="shared" si="5"/>
        <v>0</v>
      </c>
      <c r="U32" s="6">
        <f t="shared" si="5"/>
        <v>0</v>
      </c>
      <c r="V32" s="6">
        <f t="shared" si="5"/>
        <v>0</v>
      </c>
      <c r="W32" s="6">
        <f t="shared" si="5"/>
        <v>0</v>
      </c>
      <c r="X32" s="6">
        <f t="shared" si="5"/>
        <v>0</v>
      </c>
      <c r="Y32" s="6">
        <f t="shared" si="5"/>
        <v>0</v>
      </c>
      <c r="Z32" s="6">
        <f t="shared" si="5"/>
        <v>0</v>
      </c>
      <c r="AA32" s="6">
        <f t="shared" si="5"/>
        <v>0</v>
      </c>
      <c r="AB32" s="6">
        <f t="shared" si="5"/>
        <v>0</v>
      </c>
      <c r="AC32" s="6">
        <f t="shared" si="5"/>
        <v>0</v>
      </c>
      <c r="AD32" s="6">
        <f t="shared" si="5"/>
        <v>0</v>
      </c>
      <c r="AE32" s="6">
        <f t="shared" si="5"/>
        <v>0</v>
      </c>
      <c r="AF32" s="6">
        <f t="shared" si="5"/>
        <v>0</v>
      </c>
      <c r="AG32" s="6">
        <f t="shared" si="5"/>
        <v>0</v>
      </c>
      <c r="AH32" s="6">
        <f t="shared" si="5"/>
        <v>0</v>
      </c>
      <c r="AI32" s="6">
        <f t="shared" si="5"/>
        <v>0</v>
      </c>
      <c r="AJ32" s="6">
        <f t="shared" si="5"/>
        <v>0</v>
      </c>
      <c r="AK32" s="6">
        <f t="shared" si="5"/>
        <v>0</v>
      </c>
      <c r="AL32" s="6">
        <f t="shared" si="5"/>
        <v>0</v>
      </c>
      <c r="AM32" s="6">
        <f t="shared" si="5"/>
        <v>0</v>
      </c>
      <c r="AN32" s="6">
        <f t="shared" si="5"/>
        <v>0</v>
      </c>
      <c r="AO32" s="6">
        <f t="shared" si="5"/>
        <v>0</v>
      </c>
      <c r="AP32" s="6">
        <f t="shared" si="5"/>
        <v>0</v>
      </c>
      <c r="AQ32" s="6">
        <f t="shared" si="5"/>
        <v>0</v>
      </c>
      <c r="AR32" s="6">
        <f t="shared" si="5"/>
        <v>0</v>
      </c>
    </row>
    <row r="33" spans="1:44" s="6" customFormat="1">
      <c r="B33" s="15"/>
      <c r="C33" s="15"/>
      <c r="D33" s="15"/>
      <c r="E33" s="15"/>
      <c r="F33" s="15"/>
      <c r="G33" s="15"/>
      <c r="H33" s="15"/>
      <c r="I33" s="15"/>
      <c r="J33" s="15"/>
      <c r="K33" s="15"/>
      <c r="L33" s="15"/>
      <c r="M33" s="15"/>
      <c r="N33" s="15">
        <f>SUM(B33:M33)</f>
        <v>0</v>
      </c>
      <c r="Q33" s="6">
        <f t="shared" ref="Q33:AR33" si="6">+C33*-1</f>
        <v>0</v>
      </c>
      <c r="R33" s="6">
        <f t="shared" si="6"/>
        <v>0</v>
      </c>
      <c r="S33" s="6">
        <f t="shared" si="6"/>
        <v>0</v>
      </c>
      <c r="T33" s="6">
        <f t="shared" si="6"/>
        <v>0</v>
      </c>
      <c r="U33" s="6">
        <f t="shared" si="6"/>
        <v>0</v>
      </c>
      <c r="V33" s="6">
        <f t="shared" si="6"/>
        <v>0</v>
      </c>
      <c r="W33" s="6">
        <f t="shared" si="6"/>
        <v>0</v>
      </c>
      <c r="X33" s="6">
        <f t="shared" si="6"/>
        <v>0</v>
      </c>
      <c r="Y33" s="6">
        <f t="shared" si="6"/>
        <v>0</v>
      </c>
      <c r="Z33" s="6">
        <f t="shared" si="6"/>
        <v>0</v>
      </c>
      <c r="AA33" s="6">
        <f t="shared" si="6"/>
        <v>0</v>
      </c>
      <c r="AB33" s="6">
        <f t="shared" si="6"/>
        <v>0</v>
      </c>
      <c r="AC33" s="6">
        <f t="shared" si="6"/>
        <v>0</v>
      </c>
      <c r="AD33" s="6">
        <f t="shared" si="6"/>
        <v>0</v>
      </c>
      <c r="AE33" s="6">
        <f t="shared" si="6"/>
        <v>0</v>
      </c>
      <c r="AF33" s="6">
        <f t="shared" si="6"/>
        <v>0</v>
      </c>
      <c r="AG33" s="6">
        <f t="shared" si="6"/>
        <v>0</v>
      </c>
      <c r="AH33" s="6">
        <f t="shared" si="6"/>
        <v>0</v>
      </c>
      <c r="AI33" s="6">
        <f t="shared" si="6"/>
        <v>0</v>
      </c>
      <c r="AJ33" s="6">
        <f t="shared" si="6"/>
        <v>0</v>
      </c>
      <c r="AK33" s="6">
        <f t="shared" si="6"/>
        <v>0</v>
      </c>
      <c r="AL33" s="6">
        <f t="shared" si="6"/>
        <v>0</v>
      </c>
      <c r="AM33" s="6">
        <f t="shared" si="6"/>
        <v>0</v>
      </c>
      <c r="AN33" s="6">
        <f t="shared" si="6"/>
        <v>0</v>
      </c>
      <c r="AO33" s="6">
        <f t="shared" si="6"/>
        <v>0</v>
      </c>
      <c r="AP33" s="6">
        <f t="shared" si="6"/>
        <v>0</v>
      </c>
      <c r="AQ33" s="6">
        <f t="shared" si="6"/>
        <v>0</v>
      </c>
      <c r="AR33" s="6">
        <f t="shared" si="6"/>
        <v>0</v>
      </c>
    </row>
    <row r="34" spans="1:44" s="6" customFormat="1">
      <c r="A34" s="13" t="s">
        <v>43</v>
      </c>
      <c r="B34" s="12">
        <f t="shared" ref="B34:N34" si="7">SUM(B30:B33)</f>
        <v>746211.44348689099</v>
      </c>
      <c r="C34" s="12">
        <f t="shared" si="7"/>
        <v>753467.02559277997</v>
      </c>
      <c r="D34" s="12">
        <f t="shared" si="7"/>
        <v>852957.97097740404</v>
      </c>
      <c r="E34" s="12">
        <f t="shared" si="7"/>
        <v>985756.31013697688</v>
      </c>
      <c r="F34" s="12">
        <f t="shared" si="7"/>
        <v>787176.76527856698</v>
      </c>
      <c r="G34" s="12">
        <f t="shared" si="7"/>
        <v>763873.44007889798</v>
      </c>
      <c r="H34" s="12">
        <f t="shared" si="7"/>
        <v>821363.6349260211</v>
      </c>
      <c r="I34" s="12">
        <f t="shared" si="7"/>
        <v>865742.93498899299</v>
      </c>
      <c r="J34" s="12">
        <f t="shared" si="7"/>
        <v>854557.64368810703</v>
      </c>
      <c r="K34" s="12">
        <f t="shared" si="7"/>
        <v>951180.70933962893</v>
      </c>
      <c r="L34" s="12">
        <f t="shared" si="7"/>
        <v>811770.33569646196</v>
      </c>
      <c r="M34" s="12">
        <f t="shared" si="7"/>
        <v>647553.72145282303</v>
      </c>
      <c r="N34" s="12">
        <f t="shared" si="7"/>
        <v>9841611.9356435519</v>
      </c>
      <c r="O34" s="7"/>
    </row>
    <row r="35" spans="1:44" s="6" customFormat="1">
      <c r="B35" s="7"/>
      <c r="C35" s="7"/>
      <c r="D35" s="7"/>
      <c r="E35" s="7"/>
      <c r="F35" s="7"/>
      <c r="G35" s="7"/>
      <c r="H35" s="7"/>
      <c r="I35" s="7"/>
      <c r="J35" s="7"/>
      <c r="K35" s="7"/>
      <c r="L35" s="7"/>
      <c r="M35" s="7"/>
    </row>
    <row r="36" spans="1:44" s="6" customFormat="1">
      <c r="A36" s="13" t="s">
        <v>44</v>
      </c>
      <c r="B36" s="7"/>
      <c r="C36" s="7"/>
      <c r="D36" s="7"/>
      <c r="E36" s="7"/>
      <c r="F36" s="7"/>
      <c r="G36" s="7"/>
      <c r="H36" s="7"/>
      <c r="I36" s="7"/>
      <c r="J36" s="7"/>
      <c r="K36" s="7"/>
      <c r="L36" s="7"/>
      <c r="M36" s="7"/>
    </row>
    <row r="37" spans="1:44" s="6" customFormat="1">
      <c r="A37" s="6" t="s">
        <v>45</v>
      </c>
      <c r="B37" s="53">
        <v>1203383.850014203</v>
      </c>
      <c r="C37" s="53">
        <v>1280895.4690940941</v>
      </c>
      <c r="D37" s="53">
        <v>1577505.2299712123</v>
      </c>
      <c r="E37" s="53">
        <v>1621576.5698087905</v>
      </c>
      <c r="F37" s="53">
        <v>1397109.5265258201</v>
      </c>
      <c r="G37" s="66">
        <v>1381899.2128031002</v>
      </c>
      <c r="H37" s="66">
        <v>1338862.8735315695</v>
      </c>
      <c r="I37" s="66">
        <v>1447399.3372471465</v>
      </c>
      <c r="J37" s="66">
        <v>1483783.6270001915</v>
      </c>
      <c r="K37" s="53">
        <v>1521178.5687367001</v>
      </c>
      <c r="L37" s="53">
        <v>1366856.0727674812</v>
      </c>
      <c r="M37" s="53">
        <v>1089068.663147087</v>
      </c>
      <c r="N37" s="7">
        <f>SUM(B37:M37)</f>
        <v>16709519.000647396</v>
      </c>
      <c r="O37" s="53"/>
      <c r="P37" s="62"/>
    </row>
    <row r="38" spans="1:44" s="6" customFormat="1">
      <c r="A38" s="6" t="s">
        <v>46</v>
      </c>
      <c r="B38" s="7">
        <f>-B34</f>
        <v>-746211.44348689099</v>
      </c>
      <c r="C38" s="7">
        <f t="shared" ref="C38:M38" si="8">-C34</f>
        <v>-753467.02559277997</v>
      </c>
      <c r="D38" s="7">
        <f t="shared" si="8"/>
        <v>-852957.97097740404</v>
      </c>
      <c r="E38" s="7">
        <f t="shared" si="8"/>
        <v>-985756.31013697688</v>
      </c>
      <c r="F38" s="7">
        <f t="shared" si="8"/>
        <v>-787176.76527856698</v>
      </c>
      <c r="G38" s="7">
        <f t="shared" si="8"/>
        <v>-763873.44007889798</v>
      </c>
      <c r="H38" s="7">
        <f t="shared" si="8"/>
        <v>-821363.6349260211</v>
      </c>
      <c r="I38" s="7">
        <f t="shared" si="8"/>
        <v>-865742.93498899299</v>
      </c>
      <c r="J38" s="7">
        <f t="shared" si="8"/>
        <v>-854557.64368810703</v>
      </c>
      <c r="K38" s="7">
        <f t="shared" si="8"/>
        <v>-951180.70933962893</v>
      </c>
      <c r="L38" s="7">
        <f t="shared" si="8"/>
        <v>-811770.33569646196</v>
      </c>
      <c r="M38" s="7">
        <f t="shared" si="8"/>
        <v>-647553.72145282303</v>
      </c>
      <c r="N38" s="7">
        <f>SUM(B38:M38)</f>
        <v>-9841611.9356435519</v>
      </c>
    </row>
    <row r="39" spans="1:44" s="6" customFormat="1">
      <c r="A39" s="6" t="s">
        <v>47</v>
      </c>
      <c r="B39" s="53">
        <v>-76364.461666666597</v>
      </c>
      <c r="C39" s="53">
        <v>-75707.591666666602</v>
      </c>
      <c r="D39" s="53">
        <v>-75677.401666666599</v>
      </c>
      <c r="E39" s="53">
        <v>-84889.941666666593</v>
      </c>
      <c r="F39" s="53">
        <v>-84889.941666666593</v>
      </c>
      <c r="G39" s="53">
        <v>-84858.961666666597</v>
      </c>
      <c r="H39" s="53">
        <v>-82257.801666666594</v>
      </c>
      <c r="I39" s="53">
        <v>-82098.931666666598</v>
      </c>
      <c r="J39" s="53">
        <v>-82065.061666666603</v>
      </c>
      <c r="K39" s="53">
        <v>-81467.421666666603</v>
      </c>
      <c r="L39" s="53">
        <v>-81449.971666666606</v>
      </c>
      <c r="M39" s="53">
        <v>-80077.631666666595</v>
      </c>
      <c r="N39" s="7">
        <v>-971805.1199999993</v>
      </c>
    </row>
    <row r="40" spans="1:44" s="6" customFormat="1">
      <c r="A40" s="67" t="s">
        <v>78</v>
      </c>
      <c r="B40" s="53"/>
      <c r="C40" s="53"/>
      <c r="D40" s="53"/>
      <c r="E40" s="53"/>
      <c r="F40" s="53"/>
      <c r="G40" s="53"/>
      <c r="H40" s="53"/>
      <c r="I40" s="53"/>
      <c r="J40" s="53"/>
      <c r="K40" s="53"/>
      <c r="L40" s="53"/>
      <c r="M40" s="53"/>
      <c r="N40" s="7">
        <f>SUM(B40:M40)</f>
        <v>0</v>
      </c>
    </row>
    <row r="41" spans="1:44" s="6" customFormat="1">
      <c r="A41" s="6" t="s">
        <v>48</v>
      </c>
      <c r="B41" s="60">
        <v>-10663.666666666701</v>
      </c>
      <c r="C41" s="60">
        <v>-10663.666666666701</v>
      </c>
      <c r="D41" s="60">
        <v>-10663.666666666701</v>
      </c>
      <c r="E41" s="60">
        <v>-10663.666666666701</v>
      </c>
      <c r="F41" s="60">
        <v>-10663.666666666701</v>
      </c>
      <c r="G41" s="60">
        <v>-10663.666666666701</v>
      </c>
      <c r="H41" s="60">
        <v>-10663.666666666701</v>
      </c>
      <c r="I41" s="60">
        <v>-10663.666666666701</v>
      </c>
      <c r="J41" s="60">
        <v>-10964</v>
      </c>
      <c r="K41" s="60">
        <v>-10864</v>
      </c>
      <c r="L41" s="60">
        <v>-10964</v>
      </c>
      <c r="M41" s="60">
        <v>-10664</v>
      </c>
      <c r="N41" s="15">
        <f>SUM(B41:M41)</f>
        <v>-128765.3333333336</v>
      </c>
    </row>
    <row r="42" spans="1:44" s="6" customFormat="1">
      <c r="A42" s="13" t="s">
        <v>49</v>
      </c>
      <c r="B42" s="12">
        <f t="shared" ref="B42:N42" si="9">SUM(B37:B41)</f>
        <v>370144.27819397871</v>
      </c>
      <c r="C42" s="12">
        <f t="shared" si="9"/>
        <v>441057.18516798085</v>
      </c>
      <c r="D42" s="12">
        <f t="shared" si="9"/>
        <v>638206.19066047494</v>
      </c>
      <c r="E42" s="12">
        <f t="shared" si="9"/>
        <v>540266.65133848018</v>
      </c>
      <c r="F42" s="12">
        <f t="shared" si="9"/>
        <v>514379.15291391994</v>
      </c>
      <c r="G42" s="12">
        <f t="shared" si="9"/>
        <v>522503.14439086901</v>
      </c>
      <c r="H42" s="12">
        <f t="shared" si="9"/>
        <v>424577.77027221513</v>
      </c>
      <c r="I42" s="12">
        <f t="shared" si="9"/>
        <v>488893.80392482027</v>
      </c>
      <c r="J42" s="12">
        <f t="shared" si="9"/>
        <v>536196.92164541781</v>
      </c>
      <c r="K42" s="12">
        <f t="shared" si="9"/>
        <v>477666.43773040455</v>
      </c>
      <c r="L42" s="12">
        <f t="shared" si="9"/>
        <v>462671.76540435263</v>
      </c>
      <c r="M42" s="12">
        <f t="shared" si="9"/>
        <v>350773.31002759736</v>
      </c>
      <c r="N42" s="12">
        <f t="shared" si="9"/>
        <v>5767336.6116705108</v>
      </c>
    </row>
    <row r="43" spans="1:44">
      <c r="A43" s="1"/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2"/>
      <c r="N43" s="12"/>
      <c r="O43" s="6"/>
    </row>
    <row r="44" spans="1:44">
      <c r="A44" s="13" t="s">
        <v>50</v>
      </c>
      <c r="B44" s="53">
        <v>368341.5022621688</v>
      </c>
      <c r="C44" s="53">
        <v>275080.11564446817</v>
      </c>
      <c r="D44" s="53">
        <v>333220.85264446813</v>
      </c>
      <c r="E44" s="53">
        <v>325654.34176216874</v>
      </c>
      <c r="F44" s="53">
        <v>309928.67264446814</v>
      </c>
      <c r="G44" s="53">
        <v>418573.73264446814</v>
      </c>
      <c r="H44" s="59">
        <v>320964.16545716883</v>
      </c>
      <c r="I44" s="53">
        <v>283542.94633946812</v>
      </c>
      <c r="J44" s="53">
        <v>318115.5463394681</v>
      </c>
      <c r="K44" s="53">
        <v>331200.75545716879</v>
      </c>
      <c r="L44" s="53">
        <v>295624.06633946812</v>
      </c>
      <c r="M44" s="53">
        <v>637691.65717914759</v>
      </c>
      <c r="N44" s="12">
        <f>SUM(B44:M44)</f>
        <v>4217938.3547140993</v>
      </c>
      <c r="O44" s="6"/>
    </row>
    <row r="45" spans="1:44">
      <c r="A45" s="6" t="s">
        <v>51</v>
      </c>
      <c r="B45" s="22">
        <v>-5000</v>
      </c>
      <c r="C45" s="22">
        <v>-5000</v>
      </c>
      <c r="D45" s="22">
        <v>-5000</v>
      </c>
      <c r="E45" s="22">
        <v>-5000</v>
      </c>
      <c r="F45" s="22">
        <v>-5000</v>
      </c>
      <c r="G45" s="22">
        <v>-5000</v>
      </c>
      <c r="H45" s="22">
        <v>-5000</v>
      </c>
      <c r="I45" s="22">
        <v>-5000</v>
      </c>
      <c r="J45" s="22">
        <v>-5000</v>
      </c>
      <c r="K45" s="22">
        <v>-5000</v>
      </c>
      <c r="L45" s="22">
        <v>-5000</v>
      </c>
      <c r="M45" s="22">
        <v>-5000</v>
      </c>
      <c r="N45" s="22">
        <f>SUM(B45:M45)</f>
        <v>-60000</v>
      </c>
      <c r="O45" s="6"/>
    </row>
    <row r="46" spans="1:44">
      <c r="A46" s="1" t="s">
        <v>50</v>
      </c>
      <c r="B46" s="12">
        <f>SUM(B44:B45)</f>
        <v>363341.5022621688</v>
      </c>
      <c r="C46" s="12">
        <f>SUM(C44:C45)</f>
        <v>270080.11564446817</v>
      </c>
      <c r="D46" s="12">
        <f t="shared" ref="D46:N46" si="10">SUM(D44:D45)</f>
        <v>328220.85264446813</v>
      </c>
      <c r="E46" s="12">
        <f t="shared" si="10"/>
        <v>320654.34176216874</v>
      </c>
      <c r="F46" s="12">
        <f t="shared" si="10"/>
        <v>304928.67264446814</v>
      </c>
      <c r="G46" s="12">
        <f t="shared" si="10"/>
        <v>413573.73264446814</v>
      </c>
      <c r="H46" s="12">
        <f t="shared" si="10"/>
        <v>315964.16545716883</v>
      </c>
      <c r="I46" s="12">
        <f t="shared" si="10"/>
        <v>278542.94633946812</v>
      </c>
      <c r="J46" s="12">
        <f t="shared" si="10"/>
        <v>313115.5463394681</v>
      </c>
      <c r="K46" s="12">
        <f t="shared" si="10"/>
        <v>326200.75545716879</v>
      </c>
      <c r="L46" s="12">
        <f t="shared" si="10"/>
        <v>290624.06633946812</v>
      </c>
      <c r="M46" s="32">
        <f t="shared" si="10"/>
        <v>632691.65717914759</v>
      </c>
      <c r="N46" s="12">
        <f t="shared" si="10"/>
        <v>4157938.3547140993</v>
      </c>
      <c r="O46" s="6"/>
    </row>
    <row r="47" spans="1:44">
      <c r="B47" s="7"/>
      <c r="C47" s="7"/>
      <c r="D47" s="7"/>
      <c r="E47" s="7"/>
      <c r="F47" s="7"/>
      <c r="G47" s="7"/>
      <c r="H47" s="7"/>
      <c r="I47" s="7"/>
      <c r="J47" s="7"/>
      <c r="K47" s="6"/>
      <c r="L47" s="6"/>
      <c r="M47" s="6"/>
      <c r="N47" s="6"/>
      <c r="O47" s="6"/>
    </row>
    <row r="48" spans="1:44">
      <c r="A48" s="13" t="s">
        <v>52</v>
      </c>
      <c r="B48" s="19">
        <f t="shared" ref="B48:N48" si="11">+B20+B34+B42+B46</f>
        <v>2076751.4924100006</v>
      </c>
      <c r="C48" s="19">
        <f t="shared" si="11"/>
        <v>4667500.6631289087</v>
      </c>
      <c r="D48" s="19">
        <f t="shared" si="11"/>
        <v>3560284.3538665269</v>
      </c>
      <c r="E48" s="19">
        <f t="shared" si="11"/>
        <v>3185876.5738340863</v>
      </c>
      <c r="F48" s="19">
        <f t="shared" si="11"/>
        <v>2526926.8867620029</v>
      </c>
      <c r="G48" s="19">
        <f t="shared" si="11"/>
        <v>2694465.9449283639</v>
      </c>
      <c r="H48" s="19">
        <f t="shared" si="11"/>
        <v>4286104.1381694749</v>
      </c>
      <c r="I48" s="19">
        <f t="shared" si="11"/>
        <v>2942677.8467976716</v>
      </c>
      <c r="J48" s="19">
        <f t="shared" si="11"/>
        <v>2850298.022130433</v>
      </c>
      <c r="K48" s="19">
        <f t="shared" si="11"/>
        <v>2769505.7272803225</v>
      </c>
      <c r="L48" s="19">
        <f t="shared" si="11"/>
        <v>2767912.4922030023</v>
      </c>
      <c r="M48" s="19">
        <f t="shared" si="11"/>
        <v>2439604.0126127731</v>
      </c>
      <c r="N48" s="19">
        <f t="shared" si="11"/>
        <v>36767908.15412356</v>
      </c>
      <c r="O48" s="6"/>
    </row>
    <row r="49" spans="1:17">
      <c r="B49" s="7"/>
      <c r="C49" s="7"/>
      <c r="D49" s="7"/>
      <c r="E49" s="7"/>
      <c r="F49" s="7"/>
      <c r="G49" s="7"/>
      <c r="H49" s="7"/>
      <c r="I49" s="7"/>
      <c r="J49" s="7"/>
      <c r="K49" s="6"/>
      <c r="L49" s="6"/>
      <c r="M49" s="6"/>
      <c r="N49" s="6"/>
      <c r="O49" s="6"/>
    </row>
    <row r="50" spans="1:17">
      <c r="A50" s="1" t="s">
        <v>53</v>
      </c>
      <c r="B50" s="12">
        <f t="shared" ref="B50:M50" si="12">+B13-B48</f>
        <v>-626395.1993004207</v>
      </c>
      <c r="C50" s="12">
        <f t="shared" si="12"/>
        <v>445098.02642089035</v>
      </c>
      <c r="D50" s="12">
        <f t="shared" si="12"/>
        <v>578842.64026382612</v>
      </c>
      <c r="E50" s="12">
        <f t="shared" si="12"/>
        <v>507348.46125483606</v>
      </c>
      <c r="F50" s="12">
        <f t="shared" si="12"/>
        <v>33090.392948810942</v>
      </c>
      <c r="G50" s="12">
        <f t="shared" si="12"/>
        <v>-170702.61557580205</v>
      </c>
      <c r="H50" s="12">
        <f t="shared" si="12"/>
        <v>199639.09162974637</v>
      </c>
      <c r="I50" s="12">
        <f t="shared" si="12"/>
        <v>362880.59546278836</v>
      </c>
      <c r="J50" s="12">
        <f t="shared" si="12"/>
        <v>445916.27537100855</v>
      </c>
      <c r="K50" s="12">
        <f t="shared" si="12"/>
        <v>199559.11018969351</v>
      </c>
      <c r="L50" s="12">
        <f t="shared" si="12"/>
        <v>420347.78970141569</v>
      </c>
      <c r="M50" s="12">
        <f t="shared" si="12"/>
        <v>-856664.33360203309</v>
      </c>
      <c r="N50" s="12">
        <f>SUM(B50:M50)</f>
        <v>1538960.2347647599</v>
      </c>
      <c r="O50" s="6"/>
      <c r="P50" s="25"/>
    </row>
    <row r="51" spans="1:17" ht="7.5" customHeight="1">
      <c r="B51" s="7"/>
      <c r="C51" s="7"/>
      <c r="D51" s="7"/>
      <c r="E51" s="7"/>
      <c r="F51" s="7"/>
      <c r="G51" s="7"/>
      <c r="H51" s="7"/>
      <c r="I51" s="7"/>
      <c r="J51" s="7"/>
      <c r="K51" s="6"/>
      <c r="L51" s="6"/>
      <c r="M51" s="6"/>
      <c r="N51" s="6"/>
      <c r="O51" s="6"/>
    </row>
    <row r="52" spans="1:17">
      <c r="A52" s="1" t="s">
        <v>54</v>
      </c>
      <c r="B52" s="7"/>
      <c r="C52" s="7"/>
      <c r="D52" s="7"/>
      <c r="E52" s="7"/>
      <c r="F52" s="7"/>
      <c r="G52" s="7"/>
      <c r="H52" s="7"/>
      <c r="I52" s="7"/>
      <c r="J52" s="7"/>
      <c r="K52" s="6"/>
      <c r="L52" s="6"/>
      <c r="M52" s="6"/>
      <c r="N52" s="6"/>
      <c r="O52" s="6"/>
    </row>
    <row r="53" spans="1:17" s="6" customFormat="1">
      <c r="A53" s="6" t="s">
        <v>55</v>
      </c>
      <c r="B53" s="10">
        <v>52000</v>
      </c>
      <c r="C53" s="10">
        <v>20000</v>
      </c>
      <c r="D53" s="10">
        <v>10000</v>
      </c>
      <c r="E53" s="10">
        <v>44355</v>
      </c>
      <c r="F53" s="10">
        <v>186840</v>
      </c>
      <c r="G53" s="10">
        <v>202000</v>
      </c>
      <c r="H53" s="23">
        <v>197000</v>
      </c>
      <c r="I53" s="10">
        <v>142000</v>
      </c>
      <c r="J53" s="10">
        <v>119000</v>
      </c>
      <c r="K53" s="10">
        <v>0</v>
      </c>
      <c r="L53" s="10">
        <v>0</v>
      </c>
      <c r="M53" s="10">
        <v>455000</v>
      </c>
      <c r="N53" s="10">
        <f>SUM(B53:M53)</f>
        <v>1428195</v>
      </c>
      <c r="P53" s="40"/>
    </row>
    <row r="54" spans="1:17" s="6" customFormat="1">
      <c r="A54" s="6" t="s">
        <v>56</v>
      </c>
      <c r="B54" s="10"/>
      <c r="C54" s="10"/>
      <c r="D54" s="51">
        <v>-520000</v>
      </c>
      <c r="E54" s="10"/>
      <c r="F54" s="51">
        <v>95000</v>
      </c>
      <c r="G54" s="10"/>
      <c r="H54" s="10"/>
      <c r="I54" s="10"/>
      <c r="J54" s="10"/>
      <c r="K54" s="10"/>
      <c r="L54" s="10"/>
      <c r="M54" s="10"/>
      <c r="N54" s="10">
        <f>SUM(B54:M54)</f>
        <v>-425000</v>
      </c>
      <c r="P54" s="7"/>
      <c r="Q54" s="6">
        <v>0</v>
      </c>
    </row>
    <row r="55" spans="1:17" s="6" customFormat="1">
      <c r="A55" s="6" t="s">
        <v>57</v>
      </c>
      <c r="B55" s="51">
        <f>50000+228312</f>
        <v>278312</v>
      </c>
      <c r="C55" s="10">
        <v>50000</v>
      </c>
      <c r="D55" s="10">
        <v>50000</v>
      </c>
      <c r="E55" s="10">
        <v>50000</v>
      </c>
      <c r="F55" s="10">
        <v>50000</v>
      </c>
      <c r="G55" s="10">
        <v>50000</v>
      </c>
      <c r="H55" s="10">
        <v>50000</v>
      </c>
      <c r="I55" s="10">
        <v>50000</v>
      </c>
      <c r="J55" s="10">
        <v>50000</v>
      </c>
      <c r="K55" s="10">
        <v>50000</v>
      </c>
      <c r="L55" s="10"/>
      <c r="M55" s="10"/>
      <c r="N55" s="10">
        <f>SUM(B55:M55)</f>
        <v>728312</v>
      </c>
      <c r="P55" s="7"/>
    </row>
    <row r="56" spans="1:17" s="6" customFormat="1">
      <c r="A56" s="37" t="s">
        <v>58</v>
      </c>
      <c r="B56" s="7">
        <v>-8000</v>
      </c>
      <c r="C56" s="7">
        <v>-8000</v>
      </c>
      <c r="D56" s="7">
        <v>-8000</v>
      </c>
      <c r="E56" s="7">
        <v>-8000</v>
      </c>
      <c r="F56" s="7">
        <v>-8000</v>
      </c>
      <c r="G56" s="7">
        <v>-8000</v>
      </c>
      <c r="H56" s="7">
        <v>-8000</v>
      </c>
      <c r="I56" s="7">
        <v>-8000</v>
      </c>
      <c r="J56" s="7">
        <v>-9000</v>
      </c>
      <c r="K56" s="7">
        <v>-9000</v>
      </c>
      <c r="L56" s="7">
        <v>-9000</v>
      </c>
      <c r="M56" s="7">
        <v>-9000</v>
      </c>
      <c r="N56" s="7">
        <f>SUM(B56:M56)</f>
        <v>-100000</v>
      </c>
      <c r="P56" s="56"/>
    </row>
    <row r="57" spans="1:17" s="6" customFormat="1">
      <c r="A57" s="6" t="s">
        <v>59</v>
      </c>
      <c r="B57" s="22">
        <v>-25000</v>
      </c>
      <c r="C57" s="22">
        <v>-25000</v>
      </c>
      <c r="D57" s="22">
        <v>-25000</v>
      </c>
      <c r="E57" s="22">
        <v>-25000</v>
      </c>
      <c r="F57" s="22">
        <v>-25000</v>
      </c>
      <c r="G57" s="22">
        <v>-25000</v>
      </c>
      <c r="H57" s="22">
        <v>-25000</v>
      </c>
      <c r="I57" s="22">
        <v>-25000</v>
      </c>
      <c r="J57" s="22">
        <v>-25000</v>
      </c>
      <c r="K57" s="22">
        <v>-25000</v>
      </c>
      <c r="L57" s="22">
        <v>-25000</v>
      </c>
      <c r="M57" s="22">
        <v>-25000</v>
      </c>
      <c r="N57" s="22">
        <f>SUM(B57:M57)</f>
        <v>-300000</v>
      </c>
      <c r="P57" s="7"/>
    </row>
    <row r="58" spans="1:17" s="6" customFormat="1">
      <c r="A58" s="13" t="s">
        <v>60</v>
      </c>
      <c r="B58" s="19">
        <f t="shared" ref="B58:N58" si="13">SUM(B53:B57)</f>
        <v>297312</v>
      </c>
      <c r="C58" s="19">
        <f t="shared" si="13"/>
        <v>37000</v>
      </c>
      <c r="D58" s="19">
        <f t="shared" si="13"/>
        <v>-493000</v>
      </c>
      <c r="E58" s="19">
        <f t="shared" si="13"/>
        <v>61355</v>
      </c>
      <c r="F58" s="19">
        <f t="shared" si="13"/>
        <v>298840</v>
      </c>
      <c r="G58" s="19">
        <f t="shared" si="13"/>
        <v>219000</v>
      </c>
      <c r="H58" s="19">
        <f t="shared" si="13"/>
        <v>214000</v>
      </c>
      <c r="I58" s="19">
        <f t="shared" si="13"/>
        <v>159000</v>
      </c>
      <c r="J58" s="19">
        <f t="shared" si="13"/>
        <v>135000</v>
      </c>
      <c r="K58" s="19">
        <f t="shared" si="13"/>
        <v>16000</v>
      </c>
      <c r="L58" s="19">
        <f t="shared" si="13"/>
        <v>-34000</v>
      </c>
      <c r="M58" s="19">
        <f t="shared" si="13"/>
        <v>421000</v>
      </c>
      <c r="N58" s="19">
        <f t="shared" si="13"/>
        <v>1331507</v>
      </c>
    </row>
    <row r="59" spans="1:17">
      <c r="B59" s="7"/>
      <c r="C59" s="7"/>
      <c r="D59" s="7"/>
      <c r="E59" s="7"/>
      <c r="F59" s="7"/>
      <c r="G59" s="7"/>
      <c r="H59" s="7"/>
      <c r="I59" s="7"/>
      <c r="J59" s="7"/>
      <c r="K59" s="7"/>
      <c r="L59" s="7"/>
      <c r="M59" s="7"/>
      <c r="N59" s="7"/>
      <c r="O59" s="6"/>
    </row>
    <row r="60" spans="1:17">
      <c r="A60" s="1" t="s">
        <v>61</v>
      </c>
      <c r="B60" s="12">
        <v>10990495</v>
      </c>
      <c r="C60" s="7"/>
      <c r="D60" s="7"/>
      <c r="E60" s="7"/>
      <c r="F60" s="7"/>
      <c r="G60" s="7"/>
      <c r="H60" s="7" t="s">
        <v>38</v>
      </c>
      <c r="I60" s="7"/>
      <c r="J60" s="7"/>
      <c r="K60" s="6"/>
      <c r="L60" s="6"/>
      <c r="M60" s="6"/>
      <c r="N60" s="6"/>
      <c r="O60" s="6"/>
    </row>
    <row r="61" spans="1:17">
      <c r="A61" s="13" t="s">
        <v>62</v>
      </c>
      <c r="B61" s="19">
        <f t="shared" ref="B61:N61" si="14">+B58+B48</f>
        <v>2374063.4924100004</v>
      </c>
      <c r="C61" s="19">
        <f t="shared" si="14"/>
        <v>4704500.6631289087</v>
      </c>
      <c r="D61" s="19">
        <f t="shared" si="14"/>
        <v>3067284.3538665269</v>
      </c>
      <c r="E61" s="19">
        <f t="shared" si="14"/>
        <v>3247231.5738340863</v>
      </c>
      <c r="F61" s="19">
        <f t="shared" si="14"/>
        <v>2825766.8867620029</v>
      </c>
      <c r="G61" s="19">
        <f t="shared" si="14"/>
        <v>2913465.9449283639</v>
      </c>
      <c r="H61" s="19">
        <f t="shared" si="14"/>
        <v>4500104.1381694749</v>
      </c>
      <c r="I61" s="19">
        <f t="shared" si="14"/>
        <v>3101677.8467976716</v>
      </c>
      <c r="J61" s="19">
        <f t="shared" si="14"/>
        <v>2985298.022130433</v>
      </c>
      <c r="K61" s="19">
        <f t="shared" si="14"/>
        <v>2785505.7272803225</v>
      </c>
      <c r="L61" s="19">
        <f t="shared" si="14"/>
        <v>2733912.4922030023</v>
      </c>
      <c r="M61" s="19">
        <f t="shared" si="14"/>
        <v>2860604.0126127731</v>
      </c>
      <c r="N61" s="19">
        <f t="shared" si="14"/>
        <v>38099415.15412356</v>
      </c>
      <c r="O61" s="6"/>
    </row>
    <row r="62" spans="1:17" ht="13.5" thickBot="1">
      <c r="A62" s="13" t="s">
        <v>63</v>
      </c>
      <c r="B62" s="30">
        <f t="shared" ref="B62:N62" si="15">+B13-B61</f>
        <v>-923707.19930042047</v>
      </c>
      <c r="C62" s="30">
        <f t="shared" si="15"/>
        <v>408098.02642089035</v>
      </c>
      <c r="D62" s="30">
        <f t="shared" si="15"/>
        <v>1071842.6402638261</v>
      </c>
      <c r="E62" s="30">
        <f t="shared" si="15"/>
        <v>445993.46125483606</v>
      </c>
      <c r="F62" s="30">
        <f t="shared" si="15"/>
        <v>-265749.60705118906</v>
      </c>
      <c r="G62" s="30">
        <f t="shared" si="15"/>
        <v>-389702.61557580205</v>
      </c>
      <c r="H62" s="30">
        <f t="shared" si="15"/>
        <v>-14360.90837025363</v>
      </c>
      <c r="I62" s="30">
        <f t="shared" si="15"/>
        <v>203880.59546278836</v>
      </c>
      <c r="J62" s="30">
        <f t="shared" si="15"/>
        <v>310916.27537100855</v>
      </c>
      <c r="K62" s="30">
        <f t="shared" si="15"/>
        <v>183559.11018969351</v>
      </c>
      <c r="L62" s="30">
        <f t="shared" si="15"/>
        <v>454347.78970141569</v>
      </c>
      <c r="M62" s="30">
        <f t="shared" si="15"/>
        <v>-1277664.3336020331</v>
      </c>
      <c r="N62" s="14">
        <f t="shared" si="15"/>
        <v>207453.23476476967</v>
      </c>
      <c r="O62" s="6"/>
      <c r="P62" s="25"/>
    </row>
    <row r="63" spans="1:17" s="6" customFormat="1" ht="13.5" thickTop="1">
      <c r="A63" s="13" t="s">
        <v>64</v>
      </c>
      <c r="B63" s="32">
        <f>+B62</f>
        <v>-923707.19930042047</v>
      </c>
      <c r="C63" s="32">
        <f t="shared" ref="C63:M63" si="16">B63+C62</f>
        <v>-515609.17287953012</v>
      </c>
      <c r="D63" s="32">
        <f t="shared" si="16"/>
        <v>556233.467384296</v>
      </c>
      <c r="E63" s="32">
        <f t="shared" si="16"/>
        <v>1002226.9286391321</v>
      </c>
      <c r="F63" s="32">
        <f t="shared" si="16"/>
        <v>736477.32158794301</v>
      </c>
      <c r="G63" s="32">
        <f t="shared" si="16"/>
        <v>346774.70601214096</v>
      </c>
      <c r="H63" s="32">
        <f t="shared" si="16"/>
        <v>332413.79764188733</v>
      </c>
      <c r="I63" s="32">
        <f t="shared" si="16"/>
        <v>536294.39310467569</v>
      </c>
      <c r="J63" s="32">
        <f t="shared" si="16"/>
        <v>847210.66847568424</v>
      </c>
      <c r="K63" s="32">
        <f t="shared" si="16"/>
        <v>1030769.7786653778</v>
      </c>
      <c r="L63" s="32">
        <f t="shared" si="16"/>
        <v>1485117.5683667934</v>
      </c>
      <c r="M63" s="32">
        <f t="shared" si="16"/>
        <v>207453.23476476036</v>
      </c>
      <c r="N63" s="12"/>
    </row>
    <row r="64" spans="1:17">
      <c r="A64" s="13" t="s">
        <v>65</v>
      </c>
      <c r="B64" s="12">
        <f t="shared" ref="B64:M64" si="17">+$B$60+B63</f>
        <v>10066787.80069958</v>
      </c>
      <c r="C64" s="12">
        <f t="shared" si="17"/>
        <v>10474885.82712047</v>
      </c>
      <c r="D64" s="12">
        <f t="shared" si="17"/>
        <v>11546728.467384296</v>
      </c>
      <c r="E64" s="12">
        <f t="shared" si="17"/>
        <v>11992721.928639133</v>
      </c>
      <c r="F64" s="12">
        <f t="shared" si="17"/>
        <v>11726972.321587943</v>
      </c>
      <c r="G64" s="12">
        <f t="shared" si="17"/>
        <v>11337269.706012141</v>
      </c>
      <c r="H64" s="12">
        <f t="shared" si="17"/>
        <v>11322908.797641888</v>
      </c>
      <c r="I64" s="12">
        <f t="shared" si="17"/>
        <v>11526789.393104676</v>
      </c>
      <c r="J64" s="12">
        <f t="shared" si="17"/>
        <v>11837705.668475684</v>
      </c>
      <c r="K64" s="12">
        <f t="shared" si="17"/>
        <v>12021264.778665379</v>
      </c>
      <c r="L64" s="12">
        <f t="shared" si="17"/>
        <v>12475612.568366794</v>
      </c>
      <c r="M64" s="12">
        <f t="shared" si="17"/>
        <v>11197948.23476476</v>
      </c>
      <c r="N64" s="12"/>
      <c r="O64" s="6"/>
      <c r="P64" s="29"/>
    </row>
    <row r="65" spans="1:16">
      <c r="A65" s="6"/>
      <c r="B65" s="7"/>
      <c r="C65" s="7"/>
      <c r="D65" s="7"/>
      <c r="E65" s="7"/>
      <c r="F65" s="7"/>
      <c r="G65" s="7"/>
      <c r="H65" s="7"/>
      <c r="I65" s="7"/>
      <c r="J65" s="7"/>
      <c r="K65" s="6"/>
      <c r="L65" s="6"/>
      <c r="M65" s="6"/>
      <c r="N65" s="6"/>
      <c r="O65" s="6"/>
    </row>
    <row r="66" spans="1:16" s="6" customFormat="1">
      <c r="A66" s="17" t="s">
        <v>79</v>
      </c>
      <c r="B66" s="18"/>
      <c r="C66" s="18"/>
      <c r="D66" s="18"/>
      <c r="E66" s="18"/>
      <c r="F66" s="18"/>
      <c r="G66" s="18"/>
      <c r="H66" s="18"/>
      <c r="I66" s="18"/>
      <c r="J66" s="18"/>
      <c r="K66" s="18"/>
      <c r="L66" s="18"/>
      <c r="M66" s="18"/>
      <c r="N66" s="18"/>
    </row>
    <row r="67" spans="1:16" ht="13.5" thickBot="1">
      <c r="A67" s="13" t="s">
        <v>67</v>
      </c>
      <c r="B67" s="30">
        <v>-923707.19930042047</v>
      </c>
      <c r="C67" s="30">
        <v>408098.02642089035</v>
      </c>
      <c r="D67" s="30">
        <v>1071842.6402638261</v>
      </c>
      <c r="E67" s="30">
        <v>445993.46125483606</v>
      </c>
      <c r="F67" s="30">
        <v>-265749.60705118906</v>
      </c>
      <c r="G67" s="30">
        <v>-389702.61557580205</v>
      </c>
      <c r="H67" s="30">
        <v>-14360.90837025363</v>
      </c>
      <c r="I67" s="30">
        <v>203880.59546278836</v>
      </c>
      <c r="J67" s="30">
        <v>310916.27537100855</v>
      </c>
      <c r="K67" s="30">
        <v>183559.11018969351</v>
      </c>
      <c r="L67" s="30">
        <v>454347.78970141569</v>
      </c>
      <c r="M67" s="30">
        <v>-1277664.3336020331</v>
      </c>
      <c r="N67" s="16"/>
      <c r="O67" s="6"/>
    </row>
    <row r="68" spans="1:16" ht="13.5" thickTop="1">
      <c r="A68" s="13" t="s">
        <v>64</v>
      </c>
      <c r="B68" s="32">
        <v>-923707.19930042047</v>
      </c>
      <c r="C68" s="32">
        <v>-515609.17287953012</v>
      </c>
      <c r="D68" s="32">
        <v>556233.467384296</v>
      </c>
      <c r="E68" s="32">
        <v>1002226.9286391321</v>
      </c>
      <c r="F68" s="32">
        <v>736477.32158794301</v>
      </c>
      <c r="G68" s="32">
        <v>346774.70601214096</v>
      </c>
      <c r="H68" s="32">
        <v>332413.79764188733</v>
      </c>
      <c r="I68" s="32">
        <v>536294.39310467569</v>
      </c>
      <c r="J68" s="32">
        <v>847210.66847568424</v>
      </c>
      <c r="K68" s="32">
        <v>1030769.7786653778</v>
      </c>
      <c r="L68" s="32">
        <v>1485117.5683667934</v>
      </c>
      <c r="M68" s="32">
        <v>207453.23476476036</v>
      </c>
      <c r="N68" s="16"/>
      <c r="O68" s="6"/>
    </row>
    <row r="69" spans="1:16">
      <c r="A69" s="13" t="s">
        <v>65</v>
      </c>
      <c r="B69" s="12">
        <v>10066787.80069958</v>
      </c>
      <c r="C69" s="12">
        <v>10474885.82712047</v>
      </c>
      <c r="D69" s="12">
        <v>11546728.467384296</v>
      </c>
      <c r="E69" s="12">
        <v>11992721.928639133</v>
      </c>
      <c r="F69" s="12">
        <v>11726972.321587943</v>
      </c>
      <c r="G69" s="12">
        <v>11337269.706012141</v>
      </c>
      <c r="H69" s="12">
        <v>11322908.797641888</v>
      </c>
      <c r="I69" s="12">
        <v>11526789.393104676</v>
      </c>
      <c r="J69" s="12">
        <v>11837705.668475684</v>
      </c>
      <c r="K69" s="12">
        <v>12021264.778665379</v>
      </c>
      <c r="L69" s="12">
        <v>12475612.568366794</v>
      </c>
      <c r="M69" s="12">
        <v>11197948.23476476</v>
      </c>
      <c r="N69" s="12"/>
      <c r="O69" s="6"/>
    </row>
    <row r="70" spans="1:16">
      <c r="A70" s="6"/>
      <c r="B70" s="6"/>
      <c r="C70" s="6"/>
      <c r="D70" s="6"/>
      <c r="E70" s="6"/>
      <c r="F70" s="6"/>
      <c r="H70" s="6"/>
      <c r="I70" s="6"/>
      <c r="J70" s="6"/>
      <c r="K70" s="6"/>
      <c r="L70" s="6"/>
      <c r="M70" s="6"/>
      <c r="N70" s="6"/>
      <c r="O70" s="6"/>
    </row>
    <row r="71" spans="1:16">
      <c r="A71" s="24" t="s">
        <v>68</v>
      </c>
      <c r="B71" s="18"/>
      <c r="C71" s="18"/>
      <c r="D71" s="18"/>
      <c r="E71" s="18"/>
      <c r="F71" s="18"/>
      <c r="G71" s="18"/>
      <c r="H71" s="18"/>
      <c r="I71" s="18"/>
      <c r="J71" s="18"/>
      <c r="K71" s="18"/>
      <c r="L71" s="18"/>
      <c r="M71" s="18"/>
      <c r="N71" s="18"/>
      <c r="O71" s="6"/>
    </row>
    <row r="72" spans="1:16">
      <c r="A72" s="13" t="s">
        <v>63</v>
      </c>
      <c r="B72" s="16">
        <f t="shared" ref="B72:N74" si="18">+B62-B67</f>
        <v>0</v>
      </c>
      <c r="C72" s="16">
        <f t="shared" si="18"/>
        <v>0</v>
      </c>
      <c r="D72" s="16">
        <f t="shared" si="18"/>
        <v>0</v>
      </c>
      <c r="E72" s="16">
        <f t="shared" si="18"/>
        <v>0</v>
      </c>
      <c r="F72" s="16">
        <f t="shared" si="18"/>
        <v>0</v>
      </c>
      <c r="G72" s="16">
        <f t="shared" si="18"/>
        <v>0</v>
      </c>
      <c r="H72" s="16">
        <f t="shared" si="18"/>
        <v>0</v>
      </c>
      <c r="I72" s="16">
        <f t="shared" si="18"/>
        <v>0</v>
      </c>
      <c r="J72" s="16">
        <f t="shared" si="18"/>
        <v>0</v>
      </c>
      <c r="K72" s="16">
        <f t="shared" si="18"/>
        <v>0</v>
      </c>
      <c r="L72" s="16">
        <f t="shared" si="18"/>
        <v>0</v>
      </c>
      <c r="M72" s="16">
        <f t="shared" si="18"/>
        <v>0</v>
      </c>
      <c r="N72" s="6"/>
      <c r="O72" s="6"/>
      <c r="P72" s="16">
        <f>+N62-N67</f>
        <v>207453.23476476967</v>
      </c>
    </row>
    <row r="73" spans="1:16" s="6" customFormat="1">
      <c r="A73" s="13" t="s">
        <v>64</v>
      </c>
      <c r="B73" s="16">
        <f t="shared" si="18"/>
        <v>0</v>
      </c>
      <c r="C73" s="16">
        <f t="shared" si="18"/>
        <v>0</v>
      </c>
      <c r="D73" s="16">
        <f t="shared" si="18"/>
        <v>0</v>
      </c>
      <c r="E73" s="16">
        <f t="shared" si="18"/>
        <v>0</v>
      </c>
      <c r="F73" s="16">
        <f t="shared" si="18"/>
        <v>0</v>
      </c>
      <c r="G73" s="16">
        <f t="shared" si="18"/>
        <v>0</v>
      </c>
      <c r="H73" s="16">
        <f t="shared" si="18"/>
        <v>0</v>
      </c>
      <c r="I73" s="16">
        <f t="shared" si="18"/>
        <v>0</v>
      </c>
      <c r="J73" s="16">
        <f t="shared" si="18"/>
        <v>0</v>
      </c>
      <c r="K73" s="16">
        <f t="shared" si="18"/>
        <v>0</v>
      </c>
      <c r="L73" s="16">
        <f t="shared" si="18"/>
        <v>0</v>
      </c>
      <c r="M73" s="16">
        <f t="shared" si="18"/>
        <v>0</v>
      </c>
      <c r="N73" s="16">
        <f t="shared" si="18"/>
        <v>0</v>
      </c>
    </row>
    <row r="74" spans="1:16">
      <c r="A74" s="1" t="s">
        <v>65</v>
      </c>
      <c r="B74" s="16">
        <f t="shared" si="18"/>
        <v>0</v>
      </c>
      <c r="C74" s="16">
        <f t="shared" si="18"/>
        <v>0</v>
      </c>
      <c r="D74" s="16">
        <f t="shared" si="18"/>
        <v>0</v>
      </c>
      <c r="E74" s="16">
        <f t="shared" si="18"/>
        <v>0</v>
      </c>
      <c r="F74" s="16">
        <f t="shared" si="18"/>
        <v>0</v>
      </c>
      <c r="G74" s="16">
        <f t="shared" si="18"/>
        <v>0</v>
      </c>
      <c r="H74" s="16">
        <f t="shared" si="18"/>
        <v>0</v>
      </c>
      <c r="I74" s="16">
        <f t="shared" si="18"/>
        <v>0</v>
      </c>
      <c r="J74" s="16">
        <f t="shared" si="18"/>
        <v>0</v>
      </c>
      <c r="K74" s="16">
        <f t="shared" si="18"/>
        <v>0</v>
      </c>
      <c r="L74" s="16">
        <f t="shared" si="18"/>
        <v>0</v>
      </c>
      <c r="M74" s="16">
        <f t="shared" si="18"/>
        <v>0</v>
      </c>
      <c r="N74" s="16"/>
      <c r="O74" s="6"/>
    </row>
    <row r="75" spans="1:16">
      <c r="B75" s="6"/>
      <c r="C75" s="6"/>
      <c r="D75" s="6"/>
      <c r="E75" s="6"/>
      <c r="F75" s="6"/>
      <c r="H75" s="6"/>
      <c r="I75" s="6"/>
      <c r="J75" s="6"/>
      <c r="K75" s="6"/>
      <c r="L75" s="6"/>
      <c r="M75" s="6"/>
      <c r="N75" s="6"/>
    </row>
    <row r="76" spans="1:16">
      <c r="A76" s="1"/>
      <c r="B76" s="4"/>
      <c r="C76" s="8"/>
      <c r="D76" s="8"/>
      <c r="E76" s="8"/>
      <c r="F76" s="8"/>
      <c r="H76" s="20"/>
      <c r="J76" s="6"/>
      <c r="K76" s="6"/>
    </row>
    <row r="77" spans="1:16">
      <c r="A77" s="1"/>
      <c r="B77" s="4"/>
      <c r="C77" s="8"/>
      <c r="D77" s="8"/>
      <c r="E77" s="8"/>
      <c r="F77" s="8"/>
      <c r="H77" s="20"/>
      <c r="J77" s="6"/>
    </row>
    <row r="78" spans="1:16">
      <c r="A78" s="1"/>
      <c r="B78" s="4"/>
      <c r="D78" s="8"/>
      <c r="E78" s="8"/>
      <c r="F78" s="8"/>
      <c r="H78" s="61"/>
      <c r="J78" s="6"/>
    </row>
    <row r="79" spans="1:16">
      <c r="E79" s="6"/>
      <c r="H79" s="20"/>
      <c r="J79" s="6"/>
      <c r="N79" s="25"/>
    </row>
    <row r="80" spans="1:16">
      <c r="A80" t="s">
        <v>69</v>
      </c>
      <c r="B80" t="s">
        <v>69</v>
      </c>
      <c r="C80" t="s">
        <v>69</v>
      </c>
      <c r="D80" t="s">
        <v>69</v>
      </c>
      <c r="E80" s="6" t="s">
        <v>69</v>
      </c>
      <c r="F80" t="s">
        <v>69</v>
      </c>
      <c r="G80" s="6" t="s">
        <v>69</v>
      </c>
      <c r="H80" t="s">
        <v>69</v>
      </c>
      <c r="I80" t="s">
        <v>69</v>
      </c>
      <c r="J80" s="6" t="s">
        <v>69</v>
      </c>
      <c r="K80" t="s">
        <v>69</v>
      </c>
      <c r="L80" t="s">
        <v>69</v>
      </c>
      <c r="M80" t="s">
        <v>69</v>
      </c>
      <c r="N80" t="s">
        <v>69</v>
      </c>
    </row>
    <row r="81" spans="1:14">
      <c r="E81" s="6"/>
      <c r="J81" s="6"/>
    </row>
    <row r="82" spans="1:14">
      <c r="A82" s="33" t="s">
        <v>70</v>
      </c>
      <c r="B82" s="47">
        <v>0</v>
      </c>
      <c r="C82" s="47">
        <v>101000</v>
      </c>
      <c r="D82" s="47">
        <v>23668</v>
      </c>
      <c r="E82" s="47">
        <v>80000</v>
      </c>
      <c r="F82" s="47">
        <v>184679</v>
      </c>
      <c r="G82" s="10">
        <v>42500</v>
      </c>
      <c r="H82" s="54">
        <v>97000</v>
      </c>
      <c r="I82" s="47">
        <v>5000</v>
      </c>
      <c r="J82" s="47">
        <v>0</v>
      </c>
      <c r="K82" s="47">
        <v>185000</v>
      </c>
      <c r="L82" s="47">
        <v>0</v>
      </c>
      <c r="M82" s="47">
        <v>175000</v>
      </c>
      <c r="N82" s="7">
        <f>SUM(B82:M82)</f>
        <v>893847</v>
      </c>
    </row>
    <row r="83" spans="1:14">
      <c r="A83" s="33" t="s">
        <v>71</v>
      </c>
      <c r="B83" s="2">
        <f>+B82</f>
        <v>0</v>
      </c>
      <c r="C83" s="2">
        <f>+B83+C82</f>
        <v>101000</v>
      </c>
      <c r="D83" s="2">
        <f t="shared" ref="D83:M83" si="19">+C83+D82</f>
        <v>124668</v>
      </c>
      <c r="E83" s="7">
        <f t="shared" si="19"/>
        <v>204668</v>
      </c>
      <c r="F83" s="2">
        <f t="shared" si="19"/>
        <v>389347</v>
      </c>
      <c r="G83" s="7">
        <f t="shared" si="19"/>
        <v>431847</v>
      </c>
      <c r="H83" s="2">
        <f t="shared" si="19"/>
        <v>528847</v>
      </c>
      <c r="I83" s="2">
        <f t="shared" si="19"/>
        <v>533847</v>
      </c>
      <c r="J83" s="7">
        <f t="shared" si="19"/>
        <v>533847</v>
      </c>
      <c r="K83" s="2">
        <f t="shared" si="19"/>
        <v>718847</v>
      </c>
      <c r="L83" s="2">
        <f t="shared" si="19"/>
        <v>718847</v>
      </c>
      <c r="M83" s="2">
        <f t="shared" si="19"/>
        <v>893847</v>
      </c>
    </row>
    <row r="84" spans="1:14">
      <c r="A84" s="33" t="s">
        <v>72</v>
      </c>
      <c r="B84" s="7">
        <f>+B53</f>
        <v>52000</v>
      </c>
      <c r="C84" s="7">
        <f>SUM($B53:C53)</f>
        <v>72000</v>
      </c>
      <c r="D84" s="7">
        <f>SUM($B53:D53)</f>
        <v>82000</v>
      </c>
      <c r="E84" s="7">
        <f>SUM($B53:E53)</f>
        <v>126355</v>
      </c>
      <c r="F84" s="7">
        <f>SUM($B53:F53)</f>
        <v>313195</v>
      </c>
      <c r="G84" s="7">
        <f>SUM($B53:G53)</f>
        <v>515195</v>
      </c>
      <c r="H84" s="7">
        <f>SUM(B53:H53)</f>
        <v>712195</v>
      </c>
      <c r="I84" s="7">
        <f>SUM(B53:I53)</f>
        <v>854195</v>
      </c>
      <c r="J84" s="7">
        <f>SUM(B53:J53)</f>
        <v>973195</v>
      </c>
      <c r="K84" s="7">
        <f>SUM(B53:K53)</f>
        <v>973195</v>
      </c>
      <c r="L84" s="7">
        <f>SUM(B53:L53)</f>
        <v>973195</v>
      </c>
      <c r="M84" s="7">
        <f>SUM(B53:M53)</f>
        <v>1428195</v>
      </c>
    </row>
    <row r="85" spans="1:14">
      <c r="A85" s="33" t="s">
        <v>73</v>
      </c>
      <c r="B85" s="7">
        <f t="shared" ref="B85:G85" si="20">+B83-B84</f>
        <v>-52000</v>
      </c>
      <c r="C85" s="7">
        <f t="shared" si="20"/>
        <v>29000</v>
      </c>
      <c r="D85" s="7">
        <f t="shared" si="20"/>
        <v>42668</v>
      </c>
      <c r="E85" s="7">
        <f t="shared" si="20"/>
        <v>78313</v>
      </c>
      <c r="F85" s="7">
        <f t="shared" si="20"/>
        <v>76152</v>
      </c>
      <c r="G85" s="7">
        <f t="shared" si="20"/>
        <v>-83348</v>
      </c>
      <c r="H85" s="7">
        <f t="shared" ref="H85:M85" si="21">+H83-H84</f>
        <v>-183348</v>
      </c>
      <c r="I85" s="7">
        <f t="shared" si="21"/>
        <v>-320348</v>
      </c>
      <c r="J85" s="7">
        <f t="shared" si="21"/>
        <v>-439348</v>
      </c>
      <c r="K85" s="7">
        <f t="shared" si="21"/>
        <v>-254348</v>
      </c>
      <c r="L85" s="7">
        <f t="shared" si="21"/>
        <v>-254348</v>
      </c>
      <c r="M85" s="7">
        <f t="shared" si="21"/>
        <v>-534348</v>
      </c>
    </row>
    <row r="86" spans="1:14">
      <c r="J86" s="6"/>
      <c r="K86" s="6"/>
    </row>
    <row r="87" spans="1:14">
      <c r="A87" t="s">
        <v>74</v>
      </c>
      <c r="B87" s="35">
        <f>-B56-B57</f>
        <v>33000</v>
      </c>
      <c r="C87" s="35">
        <f t="shared" ref="C87:N87" si="22">-C56-C57</f>
        <v>33000</v>
      </c>
      <c r="D87" s="35">
        <f t="shared" si="22"/>
        <v>33000</v>
      </c>
      <c r="E87" s="35">
        <f t="shared" si="22"/>
        <v>33000</v>
      </c>
      <c r="F87" s="35">
        <f t="shared" si="22"/>
        <v>33000</v>
      </c>
      <c r="G87" s="40">
        <f t="shared" si="22"/>
        <v>33000</v>
      </c>
      <c r="H87" s="35">
        <f t="shared" si="22"/>
        <v>33000</v>
      </c>
      <c r="I87" s="35">
        <f t="shared" si="22"/>
        <v>33000</v>
      </c>
      <c r="J87" s="35">
        <f t="shared" si="22"/>
        <v>34000</v>
      </c>
      <c r="K87" s="40">
        <f t="shared" si="22"/>
        <v>34000</v>
      </c>
      <c r="L87" s="35">
        <f t="shared" si="22"/>
        <v>34000</v>
      </c>
      <c r="M87" s="35">
        <f t="shared" si="22"/>
        <v>34000</v>
      </c>
      <c r="N87" s="35">
        <f t="shared" si="22"/>
        <v>400000</v>
      </c>
    </row>
    <row r="88" spans="1:14">
      <c r="C88" s="35">
        <f>+B87+C87</f>
        <v>66000</v>
      </c>
      <c r="D88" s="35">
        <f>+C88+D87</f>
        <v>99000</v>
      </c>
      <c r="E88" s="35">
        <f t="shared" ref="E88:M88" si="23">+D88+E87</f>
        <v>132000</v>
      </c>
      <c r="F88" s="35">
        <f t="shared" si="23"/>
        <v>165000</v>
      </c>
      <c r="G88" s="40">
        <f t="shared" si="23"/>
        <v>198000</v>
      </c>
      <c r="H88" s="35">
        <f t="shared" si="23"/>
        <v>231000</v>
      </c>
      <c r="I88" s="40">
        <f t="shared" si="23"/>
        <v>264000</v>
      </c>
      <c r="J88" s="40">
        <f t="shared" si="23"/>
        <v>298000</v>
      </c>
      <c r="K88" s="40">
        <f t="shared" si="23"/>
        <v>332000</v>
      </c>
      <c r="L88" s="35">
        <f t="shared" si="23"/>
        <v>366000</v>
      </c>
      <c r="M88" s="35">
        <f t="shared" si="23"/>
        <v>400000</v>
      </c>
    </row>
    <row r="89" spans="1:14">
      <c r="K89" s="6"/>
    </row>
    <row r="91" spans="1:14">
      <c r="B91" s="6"/>
      <c r="C91" s="6"/>
      <c r="D91" s="6"/>
      <c r="E91" s="6"/>
    </row>
    <row r="92" spans="1:14">
      <c r="B92" s="21">
        <v>48198</v>
      </c>
      <c r="C92" s="21">
        <v>109945</v>
      </c>
      <c r="D92" s="36">
        <v>126000</v>
      </c>
      <c r="E92" s="6">
        <v>7681</v>
      </c>
      <c r="F92">
        <v>52000</v>
      </c>
      <c r="G92" s="6">
        <v>207419</v>
      </c>
      <c r="H92">
        <v>18000</v>
      </c>
      <c r="I92">
        <v>25000</v>
      </c>
      <c r="J92">
        <v>42000</v>
      </c>
      <c r="K92">
        <v>0</v>
      </c>
      <c r="L92">
        <v>0</v>
      </c>
      <c r="M92">
        <v>150000</v>
      </c>
      <c r="N92">
        <v>786243</v>
      </c>
    </row>
    <row r="93" spans="1:14">
      <c r="B93" s="37"/>
      <c r="C93" s="38"/>
      <c r="D93" s="6"/>
      <c r="E93" s="6"/>
    </row>
    <row r="94" spans="1:14">
      <c r="B94" s="6"/>
      <c r="C94" s="6"/>
      <c r="D94" s="6"/>
      <c r="E94" s="6"/>
    </row>
    <row r="95" spans="1:14">
      <c r="B95" s="6"/>
      <c r="C95" s="6"/>
      <c r="D95" s="21"/>
      <c r="E95" s="6"/>
    </row>
    <row r="96" spans="1:14">
      <c r="B96" s="6"/>
      <c r="C96" s="6"/>
      <c r="D96" s="6"/>
      <c r="E96" s="6"/>
    </row>
    <row r="97" spans="2:5">
      <c r="B97" s="6"/>
      <c r="C97" s="6"/>
      <c r="D97" s="6"/>
      <c r="E97" s="6"/>
    </row>
    <row r="98" spans="2:5">
      <c r="B98" s="6"/>
      <c r="C98" s="6"/>
      <c r="D98" s="6"/>
      <c r="E98" s="6"/>
    </row>
    <row r="99" spans="2:5">
      <c r="B99" s="6"/>
      <c r="C99" s="6"/>
      <c r="D99" s="34"/>
      <c r="E99" s="6"/>
    </row>
    <row r="100" spans="2:5">
      <c r="B100" s="6"/>
      <c r="C100" s="6"/>
      <c r="D100" s="6"/>
      <c r="E100" s="6"/>
    </row>
    <row r="101" spans="2:5">
      <c r="B101" s="6"/>
      <c r="C101" s="6"/>
      <c r="D101" s="6"/>
      <c r="E101" s="6"/>
    </row>
  </sheetData>
  <pageMargins left="0.28000000000000003" right="0.25" top="0.99" bottom="0.75" header="0.63" footer="0.23"/>
  <pageSetup scale="61" orientation="landscape" r:id="rId1"/>
  <headerFooter alignWithMargins="0">
    <oddHeader xml:space="preserve">&amp;C&amp;"Arial,Bold"&amp;11 49ER SHOPS, INC.
&amp;UFY2016/2017 OPERATIONAL CASH FLOW </oddHeader>
    <oddFooter xml:space="preserve">&amp;CCash Flow - FY2016/2017
Budget Profile
</oddFooter>
  </headerFooter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FF00"/>
    <pageSetUpPr fitToPage="1"/>
  </sheetPr>
  <dimension ref="A1:AR101"/>
  <sheetViews>
    <sheetView showGridLines="0" workbookViewId="0">
      <pane xSplit="1" ySplit="3" topLeftCell="B20" activePane="bottomRight" state="frozen"/>
      <selection pane="topRight" activeCell="B2" sqref="B2:N2"/>
      <selection pane="bottomLeft" activeCell="B2" sqref="B2:N2"/>
      <selection pane="bottomRight" activeCell="B2" sqref="B2:N2"/>
    </sheetView>
  </sheetViews>
  <sheetFormatPr defaultRowHeight="12.75"/>
  <cols>
    <col min="1" max="1" width="35.42578125" customWidth="1"/>
    <col min="2" max="2" width="14" customWidth="1"/>
    <col min="3" max="3" width="12.5703125" customWidth="1"/>
    <col min="4" max="4" width="12.140625" customWidth="1"/>
    <col min="5" max="5" width="13.5703125" customWidth="1"/>
    <col min="6" max="6" width="12.85546875" customWidth="1"/>
    <col min="7" max="7" width="12.5703125" style="6" customWidth="1"/>
    <col min="8" max="9" width="12.85546875" customWidth="1"/>
    <col min="10" max="11" width="12.140625" customWidth="1"/>
    <col min="12" max="13" width="12.85546875" customWidth="1"/>
    <col min="14" max="14" width="12.85546875" bestFit="1" customWidth="1"/>
    <col min="15" max="15" width="10.140625" bestFit="1" customWidth="1"/>
    <col min="16" max="16" width="13.140625" bestFit="1" customWidth="1"/>
  </cols>
  <sheetData>
    <row r="1" spans="1:15" ht="13.5" thickBot="1">
      <c r="A1" s="46" t="s">
        <v>80</v>
      </c>
      <c r="E1" s="6"/>
      <c r="F1" s="6"/>
      <c r="J1" s="6"/>
      <c r="K1" s="6"/>
      <c r="N1" s="3"/>
    </row>
    <row r="2" spans="1:15">
      <c r="B2" s="45" t="s">
        <v>24</v>
      </c>
      <c r="C2" s="45" t="s">
        <v>76</v>
      </c>
      <c r="D2" s="45" t="s">
        <v>76</v>
      </c>
      <c r="E2" s="45" t="s">
        <v>76</v>
      </c>
      <c r="F2" s="45" t="s">
        <v>76</v>
      </c>
      <c r="G2" s="45" t="s">
        <v>76</v>
      </c>
      <c r="H2" s="45" t="s">
        <v>76</v>
      </c>
      <c r="I2" s="45" t="s">
        <v>76</v>
      </c>
      <c r="J2" s="45" t="s">
        <v>76</v>
      </c>
      <c r="K2" s="45" t="s">
        <v>76</v>
      </c>
      <c r="L2" s="45" t="s">
        <v>76</v>
      </c>
      <c r="M2" s="45" t="s">
        <v>76</v>
      </c>
      <c r="N2" s="55" t="s">
        <v>25</v>
      </c>
    </row>
    <row r="3" spans="1:15" s="5" customFormat="1">
      <c r="B3" s="11">
        <v>42553</v>
      </c>
      <c r="C3" s="11">
        <v>42584</v>
      </c>
      <c r="D3" s="11">
        <v>42615</v>
      </c>
      <c r="E3" s="11">
        <v>42645</v>
      </c>
      <c r="F3" s="11">
        <v>42676</v>
      </c>
      <c r="G3" s="11">
        <v>42706</v>
      </c>
      <c r="H3" s="11">
        <v>42737</v>
      </c>
      <c r="I3" s="11">
        <v>42768</v>
      </c>
      <c r="J3" s="11">
        <v>42796</v>
      </c>
      <c r="K3" s="11">
        <v>42827</v>
      </c>
      <c r="L3" s="11">
        <v>42857</v>
      </c>
      <c r="M3" s="11">
        <v>42888</v>
      </c>
      <c r="N3" s="57" t="s">
        <v>77</v>
      </c>
    </row>
    <row r="4" spans="1:15" hidden="1">
      <c r="A4" s="1" t="s">
        <v>27</v>
      </c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>
        <f>SUM(B4:M4)</f>
        <v>0</v>
      </c>
      <c r="O4" s="6"/>
    </row>
    <row r="5" spans="1:15" s="6" customFormat="1" hidden="1">
      <c r="A5" s="6" t="s">
        <v>28</v>
      </c>
      <c r="B5" s="53">
        <v>1199482</v>
      </c>
      <c r="C5" s="53">
        <v>5060173.2426346</v>
      </c>
      <c r="D5" s="53">
        <v>3867423.1893872898</v>
      </c>
      <c r="E5" s="53">
        <v>3550580.4606545898</v>
      </c>
      <c r="F5" s="53">
        <v>2491408.6501843799</v>
      </c>
      <c r="G5" s="53">
        <v>2443225.8391503901</v>
      </c>
      <c r="H5" s="53">
        <v>4392028.1440046299</v>
      </c>
      <c r="I5" s="53">
        <v>3229385.12840016</v>
      </c>
      <c r="J5" s="53">
        <v>3101264.61223314</v>
      </c>
      <c r="K5" s="53">
        <v>2861289.1218165602</v>
      </c>
      <c r="L5" s="53">
        <v>2884558.9345671199</v>
      </c>
      <c r="M5" s="53">
        <v>1536863.9470107399</v>
      </c>
      <c r="N5" s="12">
        <f>SUM(B5:M5)</f>
        <v>36617683.270043597</v>
      </c>
    </row>
    <row r="6" spans="1:15" s="6" customFormat="1" hidden="1">
      <c r="A6" s="6" t="s">
        <v>29</v>
      </c>
      <c r="B6" s="53">
        <v>54104</v>
      </c>
      <c r="C6" s="53">
        <v>52425.4469151991</v>
      </c>
      <c r="D6" s="53">
        <v>271703.80474306311</v>
      </c>
      <c r="E6" s="53">
        <v>142644.5744343327</v>
      </c>
      <c r="F6" s="53">
        <v>68608.629526434102</v>
      </c>
      <c r="G6" s="53">
        <v>80537.490202171612</v>
      </c>
      <c r="H6" s="53">
        <v>93715.085794590996</v>
      </c>
      <c r="I6" s="53">
        <v>76173.313860300201</v>
      </c>
      <c r="J6" s="53">
        <v>194949.6852683014</v>
      </c>
      <c r="K6" s="53">
        <v>107775.7156534557</v>
      </c>
      <c r="L6" s="53">
        <v>303701.34733729798</v>
      </c>
      <c r="M6" s="53">
        <v>46075.731999999996</v>
      </c>
      <c r="N6" s="7">
        <f>SUM(B6:M6)</f>
        <v>1492414.8257351469</v>
      </c>
    </row>
    <row r="7" spans="1:15" s="6" customFormat="1" hidden="1">
      <c r="B7" s="7"/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7">
        <f>SUM(B7:M7)</f>
        <v>0</v>
      </c>
    </row>
    <row r="8" spans="1:15" s="6" customFormat="1" hidden="1">
      <c r="B8" s="15"/>
      <c r="C8" s="15"/>
      <c r="D8" s="15"/>
      <c r="E8" s="15"/>
      <c r="F8" s="15"/>
      <c r="G8" s="15"/>
      <c r="H8" s="15"/>
      <c r="I8" s="15"/>
      <c r="J8" s="15"/>
      <c r="K8" s="15"/>
      <c r="L8" s="15"/>
      <c r="M8" s="15"/>
      <c r="N8" s="15">
        <f>SUM(B8:M8)</f>
        <v>0</v>
      </c>
    </row>
    <row r="9" spans="1:15" s="6" customFormat="1">
      <c r="A9" s="13" t="s">
        <v>30</v>
      </c>
      <c r="B9" s="12">
        <f t="shared" ref="B9:N9" si="0">SUM(B5:B8)</f>
        <v>1253586</v>
      </c>
      <c r="C9" s="12">
        <f t="shared" si="0"/>
        <v>5112598.6895497991</v>
      </c>
      <c r="D9" s="12">
        <f t="shared" si="0"/>
        <v>4139126.994130353</v>
      </c>
      <c r="E9" s="12">
        <f t="shared" si="0"/>
        <v>3693225.0350889224</v>
      </c>
      <c r="F9" s="12">
        <f t="shared" si="0"/>
        <v>2560017.2797108139</v>
      </c>
      <c r="G9" s="12">
        <f t="shared" si="0"/>
        <v>2523763.3293525619</v>
      </c>
      <c r="H9" s="12">
        <f t="shared" si="0"/>
        <v>4485743.2297992213</v>
      </c>
      <c r="I9" s="12">
        <f t="shared" si="0"/>
        <v>3305558.44226046</v>
      </c>
      <c r="J9" s="12">
        <f t="shared" si="0"/>
        <v>3296214.2975014416</v>
      </c>
      <c r="K9" s="12">
        <f t="shared" si="0"/>
        <v>2969064.837470016</v>
      </c>
      <c r="L9" s="12">
        <f t="shared" si="0"/>
        <v>3188260.281904418</v>
      </c>
      <c r="M9" s="12">
        <f t="shared" si="0"/>
        <v>1582939.67901074</v>
      </c>
      <c r="N9" s="12">
        <f t="shared" si="0"/>
        <v>38110098.095778741</v>
      </c>
    </row>
    <row r="10" spans="1:15" s="6" customFormat="1" ht="6.75" customHeight="1"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</row>
    <row r="11" spans="1:15" s="6" customFormat="1">
      <c r="A11" s="13" t="s">
        <v>31</v>
      </c>
      <c r="B11" s="7">
        <v>7663</v>
      </c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">
        <f>SUM(B11:M11)</f>
        <v>7663</v>
      </c>
    </row>
    <row r="12" spans="1:15" s="6" customFormat="1" ht="7.5" customHeight="1">
      <c r="B12" s="7"/>
      <c r="C12" s="7"/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</row>
    <row r="13" spans="1:15" s="6" customFormat="1" ht="13.5" thickBot="1">
      <c r="A13" s="13" t="s">
        <v>32</v>
      </c>
      <c r="B13" s="14">
        <f t="shared" ref="B13:N13" si="1">B9+B11</f>
        <v>1261249</v>
      </c>
      <c r="C13" s="14">
        <f>C9+C11</f>
        <v>5112598.6895497991</v>
      </c>
      <c r="D13" s="14">
        <f t="shared" si="1"/>
        <v>4139126.994130353</v>
      </c>
      <c r="E13" s="14">
        <f t="shared" si="1"/>
        <v>3693225.0350889224</v>
      </c>
      <c r="F13" s="14">
        <f t="shared" si="1"/>
        <v>2560017.2797108139</v>
      </c>
      <c r="G13" s="14">
        <f t="shared" si="1"/>
        <v>2523763.3293525619</v>
      </c>
      <c r="H13" s="14">
        <f t="shared" si="1"/>
        <v>4485743.2297992213</v>
      </c>
      <c r="I13" s="14">
        <f t="shared" si="1"/>
        <v>3305558.44226046</v>
      </c>
      <c r="J13" s="14">
        <f t="shared" si="1"/>
        <v>3296214.2975014416</v>
      </c>
      <c r="K13" s="14">
        <f t="shared" si="1"/>
        <v>2969064.837470016</v>
      </c>
      <c r="L13" s="14">
        <f t="shared" si="1"/>
        <v>3188260.281904418</v>
      </c>
      <c r="M13" s="14">
        <f t="shared" si="1"/>
        <v>1582939.67901074</v>
      </c>
      <c r="N13" s="14">
        <f t="shared" si="1"/>
        <v>38117761.095778741</v>
      </c>
    </row>
    <row r="14" spans="1:15" s="6" customFormat="1" ht="13.5" thickTop="1">
      <c r="B14" s="7"/>
      <c r="C14" s="7"/>
      <c r="D14" s="7"/>
      <c r="E14" s="7"/>
      <c r="F14" s="7"/>
      <c r="G14" s="7"/>
      <c r="H14" s="7"/>
      <c r="I14" s="7"/>
      <c r="J14" s="7"/>
      <c r="K14" s="7"/>
      <c r="L14" s="7"/>
      <c r="M14" s="7"/>
    </row>
    <row r="15" spans="1:15" s="6" customFormat="1" hidden="1">
      <c r="A15" s="13" t="s">
        <v>33</v>
      </c>
      <c r="B15" s="7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</row>
    <row r="16" spans="1:15" s="6" customFormat="1" hidden="1">
      <c r="A16" s="6" t="s">
        <v>34</v>
      </c>
      <c r="B16" s="53">
        <v>620285</v>
      </c>
      <c r="C16" s="53">
        <v>3202896.3367236801</v>
      </c>
      <c r="D16" s="53">
        <v>1740899.3395841799</v>
      </c>
      <c r="E16" s="53">
        <v>1339199.27059646</v>
      </c>
      <c r="F16" s="53">
        <v>920442.29592504795</v>
      </c>
      <c r="G16" s="53">
        <v>994515.62781412899</v>
      </c>
      <c r="H16" s="53">
        <v>2724198.5675140698</v>
      </c>
      <c r="I16" s="53">
        <v>1309498.16154439</v>
      </c>
      <c r="J16" s="53">
        <v>1146427.91045744</v>
      </c>
      <c r="K16" s="53">
        <v>1014457.82475312</v>
      </c>
      <c r="L16" s="53">
        <v>1202846.3247627199</v>
      </c>
      <c r="M16" s="53">
        <v>808585.32395320502</v>
      </c>
      <c r="N16" s="7">
        <f>SUM(B16:M16)</f>
        <v>17024251.983628441</v>
      </c>
    </row>
    <row r="17" spans="1:44" s="6" customFormat="1" hidden="1">
      <c r="B17" s="27"/>
      <c r="C17" s="27"/>
      <c r="D17" s="27"/>
      <c r="E17" s="27"/>
      <c r="F17" s="27"/>
      <c r="G17" s="27"/>
      <c r="H17" s="27"/>
      <c r="I17" s="27"/>
      <c r="J17" s="27"/>
      <c r="K17" s="27"/>
      <c r="L17" s="27"/>
      <c r="M17" s="27"/>
      <c r="N17" s="7">
        <f>SUM(B17:M17)</f>
        <v>0</v>
      </c>
    </row>
    <row r="18" spans="1:44" s="6" customFormat="1" hidden="1">
      <c r="B18" s="7"/>
      <c r="C18" s="7"/>
      <c r="D18" s="7"/>
      <c r="E18" s="7"/>
      <c r="F18" s="7"/>
      <c r="G18" s="7"/>
      <c r="H18" s="7"/>
      <c r="I18" s="7"/>
      <c r="J18" s="7"/>
      <c r="K18" s="7"/>
      <c r="L18" s="7"/>
      <c r="M18" s="7"/>
      <c r="N18" s="7">
        <v>0</v>
      </c>
    </row>
    <row r="19" spans="1:44" s="6" customFormat="1" hidden="1">
      <c r="B19" s="15"/>
      <c r="C19" s="15"/>
      <c r="D19" s="15"/>
      <c r="E19" s="15"/>
      <c r="F19" s="15"/>
      <c r="G19" s="15"/>
      <c r="H19" s="15"/>
      <c r="I19" s="15"/>
      <c r="J19" s="15"/>
      <c r="K19" s="15"/>
      <c r="L19" s="15"/>
      <c r="M19" s="15"/>
      <c r="N19" s="15">
        <f>SUM(B19:M19)</f>
        <v>0</v>
      </c>
    </row>
    <row r="20" spans="1:44" s="6" customFormat="1">
      <c r="A20" s="13" t="s">
        <v>35</v>
      </c>
      <c r="B20" s="12">
        <f t="shared" ref="B20:N20" si="2">SUM(B16:B19)</f>
        <v>620285</v>
      </c>
      <c r="C20" s="12">
        <f t="shared" si="2"/>
        <v>3202896.3367236801</v>
      </c>
      <c r="D20" s="12">
        <f t="shared" si="2"/>
        <v>1740899.3395841799</v>
      </c>
      <c r="E20" s="12">
        <f t="shared" si="2"/>
        <v>1339199.27059646</v>
      </c>
      <c r="F20" s="12">
        <f t="shared" si="2"/>
        <v>920442.29592504795</v>
      </c>
      <c r="G20" s="12">
        <f t="shared" si="2"/>
        <v>994515.62781412899</v>
      </c>
      <c r="H20" s="12">
        <f t="shared" si="2"/>
        <v>2724198.5675140698</v>
      </c>
      <c r="I20" s="12">
        <f t="shared" si="2"/>
        <v>1309498.16154439</v>
      </c>
      <c r="J20" s="12">
        <f t="shared" si="2"/>
        <v>1146427.91045744</v>
      </c>
      <c r="K20" s="12">
        <f t="shared" si="2"/>
        <v>1014457.82475312</v>
      </c>
      <c r="L20" s="12">
        <f t="shared" si="2"/>
        <v>1202846.3247627199</v>
      </c>
      <c r="M20" s="12">
        <f t="shared" si="2"/>
        <v>808585.32395320502</v>
      </c>
      <c r="N20" s="12">
        <f t="shared" si="2"/>
        <v>17024251.983628441</v>
      </c>
    </row>
    <row r="21" spans="1:44" s="6" customFormat="1">
      <c r="B21" s="7"/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</row>
    <row r="22" spans="1:44" s="6" customFormat="1" hidden="1">
      <c r="A22" s="13" t="s">
        <v>36</v>
      </c>
      <c r="B22" s="7"/>
      <c r="C22" s="7"/>
      <c r="D22" s="7"/>
      <c r="E22" s="7"/>
      <c r="F22" s="7"/>
      <c r="G22" s="7"/>
      <c r="H22" s="7"/>
      <c r="I22" s="7"/>
      <c r="J22" s="7"/>
      <c r="K22" s="7"/>
      <c r="L22" s="7"/>
      <c r="M22" s="7"/>
    </row>
    <row r="23" spans="1:44" s="6" customFormat="1" hidden="1">
      <c r="A23" s="6" t="s">
        <v>37</v>
      </c>
      <c r="B23" s="7">
        <f t="shared" ref="B23:M26" si="3">+B5-B16</f>
        <v>579197</v>
      </c>
      <c r="C23" s="7">
        <f t="shared" si="3"/>
        <v>1857276.9059109199</v>
      </c>
      <c r="D23" s="7">
        <f t="shared" si="3"/>
        <v>2126523.8498031097</v>
      </c>
      <c r="E23" s="7">
        <f t="shared" si="3"/>
        <v>2211381.1900581298</v>
      </c>
      <c r="F23" s="7">
        <f t="shared" si="3"/>
        <v>1570966.3542593319</v>
      </c>
      <c r="G23" s="7">
        <f t="shared" si="3"/>
        <v>1448710.2113362611</v>
      </c>
      <c r="H23" s="7">
        <f t="shared" si="3"/>
        <v>1667829.5764905601</v>
      </c>
      <c r="I23" s="7">
        <f t="shared" si="3"/>
        <v>1919886.96685577</v>
      </c>
      <c r="J23" s="7">
        <f t="shared" si="3"/>
        <v>1954836.7017757001</v>
      </c>
      <c r="K23" s="7">
        <f t="shared" si="3"/>
        <v>1846831.2970634401</v>
      </c>
      <c r="L23" s="7">
        <f t="shared" si="3"/>
        <v>1681712.6098044</v>
      </c>
      <c r="M23" s="7">
        <f t="shared" si="3"/>
        <v>728278.62305753492</v>
      </c>
      <c r="N23" s="7">
        <f>SUM(B23:M23)</f>
        <v>19593431.28641516</v>
      </c>
    </row>
    <row r="24" spans="1:44" s="6" customFormat="1" hidden="1">
      <c r="A24" s="6" t="s">
        <v>37</v>
      </c>
      <c r="B24" s="7">
        <f t="shared" si="3"/>
        <v>54104</v>
      </c>
      <c r="C24" s="7">
        <f t="shared" si="3"/>
        <v>52425.4469151991</v>
      </c>
      <c r="D24" s="7">
        <f t="shared" si="3"/>
        <v>271703.80474306311</v>
      </c>
      <c r="E24" s="7">
        <f t="shared" si="3"/>
        <v>142644.5744343327</v>
      </c>
      <c r="F24" s="7">
        <f t="shared" si="3"/>
        <v>68608.629526434102</v>
      </c>
      <c r="G24" s="7">
        <f t="shared" si="3"/>
        <v>80537.490202171612</v>
      </c>
      <c r="H24" s="7">
        <f t="shared" si="3"/>
        <v>93715.085794590996</v>
      </c>
      <c r="I24" s="7">
        <f t="shared" si="3"/>
        <v>76173.313860300201</v>
      </c>
      <c r="J24" s="7">
        <f t="shared" si="3"/>
        <v>194949.6852683014</v>
      </c>
      <c r="K24" s="7">
        <f t="shared" si="3"/>
        <v>107775.7156534557</v>
      </c>
      <c r="L24" s="7">
        <f t="shared" si="3"/>
        <v>303701.34733729798</v>
      </c>
      <c r="M24" s="7">
        <f t="shared" si="3"/>
        <v>46075.731999999996</v>
      </c>
      <c r="N24" s="7">
        <f>SUM(B24:M24)</f>
        <v>1492414.8257351469</v>
      </c>
    </row>
    <row r="25" spans="1:44" s="6" customFormat="1" hidden="1">
      <c r="A25" s="6" t="s">
        <v>38</v>
      </c>
      <c r="B25" s="7">
        <f t="shared" si="3"/>
        <v>0</v>
      </c>
      <c r="C25" s="7">
        <f t="shared" si="3"/>
        <v>0</v>
      </c>
      <c r="D25" s="7">
        <f t="shared" si="3"/>
        <v>0</v>
      </c>
      <c r="E25" s="7">
        <f t="shared" si="3"/>
        <v>0</v>
      </c>
      <c r="F25" s="7">
        <f t="shared" si="3"/>
        <v>0</v>
      </c>
      <c r="G25" s="7">
        <f t="shared" si="3"/>
        <v>0</v>
      </c>
      <c r="H25" s="7">
        <f t="shared" si="3"/>
        <v>0</v>
      </c>
      <c r="I25" s="7">
        <f t="shared" si="3"/>
        <v>0</v>
      </c>
      <c r="J25" s="7">
        <f t="shared" si="3"/>
        <v>0</v>
      </c>
      <c r="K25" s="7">
        <f t="shared" si="3"/>
        <v>0</v>
      </c>
      <c r="L25" s="7">
        <f t="shared" si="3"/>
        <v>0</v>
      </c>
      <c r="M25" s="7">
        <f t="shared" si="3"/>
        <v>0</v>
      </c>
      <c r="N25" s="7">
        <f>SUM(B25:M25)</f>
        <v>0</v>
      </c>
    </row>
    <row r="26" spans="1:44" s="6" customFormat="1" hidden="1">
      <c r="A26" s="6" t="s">
        <v>38</v>
      </c>
      <c r="B26" s="15">
        <f t="shared" si="3"/>
        <v>0</v>
      </c>
      <c r="C26" s="15">
        <f t="shared" si="3"/>
        <v>0</v>
      </c>
      <c r="D26" s="15">
        <f t="shared" si="3"/>
        <v>0</v>
      </c>
      <c r="E26" s="15">
        <f t="shared" si="3"/>
        <v>0</v>
      </c>
      <c r="F26" s="15">
        <f t="shared" si="3"/>
        <v>0</v>
      </c>
      <c r="G26" s="15">
        <f t="shared" si="3"/>
        <v>0</v>
      </c>
      <c r="H26" s="15">
        <f t="shared" si="3"/>
        <v>0</v>
      </c>
      <c r="I26" s="15">
        <f t="shared" si="3"/>
        <v>0</v>
      </c>
      <c r="J26" s="15">
        <f t="shared" si="3"/>
        <v>0</v>
      </c>
      <c r="K26" s="15">
        <f t="shared" si="3"/>
        <v>0</v>
      </c>
      <c r="L26" s="15">
        <f t="shared" si="3"/>
        <v>0</v>
      </c>
      <c r="M26" s="15">
        <f t="shared" si="3"/>
        <v>0</v>
      </c>
      <c r="N26" s="15">
        <f>SUM(B26:M26)</f>
        <v>0</v>
      </c>
    </row>
    <row r="27" spans="1:44" s="6" customFormat="1">
      <c r="A27" s="13" t="s">
        <v>39</v>
      </c>
      <c r="B27" s="12">
        <f t="shared" ref="B27:N27" si="4">SUM(B23:B26)</f>
        <v>633301</v>
      </c>
      <c r="C27" s="12">
        <f t="shared" si="4"/>
        <v>1909702.3528261189</v>
      </c>
      <c r="D27" s="12">
        <f t="shared" si="4"/>
        <v>2398227.6545461728</v>
      </c>
      <c r="E27" s="12">
        <f t="shared" si="4"/>
        <v>2354025.7644924624</v>
      </c>
      <c r="F27" s="12">
        <f t="shared" si="4"/>
        <v>1639574.9837857659</v>
      </c>
      <c r="G27" s="12">
        <f t="shared" si="4"/>
        <v>1529247.7015384329</v>
      </c>
      <c r="H27" s="12">
        <f t="shared" si="4"/>
        <v>1761544.662285151</v>
      </c>
      <c r="I27" s="12">
        <f t="shared" si="4"/>
        <v>1996060.2807160702</v>
      </c>
      <c r="J27" s="12">
        <f t="shared" si="4"/>
        <v>2149786.3870440014</v>
      </c>
      <c r="K27" s="12">
        <f t="shared" si="4"/>
        <v>1954607.0127168959</v>
      </c>
      <c r="L27" s="12">
        <f t="shared" si="4"/>
        <v>1985413.9571416979</v>
      </c>
      <c r="M27" s="12">
        <f>SUM(M23:M26)</f>
        <v>774354.35505753488</v>
      </c>
      <c r="N27" s="12">
        <f t="shared" si="4"/>
        <v>21085846.112150308</v>
      </c>
    </row>
    <row r="28" spans="1:44" s="6" customFormat="1">
      <c r="B28" s="7"/>
      <c r="C28" s="7"/>
      <c r="D28" s="7"/>
      <c r="E28" s="7"/>
      <c r="F28" s="7"/>
      <c r="G28" s="7"/>
      <c r="H28" s="7"/>
      <c r="I28" s="7"/>
      <c r="J28" s="7"/>
      <c r="K28" s="7"/>
      <c r="L28" s="7"/>
      <c r="M28" s="7"/>
    </row>
    <row r="29" spans="1:44" s="6" customFormat="1" hidden="1">
      <c r="A29" s="13" t="s">
        <v>40</v>
      </c>
      <c r="B29" s="7"/>
      <c r="C29" s="7"/>
      <c r="D29" s="7"/>
      <c r="E29" s="7"/>
      <c r="F29" s="7"/>
      <c r="G29" s="7"/>
      <c r="H29" s="7"/>
      <c r="I29" s="7"/>
      <c r="J29" s="7"/>
      <c r="K29" s="7"/>
      <c r="L29" s="7"/>
      <c r="M29" s="7"/>
    </row>
    <row r="30" spans="1:44" s="6" customFormat="1" hidden="1">
      <c r="A30" s="6" t="s">
        <v>41</v>
      </c>
      <c r="B30" s="53">
        <v>392880</v>
      </c>
      <c r="C30" s="53">
        <v>558175.27599569201</v>
      </c>
      <c r="D30" s="53">
        <v>653262.22071265604</v>
      </c>
      <c r="E30" s="53">
        <v>759539.17956081894</v>
      </c>
      <c r="F30" s="53">
        <v>592548.56023265596</v>
      </c>
      <c r="G30" s="53">
        <v>571132.83865265502</v>
      </c>
      <c r="H30" s="53">
        <v>611166.92702081904</v>
      </c>
      <c r="I30" s="53">
        <v>664473.65115265595</v>
      </c>
      <c r="J30" s="53">
        <v>653848.24865265505</v>
      </c>
      <c r="K30" s="53">
        <v>727810.13162081898</v>
      </c>
      <c r="L30" s="53">
        <v>615430.25565265596</v>
      </c>
      <c r="M30" s="53">
        <v>456542.16991265502</v>
      </c>
      <c r="N30" s="7">
        <f>SUM(B30:M30)</f>
        <v>7256809.4591667373</v>
      </c>
    </row>
    <row r="31" spans="1:44" s="6" customFormat="1" hidden="1">
      <c r="A31" s="6" t="s">
        <v>42</v>
      </c>
      <c r="B31" s="53">
        <v>216187</v>
      </c>
      <c r="C31" s="53">
        <v>195291.749597088</v>
      </c>
      <c r="D31" s="53">
        <v>199695.750264748</v>
      </c>
      <c r="E31" s="53">
        <v>226217.130576158</v>
      </c>
      <c r="F31" s="53">
        <v>194628.20504591099</v>
      </c>
      <c r="G31" s="53">
        <v>192740.601426243</v>
      </c>
      <c r="H31" s="53">
        <v>210196.707905202</v>
      </c>
      <c r="I31" s="53">
        <v>201269.28383633701</v>
      </c>
      <c r="J31" s="53">
        <v>200709.39503545201</v>
      </c>
      <c r="K31" s="53">
        <v>223370.57771881</v>
      </c>
      <c r="L31" s="53">
        <v>196340.080043806</v>
      </c>
      <c r="M31" s="53">
        <v>191011.551540168</v>
      </c>
      <c r="N31" s="7">
        <f>SUM(B31:M31)</f>
        <v>2447658.0329899229</v>
      </c>
    </row>
    <row r="32" spans="1:44" s="6" customFormat="1" ht="15" hidden="1">
      <c r="A32" s="6" t="s">
        <v>38</v>
      </c>
      <c r="B32" s="65"/>
      <c r="C32" s="65"/>
      <c r="D32" s="65"/>
      <c r="E32" s="65"/>
      <c r="F32" s="65"/>
      <c r="G32" s="65"/>
      <c r="H32" s="65"/>
      <c r="I32" s="65"/>
      <c r="J32" s="65"/>
      <c r="K32" s="65"/>
      <c r="L32" s="65"/>
      <c r="M32" s="65"/>
      <c r="N32" s="7">
        <f>SUM(B32:M32)</f>
        <v>0</v>
      </c>
      <c r="P32" s="6">
        <f>+B32*-1</f>
        <v>0</v>
      </c>
      <c r="Q32" s="6">
        <f t="shared" ref="Q32:AF33" si="5">+C32*-1</f>
        <v>0</v>
      </c>
      <c r="R32" s="6">
        <f t="shared" si="5"/>
        <v>0</v>
      </c>
      <c r="S32" s="6">
        <f t="shared" si="5"/>
        <v>0</v>
      </c>
      <c r="T32" s="6">
        <f t="shared" si="5"/>
        <v>0</v>
      </c>
      <c r="U32" s="6">
        <f t="shared" si="5"/>
        <v>0</v>
      </c>
      <c r="V32" s="6">
        <f t="shared" si="5"/>
        <v>0</v>
      </c>
      <c r="W32" s="6">
        <f t="shared" si="5"/>
        <v>0</v>
      </c>
      <c r="X32" s="6">
        <f t="shared" si="5"/>
        <v>0</v>
      </c>
      <c r="Y32" s="6">
        <f t="shared" si="5"/>
        <v>0</v>
      </c>
      <c r="Z32" s="6">
        <f t="shared" si="5"/>
        <v>0</v>
      </c>
      <c r="AA32" s="6">
        <f t="shared" si="5"/>
        <v>0</v>
      </c>
      <c r="AB32" s="6">
        <f t="shared" si="5"/>
        <v>0</v>
      </c>
      <c r="AC32" s="6">
        <f t="shared" si="5"/>
        <v>0</v>
      </c>
      <c r="AD32" s="6">
        <f t="shared" si="5"/>
        <v>0</v>
      </c>
      <c r="AE32" s="6">
        <f t="shared" si="5"/>
        <v>0</v>
      </c>
      <c r="AF32" s="6">
        <f t="shared" si="5"/>
        <v>0</v>
      </c>
      <c r="AG32" s="6">
        <f t="shared" ref="AG32:AR33" si="6">+S32*-1</f>
        <v>0</v>
      </c>
      <c r="AH32" s="6">
        <f t="shared" si="6"/>
        <v>0</v>
      </c>
      <c r="AI32" s="6">
        <f t="shared" si="6"/>
        <v>0</v>
      </c>
      <c r="AJ32" s="6">
        <f t="shared" si="6"/>
        <v>0</v>
      </c>
      <c r="AK32" s="6">
        <f t="shared" si="6"/>
        <v>0</v>
      </c>
      <c r="AL32" s="6">
        <f t="shared" si="6"/>
        <v>0</v>
      </c>
      <c r="AM32" s="6">
        <f t="shared" si="6"/>
        <v>0</v>
      </c>
      <c r="AN32" s="6">
        <f t="shared" si="6"/>
        <v>0</v>
      </c>
      <c r="AO32" s="6">
        <f t="shared" si="6"/>
        <v>0</v>
      </c>
      <c r="AP32" s="6">
        <f t="shared" si="6"/>
        <v>0</v>
      </c>
      <c r="AQ32" s="6">
        <f t="shared" si="6"/>
        <v>0</v>
      </c>
      <c r="AR32" s="6">
        <f t="shared" si="6"/>
        <v>0</v>
      </c>
    </row>
    <row r="33" spans="1:44" s="6" customFormat="1" hidden="1">
      <c r="B33" s="15"/>
      <c r="C33" s="15"/>
      <c r="D33" s="15"/>
      <c r="E33" s="15"/>
      <c r="F33" s="15"/>
      <c r="G33" s="15"/>
      <c r="H33" s="15"/>
      <c r="I33" s="15"/>
      <c r="J33" s="15"/>
      <c r="K33" s="15"/>
      <c r="L33" s="15"/>
      <c r="M33" s="15"/>
      <c r="N33" s="15">
        <f>SUM(B33:M33)</f>
        <v>0</v>
      </c>
      <c r="Q33" s="6">
        <f t="shared" si="5"/>
        <v>0</v>
      </c>
      <c r="R33" s="6">
        <f t="shared" si="5"/>
        <v>0</v>
      </c>
      <c r="S33" s="6">
        <f t="shared" si="5"/>
        <v>0</v>
      </c>
      <c r="T33" s="6">
        <f t="shared" si="5"/>
        <v>0</v>
      </c>
      <c r="U33" s="6">
        <f t="shared" si="5"/>
        <v>0</v>
      </c>
      <c r="V33" s="6">
        <f t="shared" si="5"/>
        <v>0</v>
      </c>
      <c r="W33" s="6">
        <f t="shared" si="5"/>
        <v>0</v>
      </c>
      <c r="X33" s="6">
        <f t="shared" si="5"/>
        <v>0</v>
      </c>
      <c r="Y33" s="6">
        <f t="shared" si="5"/>
        <v>0</v>
      </c>
      <c r="Z33" s="6">
        <f t="shared" si="5"/>
        <v>0</v>
      </c>
      <c r="AA33" s="6">
        <f t="shared" si="5"/>
        <v>0</v>
      </c>
      <c r="AB33" s="6">
        <f t="shared" si="5"/>
        <v>0</v>
      </c>
      <c r="AC33" s="6">
        <f t="shared" si="5"/>
        <v>0</v>
      </c>
      <c r="AD33" s="6">
        <f t="shared" si="5"/>
        <v>0</v>
      </c>
      <c r="AE33" s="6">
        <f t="shared" si="5"/>
        <v>0</v>
      </c>
      <c r="AF33" s="6">
        <f t="shared" si="5"/>
        <v>0</v>
      </c>
      <c r="AG33" s="6">
        <f t="shared" si="6"/>
        <v>0</v>
      </c>
      <c r="AH33" s="6">
        <f t="shared" si="6"/>
        <v>0</v>
      </c>
      <c r="AI33" s="6">
        <f t="shared" si="6"/>
        <v>0</v>
      </c>
      <c r="AJ33" s="6">
        <f t="shared" si="6"/>
        <v>0</v>
      </c>
      <c r="AK33" s="6">
        <f t="shared" si="6"/>
        <v>0</v>
      </c>
      <c r="AL33" s="6">
        <f t="shared" si="6"/>
        <v>0</v>
      </c>
      <c r="AM33" s="6">
        <f t="shared" si="6"/>
        <v>0</v>
      </c>
      <c r="AN33" s="6">
        <f t="shared" si="6"/>
        <v>0</v>
      </c>
      <c r="AO33" s="6">
        <f t="shared" si="6"/>
        <v>0</v>
      </c>
      <c r="AP33" s="6">
        <f t="shared" si="6"/>
        <v>0</v>
      </c>
      <c r="AQ33" s="6">
        <f t="shared" si="6"/>
        <v>0</v>
      </c>
      <c r="AR33" s="6">
        <f t="shared" si="6"/>
        <v>0</v>
      </c>
    </row>
    <row r="34" spans="1:44" s="6" customFormat="1">
      <c r="A34" s="13" t="s">
        <v>43</v>
      </c>
      <c r="B34" s="12">
        <f t="shared" ref="B34:N34" si="7">SUM(B30:B33)</f>
        <v>609067</v>
      </c>
      <c r="C34" s="12">
        <f t="shared" si="7"/>
        <v>753467.02559277997</v>
      </c>
      <c r="D34" s="12">
        <f t="shared" si="7"/>
        <v>852957.97097740404</v>
      </c>
      <c r="E34" s="12">
        <f t="shared" si="7"/>
        <v>985756.31013697688</v>
      </c>
      <c r="F34" s="12">
        <f t="shared" si="7"/>
        <v>787176.76527856698</v>
      </c>
      <c r="G34" s="12">
        <f t="shared" si="7"/>
        <v>763873.44007889798</v>
      </c>
      <c r="H34" s="12">
        <f t="shared" si="7"/>
        <v>821363.6349260211</v>
      </c>
      <c r="I34" s="12">
        <f t="shared" si="7"/>
        <v>865742.93498899299</v>
      </c>
      <c r="J34" s="12">
        <f t="shared" si="7"/>
        <v>854557.64368810703</v>
      </c>
      <c r="K34" s="12">
        <f t="shared" si="7"/>
        <v>951180.70933962893</v>
      </c>
      <c r="L34" s="12">
        <f t="shared" si="7"/>
        <v>811770.33569646196</v>
      </c>
      <c r="M34" s="12">
        <f t="shared" si="7"/>
        <v>647553.72145282303</v>
      </c>
      <c r="N34" s="12">
        <f t="shared" si="7"/>
        <v>9704467.4921566602</v>
      </c>
      <c r="O34" s="7"/>
    </row>
    <row r="35" spans="1:44" s="6" customFormat="1">
      <c r="B35" s="7"/>
      <c r="C35" s="7"/>
      <c r="D35" s="7"/>
      <c r="E35" s="7"/>
      <c r="F35" s="7"/>
      <c r="G35" s="7"/>
      <c r="H35" s="7"/>
      <c r="I35" s="7"/>
      <c r="J35" s="7"/>
      <c r="K35" s="7"/>
      <c r="L35" s="7"/>
      <c r="M35" s="7"/>
    </row>
    <row r="36" spans="1:44" s="6" customFormat="1" hidden="1">
      <c r="A36" s="13" t="s">
        <v>44</v>
      </c>
      <c r="B36" s="7"/>
      <c r="C36" s="7"/>
      <c r="D36" s="7"/>
      <c r="E36" s="7"/>
      <c r="F36" s="7"/>
      <c r="G36" s="7"/>
      <c r="H36" s="7"/>
      <c r="I36" s="7"/>
      <c r="J36" s="7"/>
      <c r="K36" s="7"/>
      <c r="L36" s="7"/>
      <c r="M36" s="7"/>
    </row>
    <row r="37" spans="1:44" s="6" customFormat="1" hidden="1">
      <c r="A37" s="6" t="s">
        <v>45</v>
      </c>
      <c r="B37" s="53">
        <v>957334</v>
      </c>
      <c r="C37" s="53">
        <v>1280895.4690940941</v>
      </c>
      <c r="D37" s="53">
        <v>1577505.2299712123</v>
      </c>
      <c r="E37" s="53">
        <v>1621576.5698087905</v>
      </c>
      <c r="F37" s="53">
        <v>1397109.5265258201</v>
      </c>
      <c r="G37" s="66">
        <v>1381899.2128031002</v>
      </c>
      <c r="H37" s="66">
        <v>1338862.8735315695</v>
      </c>
      <c r="I37" s="66">
        <v>1447399.3372471465</v>
      </c>
      <c r="J37" s="66">
        <v>1483783.6270001915</v>
      </c>
      <c r="K37" s="53">
        <v>1521178.5687367001</v>
      </c>
      <c r="L37" s="53">
        <v>1366856.0727674812</v>
      </c>
      <c r="M37" s="53">
        <v>1089068.663147087</v>
      </c>
      <c r="N37" s="7">
        <f>SUM(B37:M37)</f>
        <v>16463469.150633194</v>
      </c>
      <c r="O37" s="53"/>
      <c r="P37" s="62"/>
    </row>
    <row r="38" spans="1:44" s="6" customFormat="1" hidden="1">
      <c r="A38" s="6" t="s">
        <v>46</v>
      </c>
      <c r="B38" s="7">
        <f>-B34</f>
        <v>-609067</v>
      </c>
      <c r="C38" s="7">
        <f t="shared" ref="C38:M38" si="8">-C34</f>
        <v>-753467.02559277997</v>
      </c>
      <c r="D38" s="7">
        <f t="shared" si="8"/>
        <v>-852957.97097740404</v>
      </c>
      <c r="E38" s="7">
        <f t="shared" si="8"/>
        <v>-985756.31013697688</v>
      </c>
      <c r="F38" s="7">
        <f t="shared" si="8"/>
        <v>-787176.76527856698</v>
      </c>
      <c r="G38" s="7">
        <f t="shared" si="8"/>
        <v>-763873.44007889798</v>
      </c>
      <c r="H38" s="7">
        <f t="shared" si="8"/>
        <v>-821363.6349260211</v>
      </c>
      <c r="I38" s="7">
        <f t="shared" si="8"/>
        <v>-865742.93498899299</v>
      </c>
      <c r="J38" s="7">
        <f t="shared" si="8"/>
        <v>-854557.64368810703</v>
      </c>
      <c r="K38" s="7">
        <f t="shared" si="8"/>
        <v>-951180.70933962893</v>
      </c>
      <c r="L38" s="7">
        <f t="shared" si="8"/>
        <v>-811770.33569646196</v>
      </c>
      <c r="M38" s="7">
        <f t="shared" si="8"/>
        <v>-647553.72145282303</v>
      </c>
      <c r="N38" s="7">
        <f>SUM(B38:M38)</f>
        <v>-9704467.4921566602</v>
      </c>
    </row>
    <row r="39" spans="1:44" s="6" customFormat="1" hidden="1">
      <c r="A39" s="6" t="s">
        <v>47</v>
      </c>
      <c r="B39" s="53">
        <v>-73369</v>
      </c>
      <c r="C39" s="53">
        <v>-75707.591666666602</v>
      </c>
      <c r="D39" s="53">
        <v>-75677.401666666599</v>
      </c>
      <c r="E39" s="53">
        <v>-84889.941666666593</v>
      </c>
      <c r="F39" s="53">
        <v>-84889.941666666593</v>
      </c>
      <c r="G39" s="53">
        <v>-84858.961666666597</v>
      </c>
      <c r="H39" s="53">
        <v>-82257.801666666594</v>
      </c>
      <c r="I39" s="53">
        <v>-82098.931666666598</v>
      </c>
      <c r="J39" s="53">
        <v>-82065.061666666603</v>
      </c>
      <c r="K39" s="53">
        <v>-81467.421666666603</v>
      </c>
      <c r="L39" s="53">
        <v>-81449.971666666606</v>
      </c>
      <c r="M39" s="53">
        <v>-80077.631666666595</v>
      </c>
      <c r="N39" s="7">
        <v>-971805.1199999993</v>
      </c>
    </row>
    <row r="40" spans="1:44" s="6" customFormat="1" hidden="1">
      <c r="A40" s="6" t="s">
        <v>78</v>
      </c>
      <c r="B40" s="53">
        <v>10663.666666666668</v>
      </c>
      <c r="C40" s="53">
        <v>10663.666666666668</v>
      </c>
      <c r="D40" s="53">
        <v>10663.666666666668</v>
      </c>
      <c r="E40" s="53">
        <v>10663.666666666668</v>
      </c>
      <c r="F40" s="53">
        <v>10663.666666666668</v>
      </c>
      <c r="G40" s="53">
        <v>10663.666666666668</v>
      </c>
      <c r="H40" s="53">
        <v>10663.666666666668</v>
      </c>
      <c r="I40" s="53">
        <v>10663.666666666668</v>
      </c>
      <c r="J40" s="53">
        <v>10963.666666666668</v>
      </c>
      <c r="K40" s="53">
        <v>10863.666666666668</v>
      </c>
      <c r="L40" s="53">
        <v>10963.666666666668</v>
      </c>
      <c r="M40" s="53">
        <v>10663.666666666668</v>
      </c>
      <c r="N40" s="7">
        <f>SUM(B40:M40)</f>
        <v>128764.00000000004</v>
      </c>
    </row>
    <row r="41" spans="1:44" s="6" customFormat="1" hidden="1">
      <c r="A41" s="6" t="s">
        <v>48</v>
      </c>
      <c r="B41" s="60">
        <v>-10663.666666666701</v>
      </c>
      <c r="C41" s="60">
        <v>-10663.666666666701</v>
      </c>
      <c r="D41" s="60">
        <v>-10663.666666666701</v>
      </c>
      <c r="E41" s="60">
        <v>-10663.666666666701</v>
      </c>
      <c r="F41" s="60">
        <v>-10663.666666666701</v>
      </c>
      <c r="G41" s="60">
        <v>-10663.666666666701</v>
      </c>
      <c r="H41" s="60">
        <v>-10663.666666666701</v>
      </c>
      <c r="I41" s="60">
        <v>-10663.666666666701</v>
      </c>
      <c r="J41" s="60">
        <v>-10964</v>
      </c>
      <c r="K41" s="60">
        <v>-10864</v>
      </c>
      <c r="L41" s="60">
        <v>-10964</v>
      </c>
      <c r="M41" s="60">
        <v>-10664</v>
      </c>
      <c r="N41" s="15">
        <f>SUM(B41:M41)</f>
        <v>-128765.3333333336</v>
      </c>
    </row>
    <row r="42" spans="1:44" s="6" customFormat="1">
      <c r="A42" s="13" t="s">
        <v>49</v>
      </c>
      <c r="B42" s="12">
        <f t="shared" ref="B42:N42" si="9">SUM(B37:B41)</f>
        <v>274898</v>
      </c>
      <c r="C42" s="12">
        <f t="shared" si="9"/>
        <v>451720.85183464753</v>
      </c>
      <c r="D42" s="12">
        <f t="shared" si="9"/>
        <v>648869.85732714157</v>
      </c>
      <c r="E42" s="12">
        <f t="shared" si="9"/>
        <v>550930.31800514681</v>
      </c>
      <c r="F42" s="12">
        <f t="shared" si="9"/>
        <v>525042.81958058651</v>
      </c>
      <c r="G42" s="12">
        <f t="shared" si="9"/>
        <v>533166.81105753558</v>
      </c>
      <c r="H42" s="12">
        <f t="shared" si="9"/>
        <v>435241.43693888182</v>
      </c>
      <c r="I42" s="12">
        <f t="shared" si="9"/>
        <v>499557.47059148696</v>
      </c>
      <c r="J42" s="12">
        <f t="shared" si="9"/>
        <v>547160.58831208444</v>
      </c>
      <c r="K42" s="12">
        <f t="shared" si="9"/>
        <v>488530.10439707123</v>
      </c>
      <c r="L42" s="12">
        <f t="shared" si="9"/>
        <v>473635.43207101931</v>
      </c>
      <c r="M42" s="12">
        <f t="shared" si="9"/>
        <v>361436.97669426404</v>
      </c>
      <c r="N42" s="12">
        <f t="shared" si="9"/>
        <v>5787195.2051432002</v>
      </c>
    </row>
    <row r="43" spans="1:44">
      <c r="A43" s="1"/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2"/>
      <c r="N43" s="12"/>
      <c r="O43" s="6"/>
    </row>
    <row r="44" spans="1:44" hidden="1">
      <c r="A44" s="13" t="s">
        <v>50</v>
      </c>
      <c r="B44" s="53">
        <v>275362</v>
      </c>
      <c r="C44" s="53">
        <v>275080.11564446817</v>
      </c>
      <c r="D44" s="53">
        <v>333220.85264446813</v>
      </c>
      <c r="E44" s="53">
        <v>325654.34176216874</v>
      </c>
      <c r="F44" s="53">
        <v>309928.67264446814</v>
      </c>
      <c r="G44" s="53">
        <v>418573.73264446814</v>
      </c>
      <c r="H44" s="59">
        <v>320964.16545716883</v>
      </c>
      <c r="I44" s="53">
        <v>283542.94633946812</v>
      </c>
      <c r="J44" s="53">
        <v>318115.5463394681</v>
      </c>
      <c r="K44" s="53">
        <v>331200.75545716879</v>
      </c>
      <c r="L44" s="53">
        <v>295624.06633946812</v>
      </c>
      <c r="M44" s="53">
        <v>637691.65717914759</v>
      </c>
      <c r="N44" s="12">
        <f>SUM(B44:M44)</f>
        <v>4124958.8524519308</v>
      </c>
      <c r="O44" s="6"/>
    </row>
    <row r="45" spans="1:44" hidden="1">
      <c r="A45" s="6" t="s">
        <v>51</v>
      </c>
      <c r="B45" s="22">
        <v>0</v>
      </c>
      <c r="C45" s="22">
        <v>-5000</v>
      </c>
      <c r="D45" s="22">
        <v>-5000</v>
      </c>
      <c r="E45" s="22">
        <v>-5000</v>
      </c>
      <c r="F45" s="22">
        <v>-5000</v>
      </c>
      <c r="G45" s="22">
        <v>-5000</v>
      </c>
      <c r="H45" s="22">
        <v>-5000</v>
      </c>
      <c r="I45" s="22">
        <v>-5000</v>
      </c>
      <c r="J45" s="22">
        <v>-5000</v>
      </c>
      <c r="K45" s="22">
        <v>-5000</v>
      </c>
      <c r="L45" s="22">
        <v>-5000</v>
      </c>
      <c r="M45" s="22">
        <v>-5000</v>
      </c>
      <c r="N45" s="22">
        <f>SUM(B45:M45)</f>
        <v>-55000</v>
      </c>
      <c r="O45" s="6"/>
    </row>
    <row r="46" spans="1:44">
      <c r="A46" s="1" t="s">
        <v>50</v>
      </c>
      <c r="B46" s="12">
        <f>SUM(B44:B45)</f>
        <v>275362</v>
      </c>
      <c r="C46" s="12">
        <f>SUM(C44:C45)</f>
        <v>270080.11564446817</v>
      </c>
      <c r="D46" s="12">
        <f t="shared" ref="D46:N46" si="10">SUM(D44:D45)</f>
        <v>328220.85264446813</v>
      </c>
      <c r="E46" s="12">
        <f t="shared" si="10"/>
        <v>320654.34176216874</v>
      </c>
      <c r="F46" s="12">
        <f t="shared" si="10"/>
        <v>304928.67264446814</v>
      </c>
      <c r="G46" s="12">
        <f t="shared" si="10"/>
        <v>413573.73264446814</v>
      </c>
      <c r="H46" s="12">
        <f t="shared" si="10"/>
        <v>315964.16545716883</v>
      </c>
      <c r="I46" s="12">
        <f t="shared" si="10"/>
        <v>278542.94633946812</v>
      </c>
      <c r="J46" s="12">
        <f t="shared" si="10"/>
        <v>313115.5463394681</v>
      </c>
      <c r="K46" s="12">
        <f t="shared" si="10"/>
        <v>326200.75545716879</v>
      </c>
      <c r="L46" s="12">
        <f t="shared" si="10"/>
        <v>290624.06633946812</v>
      </c>
      <c r="M46" s="12">
        <f t="shared" si="10"/>
        <v>632691.65717914759</v>
      </c>
      <c r="N46" s="12">
        <f t="shared" si="10"/>
        <v>4069958.8524519308</v>
      </c>
      <c r="O46" s="6"/>
    </row>
    <row r="47" spans="1:44">
      <c r="B47" s="7"/>
      <c r="C47" s="7"/>
      <c r="D47" s="7"/>
      <c r="E47" s="7"/>
      <c r="F47" s="7"/>
      <c r="G47" s="7"/>
      <c r="H47" s="7"/>
      <c r="I47" s="7"/>
      <c r="J47" s="7"/>
      <c r="K47" s="6"/>
      <c r="L47" s="6"/>
      <c r="M47" s="6"/>
      <c r="N47" s="6"/>
      <c r="O47" s="6"/>
    </row>
    <row r="48" spans="1:44">
      <c r="A48" s="13" t="s">
        <v>52</v>
      </c>
      <c r="B48" s="19">
        <f t="shared" ref="B48:N48" si="11">+B20+B34+B42+B46</f>
        <v>1779612</v>
      </c>
      <c r="C48" s="19">
        <f t="shared" si="11"/>
        <v>4678164.3297955757</v>
      </c>
      <c r="D48" s="19">
        <f t="shared" si="11"/>
        <v>3570948.0205331934</v>
      </c>
      <c r="E48" s="19">
        <f t="shared" si="11"/>
        <v>3196540.2405007528</v>
      </c>
      <c r="F48" s="19">
        <f t="shared" si="11"/>
        <v>2537590.5534286695</v>
      </c>
      <c r="G48" s="19">
        <f t="shared" si="11"/>
        <v>2705129.6115950304</v>
      </c>
      <c r="H48" s="19">
        <f t="shared" si="11"/>
        <v>4296767.8048361419</v>
      </c>
      <c r="I48" s="19">
        <f t="shared" si="11"/>
        <v>2953341.5134643381</v>
      </c>
      <c r="J48" s="19">
        <f t="shared" si="11"/>
        <v>2861261.6887970995</v>
      </c>
      <c r="K48" s="19">
        <f t="shared" si="11"/>
        <v>2780369.393946989</v>
      </c>
      <c r="L48" s="19">
        <f t="shared" si="11"/>
        <v>2778876.1588696693</v>
      </c>
      <c r="M48" s="19">
        <f t="shared" si="11"/>
        <v>2450267.6792794396</v>
      </c>
      <c r="N48" s="19">
        <f t="shared" si="11"/>
        <v>36585873.533380225</v>
      </c>
      <c r="O48" s="6"/>
    </row>
    <row r="49" spans="1:17">
      <c r="B49" s="7"/>
      <c r="C49" s="7"/>
      <c r="D49" s="7"/>
      <c r="E49" s="7"/>
      <c r="F49" s="7"/>
      <c r="G49" s="7"/>
      <c r="H49" s="7"/>
      <c r="I49" s="7"/>
      <c r="J49" s="7"/>
      <c r="K49" s="6"/>
      <c r="L49" s="6"/>
      <c r="M49" s="6"/>
      <c r="N49" s="6"/>
      <c r="O49" s="6"/>
    </row>
    <row r="50" spans="1:17">
      <c r="A50" s="1" t="s">
        <v>53</v>
      </c>
      <c r="B50" s="12">
        <f t="shared" ref="B50:M50" si="12">+B13-B48</f>
        <v>-518363</v>
      </c>
      <c r="C50" s="12">
        <f t="shared" si="12"/>
        <v>434434.35975422338</v>
      </c>
      <c r="D50" s="12">
        <f t="shared" si="12"/>
        <v>568178.97359715961</v>
      </c>
      <c r="E50" s="12">
        <f t="shared" si="12"/>
        <v>496684.79458816955</v>
      </c>
      <c r="F50" s="12">
        <f t="shared" si="12"/>
        <v>22426.726282144431</v>
      </c>
      <c r="G50" s="12">
        <f t="shared" si="12"/>
        <v>-181366.28224246856</v>
      </c>
      <c r="H50" s="12">
        <f t="shared" si="12"/>
        <v>188975.42496307939</v>
      </c>
      <c r="I50" s="12">
        <f t="shared" si="12"/>
        <v>352216.92879612185</v>
      </c>
      <c r="J50" s="12">
        <f t="shared" si="12"/>
        <v>434952.60870434204</v>
      </c>
      <c r="K50" s="12">
        <f t="shared" si="12"/>
        <v>188695.443523027</v>
      </c>
      <c r="L50" s="12">
        <f t="shared" si="12"/>
        <v>409384.12303474871</v>
      </c>
      <c r="M50" s="12">
        <f t="shared" si="12"/>
        <v>-867328.0002686996</v>
      </c>
      <c r="N50" s="12">
        <f>SUM(B50:M50)</f>
        <v>1528892.1007318478</v>
      </c>
      <c r="O50" s="6"/>
      <c r="P50" s="25"/>
    </row>
    <row r="51" spans="1:17" ht="7.5" customHeight="1">
      <c r="B51" s="7"/>
      <c r="C51" s="7"/>
      <c r="D51" s="7"/>
      <c r="E51" s="7"/>
      <c r="F51" s="7"/>
      <c r="G51" s="7"/>
      <c r="H51" s="7"/>
      <c r="I51" s="7"/>
      <c r="J51" s="7"/>
      <c r="K51" s="6"/>
      <c r="L51" s="6"/>
      <c r="M51" s="6"/>
      <c r="N51" s="6"/>
      <c r="O51" s="6"/>
    </row>
    <row r="52" spans="1:17">
      <c r="A52" s="1" t="s">
        <v>54</v>
      </c>
      <c r="B52" s="7"/>
      <c r="C52" s="7"/>
      <c r="D52" s="7"/>
      <c r="E52" s="7"/>
      <c r="F52" s="7"/>
      <c r="G52" s="7"/>
      <c r="H52" s="7"/>
      <c r="I52" s="7"/>
      <c r="J52" s="7"/>
      <c r="K52" s="6"/>
      <c r="L52" s="6"/>
      <c r="M52" s="6"/>
      <c r="N52" s="6"/>
      <c r="O52" s="6"/>
    </row>
    <row r="53" spans="1:17" s="6" customFormat="1">
      <c r="A53" s="6" t="s">
        <v>55</v>
      </c>
      <c r="B53" s="10">
        <v>24982</v>
      </c>
      <c r="C53" s="10">
        <v>20000</v>
      </c>
      <c r="D53" s="10">
        <v>10000</v>
      </c>
      <c r="E53" s="10">
        <v>44355</v>
      </c>
      <c r="F53" s="10">
        <v>186840</v>
      </c>
      <c r="G53" s="10">
        <v>202000</v>
      </c>
      <c r="H53" s="23">
        <v>197000</v>
      </c>
      <c r="I53" s="10">
        <v>142000</v>
      </c>
      <c r="J53" s="10">
        <v>119000</v>
      </c>
      <c r="K53" s="10">
        <v>0</v>
      </c>
      <c r="L53" s="10">
        <v>0</v>
      </c>
      <c r="M53" s="10">
        <v>455000</v>
      </c>
      <c r="N53" s="10">
        <f>SUM(B53:M53)</f>
        <v>1401177</v>
      </c>
      <c r="P53" s="40"/>
    </row>
    <row r="54" spans="1:17" s="6" customFormat="1">
      <c r="A54" s="6" t="s">
        <v>56</v>
      </c>
      <c r="B54" s="10"/>
      <c r="C54" s="10"/>
      <c r="D54" s="10">
        <v>-520000</v>
      </c>
      <c r="E54" s="10"/>
      <c r="F54" s="10">
        <v>95000</v>
      </c>
      <c r="G54" s="10"/>
      <c r="H54" s="10"/>
      <c r="I54" s="10"/>
      <c r="J54" s="10"/>
      <c r="K54" s="10"/>
      <c r="L54" s="10"/>
      <c r="M54" s="10"/>
      <c r="N54" s="10">
        <f>SUM(B54:M54)</f>
        <v>-425000</v>
      </c>
      <c r="P54" s="7"/>
      <c r="Q54" s="6">
        <v>0</v>
      </c>
    </row>
    <row r="55" spans="1:17" s="6" customFormat="1">
      <c r="A55" s="6" t="s">
        <v>57</v>
      </c>
      <c r="B55" s="10">
        <f>50000+228312</f>
        <v>278312</v>
      </c>
      <c r="C55" s="10">
        <v>50000</v>
      </c>
      <c r="D55" s="10">
        <v>50000</v>
      </c>
      <c r="E55" s="10">
        <v>50000</v>
      </c>
      <c r="F55" s="10">
        <v>50000</v>
      </c>
      <c r="G55" s="10">
        <v>50000</v>
      </c>
      <c r="H55" s="10">
        <v>50000</v>
      </c>
      <c r="I55" s="10">
        <v>50000</v>
      </c>
      <c r="J55" s="10">
        <v>50000</v>
      </c>
      <c r="K55" s="10">
        <v>50000</v>
      </c>
      <c r="L55" s="10"/>
      <c r="M55" s="10"/>
      <c r="N55" s="10">
        <f>SUM(B55:M55)</f>
        <v>728312</v>
      </c>
      <c r="P55" s="7"/>
    </row>
    <row r="56" spans="1:17" s="6" customFormat="1">
      <c r="A56" s="37" t="s">
        <v>58</v>
      </c>
      <c r="B56" s="7">
        <v>-26129</v>
      </c>
      <c r="C56" s="7">
        <v>-8000</v>
      </c>
      <c r="D56" s="7">
        <v>-8000</v>
      </c>
      <c r="E56" s="7">
        <v>-8000</v>
      </c>
      <c r="F56" s="7">
        <v>-8000</v>
      </c>
      <c r="G56" s="7">
        <v>-8000</v>
      </c>
      <c r="H56" s="7">
        <v>-8000</v>
      </c>
      <c r="I56" s="7">
        <v>-8000</v>
      </c>
      <c r="J56" s="7">
        <v>-9000</v>
      </c>
      <c r="K56" s="7">
        <v>-9000</v>
      </c>
      <c r="L56" s="7">
        <v>-9000</v>
      </c>
      <c r="M56" s="7">
        <v>-9000</v>
      </c>
      <c r="N56" s="7">
        <f>SUM(B56:M56)</f>
        <v>-118129</v>
      </c>
      <c r="P56" s="56"/>
    </row>
    <row r="57" spans="1:17" s="6" customFormat="1">
      <c r="A57" s="6" t="s">
        <v>59</v>
      </c>
      <c r="B57" s="22">
        <v>-262370</v>
      </c>
      <c r="C57" s="22">
        <v>-25000</v>
      </c>
      <c r="D57" s="22">
        <v>-25000</v>
      </c>
      <c r="E57" s="22">
        <v>-25000</v>
      </c>
      <c r="F57" s="22">
        <v>-25000</v>
      </c>
      <c r="G57" s="22">
        <v>-25000</v>
      </c>
      <c r="H57" s="22">
        <v>-25000</v>
      </c>
      <c r="I57" s="22">
        <v>-25000</v>
      </c>
      <c r="J57" s="22">
        <v>-25000</v>
      </c>
      <c r="K57" s="22">
        <v>-25000</v>
      </c>
      <c r="L57" s="22">
        <v>-25000</v>
      </c>
      <c r="M57" s="22">
        <v>-25000</v>
      </c>
      <c r="N57" s="22">
        <f>SUM(B57:M57)</f>
        <v>-537370</v>
      </c>
      <c r="P57" s="7"/>
    </row>
    <row r="58" spans="1:17" s="6" customFormat="1">
      <c r="A58" s="13" t="s">
        <v>60</v>
      </c>
      <c r="B58" s="19">
        <f t="shared" ref="B58:N58" si="13">SUM(B53:B57)</f>
        <v>14795</v>
      </c>
      <c r="C58" s="19">
        <f t="shared" si="13"/>
        <v>37000</v>
      </c>
      <c r="D58" s="19">
        <f t="shared" si="13"/>
        <v>-493000</v>
      </c>
      <c r="E58" s="19">
        <f t="shared" si="13"/>
        <v>61355</v>
      </c>
      <c r="F58" s="19">
        <f t="shared" si="13"/>
        <v>298840</v>
      </c>
      <c r="G58" s="19">
        <f t="shared" si="13"/>
        <v>219000</v>
      </c>
      <c r="H58" s="19">
        <f t="shared" si="13"/>
        <v>214000</v>
      </c>
      <c r="I58" s="19">
        <f t="shared" si="13"/>
        <v>159000</v>
      </c>
      <c r="J58" s="19">
        <f t="shared" si="13"/>
        <v>135000</v>
      </c>
      <c r="K58" s="19">
        <f t="shared" si="13"/>
        <v>16000</v>
      </c>
      <c r="L58" s="19">
        <f t="shared" si="13"/>
        <v>-34000</v>
      </c>
      <c r="M58" s="19">
        <f t="shared" si="13"/>
        <v>421000</v>
      </c>
      <c r="N58" s="19">
        <f t="shared" si="13"/>
        <v>1048990</v>
      </c>
    </row>
    <row r="59" spans="1:17">
      <c r="B59" s="7"/>
      <c r="C59" s="7"/>
      <c r="D59" s="7"/>
      <c r="E59" s="7"/>
      <c r="F59" s="7"/>
      <c r="G59" s="7"/>
      <c r="H59" s="7"/>
      <c r="I59" s="7"/>
      <c r="J59" s="7"/>
      <c r="K59" s="7"/>
      <c r="L59" s="7"/>
      <c r="M59" s="7"/>
      <c r="N59" s="7"/>
      <c r="O59" s="6"/>
    </row>
    <row r="60" spans="1:17">
      <c r="A60" s="1" t="s">
        <v>61</v>
      </c>
      <c r="B60" s="12">
        <v>10990495</v>
      </c>
      <c r="C60" s="7"/>
      <c r="D60" s="7"/>
      <c r="E60" s="7"/>
      <c r="F60" s="7"/>
      <c r="G60" s="7"/>
      <c r="H60" s="7" t="s">
        <v>38</v>
      </c>
      <c r="I60" s="7"/>
      <c r="J60" s="7"/>
      <c r="K60" s="6"/>
      <c r="L60" s="6"/>
      <c r="M60" s="6"/>
      <c r="N60" s="6"/>
      <c r="O60" s="6"/>
    </row>
    <row r="61" spans="1:17">
      <c r="A61" s="13" t="s">
        <v>62</v>
      </c>
      <c r="B61" s="19">
        <f t="shared" ref="B61:N61" si="14">+B58+B48</f>
        <v>1794407</v>
      </c>
      <c r="C61" s="19">
        <f t="shared" si="14"/>
        <v>4715164.3297955757</v>
      </c>
      <c r="D61" s="19">
        <f t="shared" si="14"/>
        <v>3077948.0205331934</v>
      </c>
      <c r="E61" s="19">
        <f t="shared" si="14"/>
        <v>3257895.2405007528</v>
      </c>
      <c r="F61" s="19">
        <f t="shared" si="14"/>
        <v>2836430.5534286695</v>
      </c>
      <c r="G61" s="19">
        <f t="shared" si="14"/>
        <v>2924129.6115950304</v>
      </c>
      <c r="H61" s="19">
        <f t="shared" si="14"/>
        <v>4510767.8048361419</v>
      </c>
      <c r="I61" s="19">
        <f t="shared" si="14"/>
        <v>3112341.5134643381</v>
      </c>
      <c r="J61" s="19">
        <f t="shared" si="14"/>
        <v>2996261.6887970995</v>
      </c>
      <c r="K61" s="19">
        <f t="shared" si="14"/>
        <v>2796369.393946989</v>
      </c>
      <c r="L61" s="19">
        <f t="shared" si="14"/>
        <v>2744876.1588696693</v>
      </c>
      <c r="M61" s="19">
        <f t="shared" si="14"/>
        <v>2871267.6792794396</v>
      </c>
      <c r="N61" s="19">
        <f t="shared" si="14"/>
        <v>37634863.533380225</v>
      </c>
      <c r="O61" s="6"/>
    </row>
    <row r="62" spans="1:17" ht="13.5" thickBot="1">
      <c r="A62" s="13" t="s">
        <v>63</v>
      </c>
      <c r="B62" s="30">
        <f t="shared" ref="B62:N62" si="15">+B13-B61</f>
        <v>-533158</v>
      </c>
      <c r="C62" s="14">
        <f t="shared" si="15"/>
        <v>397434.35975422338</v>
      </c>
      <c r="D62" s="14">
        <f t="shared" si="15"/>
        <v>1061178.9735971596</v>
      </c>
      <c r="E62" s="14">
        <f t="shared" si="15"/>
        <v>435329.79458816955</v>
      </c>
      <c r="F62" s="14">
        <f t="shared" si="15"/>
        <v>-276413.27371785557</v>
      </c>
      <c r="G62" s="14">
        <f t="shared" si="15"/>
        <v>-400366.28224246856</v>
      </c>
      <c r="H62" s="14">
        <f t="shared" si="15"/>
        <v>-25024.575036920607</v>
      </c>
      <c r="I62" s="14">
        <f t="shared" si="15"/>
        <v>193216.92879612185</v>
      </c>
      <c r="J62" s="14">
        <f t="shared" si="15"/>
        <v>299952.60870434204</v>
      </c>
      <c r="K62" s="14">
        <f t="shared" si="15"/>
        <v>172695.443523027</v>
      </c>
      <c r="L62" s="14">
        <f t="shared" si="15"/>
        <v>443384.12303474871</v>
      </c>
      <c r="M62" s="14">
        <f t="shared" si="15"/>
        <v>-1288328.0002686996</v>
      </c>
      <c r="N62" s="14">
        <f t="shared" si="15"/>
        <v>482897.56239851564</v>
      </c>
      <c r="O62" s="6"/>
      <c r="P62" s="25"/>
    </row>
    <row r="63" spans="1:17" s="6" customFormat="1" ht="13.5" thickTop="1">
      <c r="A63" s="13" t="s">
        <v>64</v>
      </c>
      <c r="B63" s="32">
        <f>+B62</f>
        <v>-533158</v>
      </c>
      <c r="C63" s="12">
        <f t="shared" ref="C63:M63" si="16">B63+C62</f>
        <v>-135723.64024577662</v>
      </c>
      <c r="D63" s="12">
        <f t="shared" si="16"/>
        <v>925455.33335138299</v>
      </c>
      <c r="E63" s="12">
        <f t="shared" si="16"/>
        <v>1360785.1279395525</v>
      </c>
      <c r="F63" s="12">
        <f t="shared" si="16"/>
        <v>1084371.854221697</v>
      </c>
      <c r="G63" s="12">
        <f t="shared" si="16"/>
        <v>684005.57197922841</v>
      </c>
      <c r="H63" s="12">
        <f t="shared" si="16"/>
        <v>658980.9969423078</v>
      </c>
      <c r="I63" s="12">
        <f t="shared" si="16"/>
        <v>852197.92573842965</v>
      </c>
      <c r="J63" s="12">
        <f t="shared" si="16"/>
        <v>1152150.5344427717</v>
      </c>
      <c r="K63" s="12">
        <f t="shared" si="16"/>
        <v>1324845.9779657987</v>
      </c>
      <c r="L63" s="12">
        <f t="shared" si="16"/>
        <v>1768230.1010005474</v>
      </c>
      <c r="M63" s="12">
        <f t="shared" si="16"/>
        <v>479902.10073184781</v>
      </c>
      <c r="N63" s="12"/>
    </row>
    <row r="64" spans="1:17">
      <c r="A64" s="13" t="s">
        <v>65</v>
      </c>
      <c r="B64" s="12">
        <f t="shared" ref="B64:M64" si="17">+$B$60+B63</f>
        <v>10457337</v>
      </c>
      <c r="C64" s="12">
        <f t="shared" si="17"/>
        <v>10854771.359754223</v>
      </c>
      <c r="D64" s="12">
        <f t="shared" si="17"/>
        <v>11915950.333351383</v>
      </c>
      <c r="E64" s="12">
        <f t="shared" si="17"/>
        <v>12351280.127939552</v>
      </c>
      <c r="F64" s="12">
        <f t="shared" si="17"/>
        <v>12074866.854221698</v>
      </c>
      <c r="G64" s="12">
        <f t="shared" si="17"/>
        <v>11674500.571979228</v>
      </c>
      <c r="H64" s="12">
        <f t="shared" si="17"/>
        <v>11649475.996942308</v>
      </c>
      <c r="I64" s="12">
        <f t="shared" si="17"/>
        <v>11842692.92573843</v>
      </c>
      <c r="J64" s="12">
        <f t="shared" si="17"/>
        <v>12142645.534442771</v>
      </c>
      <c r="K64" s="12">
        <f t="shared" si="17"/>
        <v>12315340.977965798</v>
      </c>
      <c r="L64" s="12">
        <f t="shared" si="17"/>
        <v>12758725.101000547</v>
      </c>
      <c r="M64" s="12">
        <f t="shared" si="17"/>
        <v>11470397.100731848</v>
      </c>
      <c r="N64" s="12"/>
      <c r="O64" s="6"/>
      <c r="P64" s="29"/>
    </row>
    <row r="65" spans="1:16">
      <c r="A65" s="6"/>
      <c r="B65" s="7"/>
      <c r="C65" s="7"/>
      <c r="D65" s="7"/>
      <c r="E65" s="7"/>
      <c r="F65" s="7"/>
      <c r="G65" s="7"/>
      <c r="H65" s="7"/>
      <c r="I65" s="7"/>
      <c r="J65" s="7"/>
      <c r="K65" s="6"/>
      <c r="L65" s="6"/>
      <c r="M65" s="6"/>
      <c r="N65" s="6"/>
      <c r="O65" s="6"/>
    </row>
    <row r="66" spans="1:16" s="6" customFormat="1">
      <c r="A66" s="17" t="s">
        <v>79</v>
      </c>
      <c r="B66" s="18"/>
      <c r="C66" s="18"/>
      <c r="D66" s="18"/>
      <c r="E66" s="18"/>
      <c r="F66" s="18"/>
      <c r="G66" s="18"/>
      <c r="H66" s="18"/>
      <c r="I66" s="18"/>
      <c r="J66" s="18"/>
      <c r="K66" s="18"/>
      <c r="L66" s="18"/>
      <c r="M66" s="18"/>
      <c r="N66" s="18"/>
    </row>
    <row r="67" spans="1:16" ht="13.5" thickBot="1">
      <c r="A67" s="13" t="s">
        <v>67</v>
      </c>
      <c r="B67" s="30">
        <v>-923707.19930042047</v>
      </c>
      <c r="C67" s="30">
        <v>408098.02642089035</v>
      </c>
      <c r="D67" s="30">
        <v>1071842.6402638261</v>
      </c>
      <c r="E67" s="30">
        <v>445993.46125483606</v>
      </c>
      <c r="F67" s="30">
        <v>-265749.60705118906</v>
      </c>
      <c r="G67" s="30">
        <v>-389702.61557580205</v>
      </c>
      <c r="H67" s="30">
        <v>-14360.90837025363</v>
      </c>
      <c r="I67" s="30">
        <v>203880.59546278836</v>
      </c>
      <c r="J67" s="30">
        <v>310916.27537100855</v>
      </c>
      <c r="K67" s="30">
        <v>183559.11018969351</v>
      </c>
      <c r="L67" s="30">
        <v>454347.78970141569</v>
      </c>
      <c r="M67" s="30">
        <v>-1277664.3336020331</v>
      </c>
      <c r="N67" s="16"/>
      <c r="O67" s="6"/>
    </row>
    <row r="68" spans="1:16" ht="13.5" thickTop="1">
      <c r="A68" s="13" t="s">
        <v>64</v>
      </c>
      <c r="B68" s="32">
        <v>-923707.19930042047</v>
      </c>
      <c r="C68" s="32">
        <v>-515609.17287953012</v>
      </c>
      <c r="D68" s="32">
        <v>556233.467384296</v>
      </c>
      <c r="E68" s="32">
        <v>1002226.9286391321</v>
      </c>
      <c r="F68" s="32">
        <v>736477.32158794301</v>
      </c>
      <c r="G68" s="32">
        <v>346774.70601214096</v>
      </c>
      <c r="H68" s="32">
        <v>332413.79764188733</v>
      </c>
      <c r="I68" s="32">
        <v>536294.39310467569</v>
      </c>
      <c r="J68" s="32">
        <v>847210.66847568424</v>
      </c>
      <c r="K68" s="32">
        <v>1030769.7786653778</v>
      </c>
      <c r="L68" s="32">
        <v>1485117.5683667934</v>
      </c>
      <c r="M68" s="32">
        <v>207453.23476476036</v>
      </c>
      <c r="N68" s="16"/>
      <c r="O68" s="6"/>
    </row>
    <row r="69" spans="1:16">
      <c r="A69" s="13" t="s">
        <v>65</v>
      </c>
      <c r="B69" s="12">
        <v>10066787.80069958</v>
      </c>
      <c r="C69" s="12">
        <v>10474885.82712047</v>
      </c>
      <c r="D69" s="12">
        <v>11546728.467384296</v>
      </c>
      <c r="E69" s="12">
        <v>11992721.928639133</v>
      </c>
      <c r="F69" s="12">
        <v>11726972.321587943</v>
      </c>
      <c r="G69" s="12">
        <v>11337269.706012141</v>
      </c>
      <c r="H69" s="12">
        <v>11322908.797641888</v>
      </c>
      <c r="I69" s="12">
        <v>11526789.393104676</v>
      </c>
      <c r="J69" s="12">
        <v>11837705.668475684</v>
      </c>
      <c r="K69" s="12">
        <v>12021264.778665379</v>
      </c>
      <c r="L69" s="12">
        <v>12475612.568366794</v>
      </c>
      <c r="M69" s="12">
        <v>11197948.23476476</v>
      </c>
      <c r="N69" s="12"/>
      <c r="O69" s="6"/>
    </row>
    <row r="70" spans="1:16">
      <c r="A70" s="6"/>
      <c r="B70" s="6"/>
      <c r="C70" s="6"/>
      <c r="D70" s="6"/>
      <c r="E70" s="6"/>
      <c r="F70" s="6"/>
      <c r="H70" s="6"/>
      <c r="I70" s="6"/>
      <c r="J70" s="6"/>
      <c r="K70" s="6"/>
      <c r="L70" s="6"/>
      <c r="M70" s="6"/>
      <c r="N70" s="6"/>
      <c r="O70" s="6"/>
    </row>
    <row r="71" spans="1:16">
      <c r="A71" s="24" t="s">
        <v>68</v>
      </c>
      <c r="B71" s="18"/>
      <c r="C71" s="18"/>
      <c r="D71" s="18"/>
      <c r="E71" s="18"/>
      <c r="F71" s="18"/>
      <c r="G71" s="18"/>
      <c r="H71" s="18"/>
      <c r="I71" s="18"/>
      <c r="J71" s="18"/>
      <c r="K71" s="18"/>
      <c r="L71" s="18"/>
      <c r="M71" s="18"/>
      <c r="N71" s="18"/>
      <c r="O71" s="6"/>
    </row>
    <row r="72" spans="1:16">
      <c r="A72" s="13" t="s">
        <v>63</v>
      </c>
      <c r="B72" s="16">
        <f t="shared" ref="B72:N74" si="18">+B62-B67</f>
        <v>390549.19930042047</v>
      </c>
      <c r="C72" s="16">
        <f t="shared" si="18"/>
        <v>-10663.666666666977</v>
      </c>
      <c r="D72" s="16">
        <f t="shared" si="18"/>
        <v>-10663.666666666511</v>
      </c>
      <c r="E72" s="16">
        <f t="shared" si="18"/>
        <v>-10663.666666666511</v>
      </c>
      <c r="F72" s="16">
        <f t="shared" si="18"/>
        <v>-10663.666666666511</v>
      </c>
      <c r="G72" s="16">
        <f t="shared" si="18"/>
        <v>-10663.666666666511</v>
      </c>
      <c r="H72" s="16">
        <f t="shared" si="18"/>
        <v>-10663.666666666977</v>
      </c>
      <c r="I72" s="16">
        <f t="shared" si="18"/>
        <v>-10663.666666666511</v>
      </c>
      <c r="J72" s="16">
        <f t="shared" si="18"/>
        <v>-10963.666666666511</v>
      </c>
      <c r="K72" s="16">
        <f t="shared" si="18"/>
        <v>-10863.666666666511</v>
      </c>
      <c r="L72" s="16">
        <f t="shared" si="18"/>
        <v>-10963.666666666977</v>
      </c>
      <c r="M72" s="16">
        <f t="shared" si="18"/>
        <v>-10663.666666666511</v>
      </c>
      <c r="N72" s="6"/>
      <c r="O72" s="6"/>
      <c r="P72" s="16">
        <f>+N62-N67</f>
        <v>482897.56239851564</v>
      </c>
    </row>
    <row r="73" spans="1:16" s="6" customFormat="1">
      <c r="A73" s="13" t="s">
        <v>64</v>
      </c>
      <c r="B73" s="16">
        <f t="shared" si="18"/>
        <v>390549.19930042047</v>
      </c>
      <c r="C73" s="16">
        <f t="shared" si="18"/>
        <v>379885.53263375349</v>
      </c>
      <c r="D73" s="16">
        <f t="shared" si="18"/>
        <v>369221.86596708698</v>
      </c>
      <c r="E73" s="16">
        <f t="shared" si="18"/>
        <v>358558.19930042047</v>
      </c>
      <c r="F73" s="16">
        <f t="shared" si="18"/>
        <v>347894.53263375396</v>
      </c>
      <c r="G73" s="16">
        <f t="shared" si="18"/>
        <v>337230.86596708745</v>
      </c>
      <c r="H73" s="16">
        <f t="shared" si="18"/>
        <v>326567.19930042047</v>
      </c>
      <c r="I73" s="16">
        <f t="shared" si="18"/>
        <v>315903.53263375396</v>
      </c>
      <c r="J73" s="16">
        <f t="shared" si="18"/>
        <v>304939.86596708745</v>
      </c>
      <c r="K73" s="16">
        <f t="shared" si="18"/>
        <v>294076.19930042094</v>
      </c>
      <c r="L73" s="16">
        <f t="shared" si="18"/>
        <v>283112.53263375396</v>
      </c>
      <c r="M73" s="16">
        <f t="shared" si="18"/>
        <v>272448.86596708745</v>
      </c>
      <c r="N73" s="16">
        <f t="shared" si="18"/>
        <v>0</v>
      </c>
    </row>
    <row r="74" spans="1:16">
      <c r="A74" s="1" t="s">
        <v>65</v>
      </c>
      <c r="B74" s="16">
        <f t="shared" si="18"/>
        <v>390549.19930041954</v>
      </c>
      <c r="C74" s="16">
        <f t="shared" si="18"/>
        <v>379885.53263375349</v>
      </c>
      <c r="D74" s="16">
        <f t="shared" si="18"/>
        <v>369221.86596708745</v>
      </c>
      <c r="E74" s="16">
        <f t="shared" si="18"/>
        <v>358558.19930041954</v>
      </c>
      <c r="F74" s="16">
        <f t="shared" si="18"/>
        <v>347894.53263375536</v>
      </c>
      <c r="G74" s="16">
        <f t="shared" si="18"/>
        <v>337230.86596708745</v>
      </c>
      <c r="H74" s="16">
        <f t="shared" si="18"/>
        <v>326567.19930041954</v>
      </c>
      <c r="I74" s="16">
        <f t="shared" si="18"/>
        <v>315903.53263375349</v>
      </c>
      <c r="J74" s="16">
        <f t="shared" si="18"/>
        <v>304939.86596708745</v>
      </c>
      <c r="K74" s="16">
        <f t="shared" si="18"/>
        <v>294076.19930041954</v>
      </c>
      <c r="L74" s="16">
        <f t="shared" si="18"/>
        <v>283112.53263375349</v>
      </c>
      <c r="M74" s="16">
        <f t="shared" si="18"/>
        <v>272448.86596708745</v>
      </c>
      <c r="N74" s="16"/>
      <c r="O74" s="6"/>
    </row>
    <row r="75" spans="1:16">
      <c r="B75" s="6"/>
      <c r="C75" s="6"/>
      <c r="D75" s="6"/>
      <c r="E75" s="6"/>
      <c r="F75" s="6"/>
      <c r="H75" s="6"/>
      <c r="I75" s="6"/>
      <c r="J75" s="6"/>
      <c r="K75" s="6"/>
      <c r="L75" s="6"/>
      <c r="M75" s="6"/>
      <c r="N75" s="6"/>
    </row>
    <row r="76" spans="1:16">
      <c r="A76" s="1"/>
      <c r="B76" s="4"/>
      <c r="C76" s="8"/>
      <c r="D76" s="8"/>
      <c r="E76" s="8"/>
      <c r="F76" s="8"/>
      <c r="H76" s="20"/>
      <c r="J76" s="6"/>
      <c r="K76" s="6"/>
    </row>
    <row r="77" spans="1:16">
      <c r="A77" s="1"/>
      <c r="B77" s="4"/>
      <c r="C77" s="8"/>
      <c r="D77" s="8"/>
      <c r="E77" s="8"/>
      <c r="F77" s="8"/>
      <c r="H77" s="20"/>
      <c r="J77" s="6"/>
    </row>
    <row r="78" spans="1:16">
      <c r="A78" s="1"/>
      <c r="B78" s="4"/>
      <c r="D78" s="8"/>
      <c r="E78" s="8"/>
      <c r="F78" s="8"/>
      <c r="H78" s="61"/>
      <c r="J78" s="6"/>
    </row>
    <row r="79" spans="1:16">
      <c r="E79" s="6"/>
      <c r="H79" s="20"/>
      <c r="J79" s="6"/>
      <c r="N79" s="25"/>
    </row>
    <row r="80" spans="1:16">
      <c r="A80" t="s">
        <v>69</v>
      </c>
      <c r="B80" t="s">
        <v>69</v>
      </c>
      <c r="C80" t="s">
        <v>69</v>
      </c>
      <c r="D80" t="s">
        <v>69</v>
      </c>
      <c r="E80" s="6" t="s">
        <v>69</v>
      </c>
      <c r="F80" t="s">
        <v>69</v>
      </c>
      <c r="G80" s="6" t="s">
        <v>69</v>
      </c>
      <c r="H80" t="s">
        <v>69</v>
      </c>
      <c r="I80" t="s">
        <v>69</v>
      </c>
      <c r="J80" s="6" t="s">
        <v>69</v>
      </c>
      <c r="K80" t="s">
        <v>69</v>
      </c>
      <c r="L80" t="s">
        <v>69</v>
      </c>
      <c r="M80" t="s">
        <v>69</v>
      </c>
      <c r="N80" t="s">
        <v>69</v>
      </c>
    </row>
    <row r="81" spans="1:14">
      <c r="E81" s="6"/>
      <c r="J81" s="6"/>
    </row>
    <row r="82" spans="1:14">
      <c r="A82" s="33" t="s">
        <v>70</v>
      </c>
      <c r="B82" s="47">
        <v>0</v>
      </c>
      <c r="C82" s="47">
        <v>101000</v>
      </c>
      <c r="D82" s="47">
        <v>23668</v>
      </c>
      <c r="E82" s="47">
        <v>80000</v>
      </c>
      <c r="F82" s="47">
        <v>184679</v>
      </c>
      <c r="G82" s="10">
        <v>42500</v>
      </c>
      <c r="H82" s="54">
        <v>97000</v>
      </c>
      <c r="I82" s="47">
        <v>5000</v>
      </c>
      <c r="J82" s="47">
        <v>0</v>
      </c>
      <c r="K82" s="47">
        <v>185000</v>
      </c>
      <c r="L82" s="47">
        <v>0</v>
      </c>
      <c r="M82" s="47">
        <v>175000</v>
      </c>
      <c r="N82" s="7">
        <f>SUM(B82:M82)</f>
        <v>893847</v>
      </c>
    </row>
    <row r="83" spans="1:14">
      <c r="A83" s="33" t="s">
        <v>71</v>
      </c>
      <c r="B83" s="2">
        <f>+B82</f>
        <v>0</v>
      </c>
      <c r="C83" s="2">
        <f>+B83+C82</f>
        <v>101000</v>
      </c>
      <c r="D83" s="2">
        <f t="shared" ref="D83:M83" si="19">+C83+D82</f>
        <v>124668</v>
      </c>
      <c r="E83" s="7">
        <f t="shared" si="19"/>
        <v>204668</v>
      </c>
      <c r="F83" s="2">
        <f t="shared" si="19"/>
        <v>389347</v>
      </c>
      <c r="G83" s="7">
        <f t="shared" si="19"/>
        <v>431847</v>
      </c>
      <c r="H83" s="2">
        <f t="shared" si="19"/>
        <v>528847</v>
      </c>
      <c r="I83" s="2">
        <f t="shared" si="19"/>
        <v>533847</v>
      </c>
      <c r="J83" s="7">
        <f t="shared" si="19"/>
        <v>533847</v>
      </c>
      <c r="K83" s="2">
        <f t="shared" si="19"/>
        <v>718847</v>
      </c>
      <c r="L83" s="2">
        <f t="shared" si="19"/>
        <v>718847</v>
      </c>
      <c r="M83" s="2">
        <f t="shared" si="19"/>
        <v>893847</v>
      </c>
    </row>
    <row r="84" spans="1:14">
      <c r="A84" s="33" t="s">
        <v>72</v>
      </c>
      <c r="B84" s="7">
        <f>+B53</f>
        <v>24982</v>
      </c>
      <c r="C84" s="7">
        <f>SUM($B53:C53)</f>
        <v>44982</v>
      </c>
      <c r="D84" s="7">
        <f>SUM($B53:D53)</f>
        <v>54982</v>
      </c>
      <c r="E84" s="7">
        <f>SUM($B53:E53)</f>
        <v>99337</v>
      </c>
      <c r="F84" s="7">
        <f>SUM($B53:F53)</f>
        <v>286177</v>
      </c>
      <c r="G84" s="7">
        <f>SUM($B53:G53)</f>
        <v>488177</v>
      </c>
      <c r="H84" s="7">
        <f>SUM(B53:H53)</f>
        <v>685177</v>
      </c>
      <c r="I84" s="7">
        <f>SUM(B53:I53)</f>
        <v>827177</v>
      </c>
      <c r="J84" s="7">
        <f>SUM(B53:J53)</f>
        <v>946177</v>
      </c>
      <c r="K84" s="7">
        <f>SUM(B53:K53)</f>
        <v>946177</v>
      </c>
      <c r="L84" s="7">
        <f>SUM(B53:L53)</f>
        <v>946177</v>
      </c>
      <c r="M84" s="7">
        <f>SUM(B53:M53)</f>
        <v>1401177</v>
      </c>
    </row>
    <row r="85" spans="1:14">
      <c r="A85" s="33" t="s">
        <v>73</v>
      </c>
      <c r="B85" s="7">
        <f t="shared" ref="B85:G85" si="20">+B83-B84</f>
        <v>-24982</v>
      </c>
      <c r="C85" s="7">
        <f t="shared" si="20"/>
        <v>56018</v>
      </c>
      <c r="D85" s="7">
        <f t="shared" si="20"/>
        <v>69686</v>
      </c>
      <c r="E85" s="7">
        <f t="shared" si="20"/>
        <v>105331</v>
      </c>
      <c r="F85" s="7">
        <f t="shared" si="20"/>
        <v>103170</v>
      </c>
      <c r="G85" s="7">
        <f t="shared" si="20"/>
        <v>-56330</v>
      </c>
      <c r="H85" s="7">
        <f t="shared" ref="H85:M85" si="21">+H83-H84</f>
        <v>-156330</v>
      </c>
      <c r="I85" s="7">
        <f t="shared" si="21"/>
        <v>-293330</v>
      </c>
      <c r="J85" s="7">
        <f t="shared" si="21"/>
        <v>-412330</v>
      </c>
      <c r="K85" s="7">
        <f t="shared" si="21"/>
        <v>-227330</v>
      </c>
      <c r="L85" s="7">
        <f t="shared" si="21"/>
        <v>-227330</v>
      </c>
      <c r="M85" s="7">
        <f t="shared" si="21"/>
        <v>-507330</v>
      </c>
    </row>
    <row r="86" spans="1:14">
      <c r="J86" s="6"/>
      <c r="K86" s="6"/>
    </row>
    <row r="87" spans="1:14">
      <c r="A87" t="s">
        <v>74</v>
      </c>
      <c r="B87" s="35">
        <f>-B56-B57</f>
        <v>288499</v>
      </c>
      <c r="C87" s="35">
        <f t="shared" ref="C87:N87" si="22">-C56-C57</f>
        <v>33000</v>
      </c>
      <c r="D87" s="35">
        <f t="shared" si="22"/>
        <v>33000</v>
      </c>
      <c r="E87" s="35">
        <f t="shared" si="22"/>
        <v>33000</v>
      </c>
      <c r="F87" s="35">
        <f t="shared" si="22"/>
        <v>33000</v>
      </c>
      <c r="G87" s="40">
        <f t="shared" si="22"/>
        <v>33000</v>
      </c>
      <c r="H87" s="35">
        <f t="shared" si="22"/>
        <v>33000</v>
      </c>
      <c r="I87" s="35">
        <f t="shared" si="22"/>
        <v>33000</v>
      </c>
      <c r="J87" s="35">
        <f t="shared" si="22"/>
        <v>34000</v>
      </c>
      <c r="K87" s="40">
        <f t="shared" si="22"/>
        <v>34000</v>
      </c>
      <c r="L87" s="35">
        <f t="shared" si="22"/>
        <v>34000</v>
      </c>
      <c r="M87" s="35">
        <f t="shared" si="22"/>
        <v>34000</v>
      </c>
      <c r="N87" s="35">
        <f t="shared" si="22"/>
        <v>655499</v>
      </c>
    </row>
    <row r="88" spans="1:14">
      <c r="C88" s="35">
        <f>+B87+C87</f>
        <v>321499</v>
      </c>
      <c r="D88" s="35">
        <f>+C88+D87</f>
        <v>354499</v>
      </c>
      <c r="E88" s="35">
        <f t="shared" ref="E88:M88" si="23">+D88+E87</f>
        <v>387499</v>
      </c>
      <c r="F88" s="35">
        <f t="shared" si="23"/>
        <v>420499</v>
      </c>
      <c r="G88" s="40">
        <f t="shared" si="23"/>
        <v>453499</v>
      </c>
      <c r="H88" s="35">
        <f t="shared" si="23"/>
        <v>486499</v>
      </c>
      <c r="I88" s="40">
        <f t="shared" si="23"/>
        <v>519499</v>
      </c>
      <c r="J88" s="40">
        <f t="shared" si="23"/>
        <v>553499</v>
      </c>
      <c r="K88" s="40">
        <f t="shared" si="23"/>
        <v>587499</v>
      </c>
      <c r="L88" s="35">
        <f t="shared" si="23"/>
        <v>621499</v>
      </c>
      <c r="M88" s="35">
        <f t="shared" si="23"/>
        <v>655499</v>
      </c>
    </row>
    <row r="89" spans="1:14">
      <c r="K89" s="6"/>
    </row>
    <row r="91" spans="1:14">
      <c r="B91" s="6"/>
      <c r="C91" s="6"/>
      <c r="D91" s="6"/>
      <c r="E91" s="6"/>
    </row>
    <row r="92" spans="1:14">
      <c r="B92" s="21">
        <v>48198</v>
      </c>
      <c r="C92" s="21">
        <v>109945</v>
      </c>
      <c r="D92" s="36">
        <v>126000</v>
      </c>
      <c r="E92" s="6">
        <v>7681</v>
      </c>
      <c r="F92">
        <v>52000</v>
      </c>
      <c r="G92" s="6">
        <v>207419</v>
      </c>
      <c r="H92">
        <v>18000</v>
      </c>
      <c r="I92">
        <v>25000</v>
      </c>
      <c r="J92">
        <v>42000</v>
      </c>
      <c r="K92">
        <v>0</v>
      </c>
      <c r="L92">
        <v>0</v>
      </c>
      <c r="M92">
        <v>150000</v>
      </c>
      <c r="N92">
        <v>786243</v>
      </c>
    </row>
    <row r="93" spans="1:14">
      <c r="B93" s="37"/>
      <c r="C93" s="38"/>
      <c r="D93" s="6"/>
      <c r="E93" s="6"/>
    </row>
    <row r="94" spans="1:14">
      <c r="B94" s="6"/>
      <c r="C94" s="6"/>
      <c r="D94" s="6"/>
      <c r="E94" s="6"/>
    </row>
    <row r="95" spans="1:14">
      <c r="B95" s="6"/>
      <c r="C95" s="6"/>
      <c r="D95" s="21"/>
      <c r="E95" s="6"/>
    </row>
    <row r="96" spans="1:14">
      <c r="B96" s="6"/>
      <c r="C96" s="6"/>
      <c r="D96" s="6"/>
      <c r="E96" s="6"/>
    </row>
    <row r="97" spans="2:5">
      <c r="B97" s="6"/>
      <c r="C97" s="6"/>
      <c r="D97" s="6"/>
      <c r="E97" s="6"/>
    </row>
    <row r="98" spans="2:5">
      <c r="B98" s="6"/>
      <c r="C98" s="6"/>
      <c r="D98" s="6"/>
      <c r="E98" s="6"/>
    </row>
    <row r="99" spans="2:5">
      <c r="B99" s="6"/>
      <c r="C99" s="6"/>
      <c r="D99" s="34"/>
      <c r="E99" s="6"/>
    </row>
    <row r="100" spans="2:5">
      <c r="B100" s="6"/>
      <c r="C100" s="6"/>
      <c r="D100" s="6"/>
      <c r="E100" s="6"/>
    </row>
    <row r="101" spans="2:5">
      <c r="B101" s="6"/>
      <c r="C101" s="6"/>
      <c r="D101" s="6"/>
      <c r="E101" s="6"/>
    </row>
  </sheetData>
  <pageMargins left="0.28000000000000003" right="0.25" top="0.99" bottom="0.75" header="0.63" footer="0.23"/>
  <pageSetup scale="67" orientation="landscape" r:id="rId1"/>
  <headerFooter alignWithMargins="0">
    <oddHeader xml:space="preserve">&amp;C&amp;"Arial,Bold"&amp;11 49ER SHOPS, INC.
&amp;UFY2016/2017 OPERATIONAL CASH FLOW </oddHeader>
    <oddFooter>&amp;CCash Flow - FY2016/2017
July 2016</oddFooter>
  </headerFooter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FF00"/>
    <pageSetUpPr fitToPage="1"/>
  </sheetPr>
  <dimension ref="A1:AR101"/>
  <sheetViews>
    <sheetView showGridLines="0" workbookViewId="0">
      <pane xSplit="1" ySplit="3" topLeftCell="B4" activePane="bottomRight" state="frozen"/>
      <selection pane="topRight" activeCell="G54" sqref="G54"/>
      <selection pane="bottomLeft" activeCell="G54" sqref="G54"/>
      <selection pane="bottomRight" activeCell="G54" sqref="G54"/>
    </sheetView>
  </sheetViews>
  <sheetFormatPr defaultRowHeight="12.75"/>
  <cols>
    <col min="1" max="1" width="35.42578125" customWidth="1"/>
    <col min="2" max="2" width="14" customWidth="1"/>
    <col min="3" max="3" width="12.5703125" customWidth="1"/>
    <col min="4" max="4" width="12.140625" customWidth="1"/>
    <col min="5" max="5" width="13.5703125" customWidth="1"/>
    <col min="6" max="6" width="12.85546875" customWidth="1"/>
    <col min="7" max="7" width="12.5703125" style="6" customWidth="1"/>
    <col min="8" max="9" width="12.85546875" customWidth="1"/>
    <col min="10" max="11" width="12.140625" customWidth="1"/>
    <col min="12" max="13" width="12.85546875" customWidth="1"/>
    <col min="14" max="14" width="12.85546875" bestFit="1" customWidth="1"/>
    <col min="15" max="15" width="10.140625" bestFit="1" customWidth="1"/>
    <col min="16" max="16" width="13.140625" bestFit="1" customWidth="1"/>
  </cols>
  <sheetData>
    <row r="1" spans="1:15" ht="13.5" thickBot="1">
      <c r="A1" s="46" t="s">
        <v>81</v>
      </c>
      <c r="E1" s="6"/>
      <c r="F1" s="6"/>
      <c r="J1" s="6"/>
      <c r="K1" s="6"/>
      <c r="N1" s="3"/>
    </row>
    <row r="2" spans="1:15">
      <c r="B2" s="45" t="s">
        <v>24</v>
      </c>
      <c r="C2" s="45" t="s">
        <v>24</v>
      </c>
      <c r="D2" s="45" t="s">
        <v>76</v>
      </c>
      <c r="E2" s="45" t="s">
        <v>76</v>
      </c>
      <c r="F2" s="45" t="s">
        <v>76</v>
      </c>
      <c r="G2" s="45" t="s">
        <v>76</v>
      </c>
      <c r="H2" s="45" t="s">
        <v>76</v>
      </c>
      <c r="I2" s="45" t="s">
        <v>76</v>
      </c>
      <c r="J2" s="45" t="s">
        <v>76</v>
      </c>
      <c r="K2" s="45" t="s">
        <v>76</v>
      </c>
      <c r="L2" s="45" t="s">
        <v>76</v>
      </c>
      <c r="M2" s="45" t="s">
        <v>76</v>
      </c>
      <c r="N2" s="55" t="s">
        <v>25</v>
      </c>
    </row>
    <row r="3" spans="1:15" s="5" customFormat="1">
      <c r="B3" s="11">
        <v>42553</v>
      </c>
      <c r="C3" s="11">
        <v>42584</v>
      </c>
      <c r="D3" s="11">
        <v>42615</v>
      </c>
      <c r="E3" s="11">
        <v>42645</v>
      </c>
      <c r="F3" s="11">
        <v>42676</v>
      </c>
      <c r="G3" s="11">
        <v>42706</v>
      </c>
      <c r="H3" s="11">
        <v>42737</v>
      </c>
      <c r="I3" s="11">
        <v>42768</v>
      </c>
      <c r="J3" s="11">
        <v>42796</v>
      </c>
      <c r="K3" s="11">
        <v>42827</v>
      </c>
      <c r="L3" s="11">
        <v>42857</v>
      </c>
      <c r="M3" s="11">
        <v>42888</v>
      </c>
      <c r="N3" s="57" t="s">
        <v>77</v>
      </c>
    </row>
    <row r="4" spans="1:15" hidden="1">
      <c r="A4" s="1" t="s">
        <v>27</v>
      </c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>
        <f>SUM(B4:M4)</f>
        <v>0</v>
      </c>
      <c r="O4" s="6"/>
    </row>
    <row r="5" spans="1:15" s="6" customFormat="1" hidden="1">
      <c r="A5" s="6" t="s">
        <v>28</v>
      </c>
      <c r="B5" s="53">
        <v>1199482</v>
      </c>
      <c r="C5" s="53">
        <v>4828670</v>
      </c>
      <c r="D5" s="53">
        <v>3867423.1893872898</v>
      </c>
      <c r="E5" s="53">
        <v>3550580.4606545898</v>
      </c>
      <c r="F5" s="53">
        <v>2491408.6501843799</v>
      </c>
      <c r="G5" s="53">
        <v>2443225.8391503901</v>
      </c>
      <c r="H5" s="53">
        <v>4392028.1440046299</v>
      </c>
      <c r="I5" s="53">
        <v>3229385.12840016</v>
      </c>
      <c r="J5" s="53">
        <v>3101264.61223314</v>
      </c>
      <c r="K5" s="53">
        <v>2861289.1218165602</v>
      </c>
      <c r="L5" s="53">
        <v>2884558.9345671199</v>
      </c>
      <c r="M5" s="53">
        <v>1536863.9470107399</v>
      </c>
      <c r="N5" s="12">
        <f>SUM(B5:M5)</f>
        <v>36386180.027409002</v>
      </c>
    </row>
    <row r="6" spans="1:15" s="6" customFormat="1" hidden="1">
      <c r="A6" s="6" t="s">
        <v>29</v>
      </c>
      <c r="B6" s="53">
        <v>54104</v>
      </c>
      <c r="C6" s="53">
        <v>50888</v>
      </c>
      <c r="D6" s="53">
        <v>271703.80474306311</v>
      </c>
      <c r="E6" s="53">
        <v>142644.5744343327</v>
      </c>
      <c r="F6" s="53">
        <v>68608.629526434102</v>
      </c>
      <c r="G6" s="53">
        <v>80537.490202171612</v>
      </c>
      <c r="H6" s="53">
        <v>93715.085794590996</v>
      </c>
      <c r="I6" s="53">
        <v>76173.313860300201</v>
      </c>
      <c r="J6" s="53">
        <v>194949.6852683014</v>
      </c>
      <c r="K6" s="53">
        <v>107775.7156534557</v>
      </c>
      <c r="L6" s="53">
        <v>303701.34733729798</v>
      </c>
      <c r="M6" s="53">
        <v>46075.731999999996</v>
      </c>
      <c r="N6" s="7">
        <f>SUM(B6:M6)</f>
        <v>1490877.3788199478</v>
      </c>
    </row>
    <row r="7" spans="1:15" s="6" customFormat="1" hidden="1">
      <c r="B7" s="7"/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7">
        <f>SUM(B7:M7)</f>
        <v>0</v>
      </c>
    </row>
    <row r="8" spans="1:15" s="6" customFormat="1" hidden="1">
      <c r="B8" s="15"/>
      <c r="C8" s="15"/>
      <c r="D8" s="15"/>
      <c r="E8" s="15"/>
      <c r="F8" s="15"/>
      <c r="G8" s="15"/>
      <c r="H8" s="15"/>
      <c r="I8" s="15"/>
      <c r="J8" s="15"/>
      <c r="K8" s="15"/>
      <c r="L8" s="15"/>
      <c r="M8" s="15"/>
      <c r="N8" s="15">
        <f>SUM(B8:M8)</f>
        <v>0</v>
      </c>
    </row>
    <row r="9" spans="1:15" s="6" customFormat="1">
      <c r="A9" s="13" t="s">
        <v>30</v>
      </c>
      <c r="B9" s="12">
        <f t="shared" ref="B9:N9" si="0">SUM(B5:B8)</f>
        <v>1253586</v>
      </c>
      <c r="C9" s="12">
        <f t="shared" si="0"/>
        <v>4879558</v>
      </c>
      <c r="D9" s="12">
        <f t="shared" si="0"/>
        <v>4139126.994130353</v>
      </c>
      <c r="E9" s="12">
        <f t="shared" si="0"/>
        <v>3693225.0350889224</v>
      </c>
      <c r="F9" s="12">
        <f t="shared" si="0"/>
        <v>2560017.2797108139</v>
      </c>
      <c r="G9" s="12">
        <f t="shared" si="0"/>
        <v>2523763.3293525619</v>
      </c>
      <c r="H9" s="12">
        <f t="shared" si="0"/>
        <v>4485743.2297992213</v>
      </c>
      <c r="I9" s="12">
        <f t="shared" si="0"/>
        <v>3305558.44226046</v>
      </c>
      <c r="J9" s="12">
        <f t="shared" si="0"/>
        <v>3296214.2975014416</v>
      </c>
      <c r="K9" s="12">
        <f t="shared" si="0"/>
        <v>2969064.837470016</v>
      </c>
      <c r="L9" s="12">
        <f t="shared" si="0"/>
        <v>3188260.281904418</v>
      </c>
      <c r="M9" s="12">
        <f t="shared" si="0"/>
        <v>1582939.67901074</v>
      </c>
      <c r="N9" s="12">
        <f t="shared" si="0"/>
        <v>37877057.406228952</v>
      </c>
    </row>
    <row r="10" spans="1:15" s="6" customFormat="1" ht="6.75" customHeight="1"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</row>
    <row r="11" spans="1:15" s="6" customFormat="1">
      <c r="A11" s="13" t="s">
        <v>31</v>
      </c>
      <c r="B11" s="7">
        <v>7663</v>
      </c>
      <c r="C11" s="7">
        <v>2297</v>
      </c>
      <c r="D11" s="7"/>
      <c r="E11" s="7"/>
      <c r="F11" s="7"/>
      <c r="G11" s="7"/>
      <c r="H11" s="7"/>
      <c r="I11" s="7"/>
      <c r="J11" s="7"/>
      <c r="K11" s="7"/>
      <c r="L11" s="7"/>
      <c r="M11" s="7"/>
      <c r="N11" s="7">
        <f>SUM(B11:M11)</f>
        <v>9960</v>
      </c>
    </row>
    <row r="12" spans="1:15" s="6" customFormat="1" ht="7.5" customHeight="1">
      <c r="B12" s="7"/>
      <c r="C12" s="7"/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</row>
    <row r="13" spans="1:15" s="6" customFormat="1" ht="13.5" thickBot="1">
      <c r="A13" s="13" t="s">
        <v>32</v>
      </c>
      <c r="B13" s="14">
        <f t="shared" ref="B13:N13" si="1">B9+B11</f>
        <v>1261249</v>
      </c>
      <c r="C13" s="14">
        <f>C9+C11</f>
        <v>4881855</v>
      </c>
      <c r="D13" s="14">
        <f t="shared" si="1"/>
        <v>4139126.994130353</v>
      </c>
      <c r="E13" s="14">
        <f t="shared" si="1"/>
        <v>3693225.0350889224</v>
      </c>
      <c r="F13" s="14">
        <f t="shared" si="1"/>
        <v>2560017.2797108139</v>
      </c>
      <c r="G13" s="14">
        <f t="shared" si="1"/>
        <v>2523763.3293525619</v>
      </c>
      <c r="H13" s="14">
        <f t="shared" si="1"/>
        <v>4485743.2297992213</v>
      </c>
      <c r="I13" s="14">
        <f t="shared" si="1"/>
        <v>3305558.44226046</v>
      </c>
      <c r="J13" s="14">
        <f t="shared" si="1"/>
        <v>3296214.2975014416</v>
      </c>
      <c r="K13" s="14">
        <f t="shared" si="1"/>
        <v>2969064.837470016</v>
      </c>
      <c r="L13" s="14">
        <f t="shared" si="1"/>
        <v>3188260.281904418</v>
      </c>
      <c r="M13" s="14">
        <f t="shared" si="1"/>
        <v>1582939.67901074</v>
      </c>
      <c r="N13" s="14">
        <f t="shared" si="1"/>
        <v>37887017.406228952</v>
      </c>
    </row>
    <row r="14" spans="1:15" s="6" customFormat="1" ht="13.5" thickTop="1">
      <c r="B14" s="7"/>
      <c r="C14" s="7"/>
      <c r="D14" s="7"/>
      <c r="E14" s="7"/>
      <c r="F14" s="7"/>
      <c r="G14" s="7"/>
      <c r="H14" s="7"/>
      <c r="I14" s="7"/>
      <c r="J14" s="7"/>
      <c r="K14" s="7"/>
      <c r="L14" s="7"/>
      <c r="M14" s="7"/>
    </row>
    <row r="15" spans="1:15" s="6" customFormat="1" hidden="1">
      <c r="A15" s="13" t="s">
        <v>33</v>
      </c>
      <c r="B15" s="7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</row>
    <row r="16" spans="1:15" s="6" customFormat="1" hidden="1">
      <c r="A16" s="6" t="s">
        <v>34</v>
      </c>
      <c r="B16" s="53">
        <v>620285</v>
      </c>
      <c r="C16" s="53">
        <v>2968543</v>
      </c>
      <c r="D16" s="53">
        <v>1740899.3395841799</v>
      </c>
      <c r="E16" s="53">
        <v>1339199.27059646</v>
      </c>
      <c r="F16" s="53">
        <v>920442.29592504795</v>
      </c>
      <c r="G16" s="53">
        <v>994515.62781412899</v>
      </c>
      <c r="H16" s="53">
        <v>2724198.5675140698</v>
      </c>
      <c r="I16" s="53">
        <v>1309498.16154439</v>
      </c>
      <c r="J16" s="53">
        <v>1146427.91045744</v>
      </c>
      <c r="K16" s="53">
        <v>1014457.82475312</v>
      </c>
      <c r="L16" s="53">
        <v>1202846.3247627199</v>
      </c>
      <c r="M16" s="53">
        <v>808585.32395320502</v>
      </c>
      <c r="N16" s="7">
        <f>SUM(B16:M16)</f>
        <v>16789898.646904763</v>
      </c>
    </row>
    <row r="17" spans="1:44" s="6" customFormat="1" hidden="1">
      <c r="B17" s="27"/>
      <c r="C17" s="27"/>
      <c r="D17" s="27"/>
      <c r="E17" s="27"/>
      <c r="F17" s="27"/>
      <c r="G17" s="27"/>
      <c r="H17" s="27"/>
      <c r="I17" s="27"/>
      <c r="J17" s="27"/>
      <c r="K17" s="27"/>
      <c r="L17" s="27"/>
      <c r="M17" s="27"/>
      <c r="N17" s="7">
        <f>SUM(B17:M17)</f>
        <v>0</v>
      </c>
    </row>
    <row r="18" spans="1:44" s="6" customFormat="1" hidden="1">
      <c r="B18" s="7"/>
      <c r="C18" s="7"/>
      <c r="D18" s="7"/>
      <c r="E18" s="7"/>
      <c r="F18" s="7"/>
      <c r="G18" s="7"/>
      <c r="H18" s="7"/>
      <c r="I18" s="7"/>
      <c r="J18" s="7"/>
      <c r="K18" s="7"/>
      <c r="L18" s="7"/>
      <c r="M18" s="7"/>
      <c r="N18" s="7">
        <v>0</v>
      </c>
    </row>
    <row r="19" spans="1:44" s="6" customFormat="1" hidden="1">
      <c r="B19" s="15"/>
      <c r="C19" s="15"/>
      <c r="D19" s="15"/>
      <c r="E19" s="15"/>
      <c r="F19" s="15"/>
      <c r="G19" s="15"/>
      <c r="H19" s="15"/>
      <c r="I19" s="15"/>
      <c r="J19" s="15"/>
      <c r="K19" s="15"/>
      <c r="L19" s="15"/>
      <c r="M19" s="15"/>
      <c r="N19" s="15">
        <f>SUM(B19:M19)</f>
        <v>0</v>
      </c>
    </row>
    <row r="20" spans="1:44" s="6" customFormat="1">
      <c r="A20" s="13" t="s">
        <v>35</v>
      </c>
      <c r="B20" s="12">
        <f t="shared" ref="B20:N20" si="2">SUM(B16:B19)</f>
        <v>620285</v>
      </c>
      <c r="C20" s="12">
        <f t="shared" si="2"/>
        <v>2968543</v>
      </c>
      <c r="D20" s="12">
        <f t="shared" si="2"/>
        <v>1740899.3395841799</v>
      </c>
      <c r="E20" s="12">
        <f t="shared" si="2"/>
        <v>1339199.27059646</v>
      </c>
      <c r="F20" s="12">
        <f t="shared" si="2"/>
        <v>920442.29592504795</v>
      </c>
      <c r="G20" s="12">
        <f t="shared" si="2"/>
        <v>994515.62781412899</v>
      </c>
      <c r="H20" s="12">
        <f t="shared" si="2"/>
        <v>2724198.5675140698</v>
      </c>
      <c r="I20" s="12">
        <f t="shared" si="2"/>
        <v>1309498.16154439</v>
      </c>
      <c r="J20" s="12">
        <f t="shared" si="2"/>
        <v>1146427.91045744</v>
      </c>
      <c r="K20" s="12">
        <f t="shared" si="2"/>
        <v>1014457.82475312</v>
      </c>
      <c r="L20" s="12">
        <f t="shared" si="2"/>
        <v>1202846.3247627199</v>
      </c>
      <c r="M20" s="12">
        <f t="shared" si="2"/>
        <v>808585.32395320502</v>
      </c>
      <c r="N20" s="12">
        <f t="shared" si="2"/>
        <v>16789898.646904763</v>
      </c>
    </row>
    <row r="21" spans="1:44" s="6" customFormat="1">
      <c r="B21" s="7"/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</row>
    <row r="22" spans="1:44" s="6" customFormat="1" hidden="1">
      <c r="A22" s="13" t="s">
        <v>36</v>
      </c>
      <c r="B22" s="7"/>
      <c r="C22" s="7"/>
      <c r="D22" s="7"/>
      <c r="E22" s="7"/>
      <c r="F22" s="7"/>
      <c r="G22" s="7"/>
      <c r="H22" s="7"/>
      <c r="I22" s="7"/>
      <c r="J22" s="7"/>
      <c r="K22" s="7"/>
      <c r="L22" s="7"/>
      <c r="M22" s="7"/>
    </row>
    <row r="23" spans="1:44" s="6" customFormat="1" hidden="1">
      <c r="A23" s="6" t="s">
        <v>37</v>
      </c>
      <c r="B23" s="7">
        <f t="shared" ref="B23:M26" si="3">+B5-B16</f>
        <v>579197</v>
      </c>
      <c r="C23" s="7">
        <f t="shared" si="3"/>
        <v>1860127</v>
      </c>
      <c r="D23" s="7">
        <f t="shared" si="3"/>
        <v>2126523.8498031097</v>
      </c>
      <c r="E23" s="7">
        <f t="shared" si="3"/>
        <v>2211381.1900581298</v>
      </c>
      <c r="F23" s="7">
        <f t="shared" si="3"/>
        <v>1570966.3542593319</v>
      </c>
      <c r="G23" s="7">
        <f t="shared" si="3"/>
        <v>1448710.2113362611</v>
      </c>
      <c r="H23" s="7">
        <f t="shared" si="3"/>
        <v>1667829.5764905601</v>
      </c>
      <c r="I23" s="7">
        <f t="shared" si="3"/>
        <v>1919886.96685577</v>
      </c>
      <c r="J23" s="7">
        <f t="shared" si="3"/>
        <v>1954836.7017757001</v>
      </c>
      <c r="K23" s="7">
        <f t="shared" si="3"/>
        <v>1846831.2970634401</v>
      </c>
      <c r="L23" s="7">
        <f t="shared" si="3"/>
        <v>1681712.6098044</v>
      </c>
      <c r="M23" s="7">
        <f t="shared" si="3"/>
        <v>728278.62305753492</v>
      </c>
      <c r="N23" s="7">
        <f>SUM(B23:M23)</f>
        <v>19596281.380504236</v>
      </c>
    </row>
    <row r="24" spans="1:44" s="6" customFormat="1" hidden="1">
      <c r="A24" s="6" t="s">
        <v>37</v>
      </c>
      <c r="B24" s="7">
        <f t="shared" si="3"/>
        <v>54104</v>
      </c>
      <c r="C24" s="7">
        <f t="shared" si="3"/>
        <v>50888</v>
      </c>
      <c r="D24" s="7">
        <f t="shared" si="3"/>
        <v>271703.80474306311</v>
      </c>
      <c r="E24" s="7">
        <f t="shared" si="3"/>
        <v>142644.5744343327</v>
      </c>
      <c r="F24" s="7">
        <f t="shared" si="3"/>
        <v>68608.629526434102</v>
      </c>
      <c r="G24" s="7">
        <f t="shared" si="3"/>
        <v>80537.490202171612</v>
      </c>
      <c r="H24" s="7">
        <f t="shared" si="3"/>
        <v>93715.085794590996</v>
      </c>
      <c r="I24" s="7">
        <f t="shared" si="3"/>
        <v>76173.313860300201</v>
      </c>
      <c r="J24" s="7">
        <f t="shared" si="3"/>
        <v>194949.6852683014</v>
      </c>
      <c r="K24" s="7">
        <f t="shared" si="3"/>
        <v>107775.7156534557</v>
      </c>
      <c r="L24" s="7">
        <f t="shared" si="3"/>
        <v>303701.34733729798</v>
      </c>
      <c r="M24" s="7">
        <f t="shared" si="3"/>
        <v>46075.731999999996</v>
      </c>
      <c r="N24" s="7">
        <f>SUM(B24:M24)</f>
        <v>1490877.3788199478</v>
      </c>
    </row>
    <row r="25" spans="1:44" s="6" customFormat="1" hidden="1">
      <c r="A25" s="6" t="s">
        <v>38</v>
      </c>
      <c r="B25" s="7">
        <f t="shared" si="3"/>
        <v>0</v>
      </c>
      <c r="C25" s="7">
        <f t="shared" si="3"/>
        <v>0</v>
      </c>
      <c r="D25" s="7">
        <f t="shared" si="3"/>
        <v>0</v>
      </c>
      <c r="E25" s="7">
        <f t="shared" si="3"/>
        <v>0</v>
      </c>
      <c r="F25" s="7">
        <f t="shared" si="3"/>
        <v>0</v>
      </c>
      <c r="G25" s="7">
        <f t="shared" si="3"/>
        <v>0</v>
      </c>
      <c r="H25" s="7">
        <f t="shared" si="3"/>
        <v>0</v>
      </c>
      <c r="I25" s="7">
        <f t="shared" si="3"/>
        <v>0</v>
      </c>
      <c r="J25" s="7">
        <f t="shared" si="3"/>
        <v>0</v>
      </c>
      <c r="K25" s="7">
        <f t="shared" si="3"/>
        <v>0</v>
      </c>
      <c r="L25" s="7">
        <f t="shared" si="3"/>
        <v>0</v>
      </c>
      <c r="M25" s="7">
        <f t="shared" si="3"/>
        <v>0</v>
      </c>
      <c r="N25" s="7">
        <f>SUM(B25:M25)</f>
        <v>0</v>
      </c>
    </row>
    <row r="26" spans="1:44" s="6" customFormat="1" hidden="1">
      <c r="A26" s="6" t="s">
        <v>38</v>
      </c>
      <c r="B26" s="15">
        <f t="shared" si="3"/>
        <v>0</v>
      </c>
      <c r="C26" s="15">
        <f t="shared" si="3"/>
        <v>0</v>
      </c>
      <c r="D26" s="15">
        <f t="shared" si="3"/>
        <v>0</v>
      </c>
      <c r="E26" s="15">
        <f t="shared" si="3"/>
        <v>0</v>
      </c>
      <c r="F26" s="15">
        <f t="shared" si="3"/>
        <v>0</v>
      </c>
      <c r="G26" s="15">
        <f t="shared" si="3"/>
        <v>0</v>
      </c>
      <c r="H26" s="15">
        <f t="shared" si="3"/>
        <v>0</v>
      </c>
      <c r="I26" s="15">
        <f t="shared" si="3"/>
        <v>0</v>
      </c>
      <c r="J26" s="15">
        <f t="shared" si="3"/>
        <v>0</v>
      </c>
      <c r="K26" s="15">
        <f t="shared" si="3"/>
        <v>0</v>
      </c>
      <c r="L26" s="15">
        <f t="shared" si="3"/>
        <v>0</v>
      </c>
      <c r="M26" s="15">
        <f t="shared" si="3"/>
        <v>0</v>
      </c>
      <c r="N26" s="15">
        <f>SUM(B26:M26)</f>
        <v>0</v>
      </c>
    </row>
    <row r="27" spans="1:44" s="6" customFormat="1">
      <c r="A27" s="13" t="s">
        <v>39</v>
      </c>
      <c r="B27" s="12">
        <f t="shared" ref="B27:N27" si="4">SUM(B23:B26)</f>
        <v>633301</v>
      </c>
      <c r="C27" s="12">
        <f t="shared" si="4"/>
        <v>1911015</v>
      </c>
      <c r="D27" s="12">
        <f t="shared" si="4"/>
        <v>2398227.6545461728</v>
      </c>
      <c r="E27" s="12">
        <f t="shared" si="4"/>
        <v>2354025.7644924624</v>
      </c>
      <c r="F27" s="12">
        <f t="shared" si="4"/>
        <v>1639574.9837857659</v>
      </c>
      <c r="G27" s="12">
        <f t="shared" si="4"/>
        <v>1529247.7015384329</v>
      </c>
      <c r="H27" s="12">
        <f t="shared" si="4"/>
        <v>1761544.662285151</v>
      </c>
      <c r="I27" s="12">
        <f t="shared" si="4"/>
        <v>1996060.2807160702</v>
      </c>
      <c r="J27" s="12">
        <f t="shared" si="4"/>
        <v>2149786.3870440014</v>
      </c>
      <c r="K27" s="12">
        <f t="shared" si="4"/>
        <v>1954607.0127168959</v>
      </c>
      <c r="L27" s="12">
        <f t="shared" si="4"/>
        <v>1985413.9571416979</v>
      </c>
      <c r="M27" s="12">
        <f>SUM(M23:M26)</f>
        <v>774354.35505753488</v>
      </c>
      <c r="N27" s="12">
        <f t="shared" si="4"/>
        <v>21087158.759324182</v>
      </c>
    </row>
    <row r="28" spans="1:44" s="6" customFormat="1">
      <c r="B28" s="7"/>
      <c r="C28" s="7"/>
      <c r="D28" s="7"/>
      <c r="E28" s="7"/>
      <c r="F28" s="7"/>
      <c r="G28" s="7"/>
      <c r="H28" s="7"/>
      <c r="I28" s="7"/>
      <c r="J28" s="7"/>
      <c r="K28" s="7"/>
      <c r="L28" s="7"/>
      <c r="M28" s="7"/>
    </row>
    <row r="29" spans="1:44" s="6" customFormat="1" hidden="1">
      <c r="A29" s="13" t="s">
        <v>40</v>
      </c>
      <c r="B29" s="7"/>
      <c r="C29" s="7"/>
      <c r="D29" s="7"/>
      <c r="E29" s="7"/>
      <c r="F29" s="7"/>
      <c r="G29" s="7"/>
      <c r="H29" s="7"/>
      <c r="I29" s="7"/>
      <c r="J29" s="7"/>
      <c r="K29" s="7"/>
      <c r="L29" s="7"/>
      <c r="M29" s="7"/>
    </row>
    <row r="30" spans="1:44" s="6" customFormat="1" hidden="1">
      <c r="A30" s="6" t="s">
        <v>41</v>
      </c>
      <c r="B30" s="53">
        <v>392880</v>
      </c>
      <c r="C30" s="53">
        <v>559131</v>
      </c>
      <c r="D30" s="53">
        <v>653262.22071265604</v>
      </c>
      <c r="E30" s="53">
        <v>759539.17956081894</v>
      </c>
      <c r="F30" s="53">
        <v>592548.56023265596</v>
      </c>
      <c r="G30" s="53">
        <v>571132.83865265502</v>
      </c>
      <c r="H30" s="53">
        <v>611166.92702081904</v>
      </c>
      <c r="I30" s="53">
        <v>664473.65115265595</v>
      </c>
      <c r="J30" s="53">
        <v>653848.24865265505</v>
      </c>
      <c r="K30" s="53">
        <v>727810.13162081898</v>
      </c>
      <c r="L30" s="53">
        <v>615430.25565265596</v>
      </c>
      <c r="M30" s="53">
        <v>456542.16991265502</v>
      </c>
      <c r="N30" s="7">
        <f>SUM(B30:M30)</f>
        <v>7257765.183171045</v>
      </c>
    </row>
    <row r="31" spans="1:44" s="6" customFormat="1" hidden="1">
      <c r="A31" s="6" t="s">
        <v>42</v>
      </c>
      <c r="B31" s="53">
        <v>216187</v>
      </c>
      <c r="C31" s="53">
        <v>190413</v>
      </c>
      <c r="D31" s="53">
        <v>199695.750264748</v>
      </c>
      <c r="E31" s="53">
        <v>226217.130576158</v>
      </c>
      <c r="F31" s="53">
        <v>194628.20504591099</v>
      </c>
      <c r="G31" s="53">
        <v>192740.601426243</v>
      </c>
      <c r="H31" s="53">
        <v>210196.707905202</v>
      </c>
      <c r="I31" s="53">
        <v>201269.28383633701</v>
      </c>
      <c r="J31" s="53">
        <v>200709.39503545201</v>
      </c>
      <c r="K31" s="53">
        <v>223370.57771881</v>
      </c>
      <c r="L31" s="53">
        <v>196340.080043806</v>
      </c>
      <c r="M31" s="53">
        <v>191011.551540168</v>
      </c>
      <c r="N31" s="7">
        <f>SUM(B31:M31)</f>
        <v>2442779.2833928349</v>
      </c>
    </row>
    <row r="32" spans="1:44" s="6" customFormat="1" ht="15" hidden="1">
      <c r="A32" s="6" t="s">
        <v>38</v>
      </c>
      <c r="B32" s="65"/>
      <c r="C32" s="68"/>
      <c r="D32" s="65"/>
      <c r="E32" s="65"/>
      <c r="F32" s="65"/>
      <c r="G32" s="65"/>
      <c r="H32" s="65"/>
      <c r="I32" s="65"/>
      <c r="J32" s="65"/>
      <c r="K32" s="65"/>
      <c r="L32" s="65"/>
      <c r="M32" s="65"/>
      <c r="N32" s="7">
        <f>SUM(B32:M32)</f>
        <v>0</v>
      </c>
      <c r="P32" s="6">
        <f>+B32*-1</f>
        <v>0</v>
      </c>
      <c r="Q32" s="6">
        <f t="shared" ref="Q32:AF33" si="5">+C32*-1</f>
        <v>0</v>
      </c>
      <c r="R32" s="6">
        <f t="shared" si="5"/>
        <v>0</v>
      </c>
      <c r="S32" s="6">
        <f t="shared" si="5"/>
        <v>0</v>
      </c>
      <c r="T32" s="6">
        <f t="shared" si="5"/>
        <v>0</v>
      </c>
      <c r="U32" s="6">
        <f t="shared" si="5"/>
        <v>0</v>
      </c>
      <c r="V32" s="6">
        <f t="shared" si="5"/>
        <v>0</v>
      </c>
      <c r="W32" s="6">
        <f t="shared" si="5"/>
        <v>0</v>
      </c>
      <c r="X32" s="6">
        <f t="shared" si="5"/>
        <v>0</v>
      </c>
      <c r="Y32" s="6">
        <f t="shared" si="5"/>
        <v>0</v>
      </c>
      <c r="Z32" s="6">
        <f t="shared" si="5"/>
        <v>0</v>
      </c>
      <c r="AA32" s="6">
        <f t="shared" si="5"/>
        <v>0</v>
      </c>
      <c r="AB32" s="6">
        <f t="shared" si="5"/>
        <v>0</v>
      </c>
      <c r="AC32" s="6">
        <f t="shared" si="5"/>
        <v>0</v>
      </c>
      <c r="AD32" s="6">
        <f t="shared" si="5"/>
        <v>0</v>
      </c>
      <c r="AE32" s="6">
        <f t="shared" si="5"/>
        <v>0</v>
      </c>
      <c r="AF32" s="6">
        <f t="shared" si="5"/>
        <v>0</v>
      </c>
      <c r="AG32" s="6">
        <f t="shared" ref="AG32:AR33" si="6">+S32*-1</f>
        <v>0</v>
      </c>
      <c r="AH32" s="6">
        <f t="shared" si="6"/>
        <v>0</v>
      </c>
      <c r="AI32" s="6">
        <f t="shared" si="6"/>
        <v>0</v>
      </c>
      <c r="AJ32" s="6">
        <f t="shared" si="6"/>
        <v>0</v>
      </c>
      <c r="AK32" s="6">
        <f t="shared" si="6"/>
        <v>0</v>
      </c>
      <c r="AL32" s="6">
        <f t="shared" si="6"/>
        <v>0</v>
      </c>
      <c r="AM32" s="6">
        <f t="shared" si="6"/>
        <v>0</v>
      </c>
      <c r="AN32" s="6">
        <f t="shared" si="6"/>
        <v>0</v>
      </c>
      <c r="AO32" s="6">
        <f t="shared" si="6"/>
        <v>0</v>
      </c>
      <c r="AP32" s="6">
        <f t="shared" si="6"/>
        <v>0</v>
      </c>
      <c r="AQ32" s="6">
        <f t="shared" si="6"/>
        <v>0</v>
      </c>
      <c r="AR32" s="6">
        <f t="shared" si="6"/>
        <v>0</v>
      </c>
    </row>
    <row r="33" spans="1:44" s="6" customFormat="1" hidden="1">
      <c r="B33" s="15"/>
      <c r="C33" s="15"/>
      <c r="D33" s="15"/>
      <c r="E33" s="15"/>
      <c r="F33" s="15"/>
      <c r="G33" s="15"/>
      <c r="H33" s="15"/>
      <c r="I33" s="15"/>
      <c r="J33" s="15"/>
      <c r="K33" s="15"/>
      <c r="L33" s="15"/>
      <c r="M33" s="15"/>
      <c r="N33" s="15">
        <f>SUM(B33:M33)</f>
        <v>0</v>
      </c>
      <c r="Q33" s="6">
        <f t="shared" si="5"/>
        <v>0</v>
      </c>
      <c r="R33" s="6">
        <f t="shared" si="5"/>
        <v>0</v>
      </c>
      <c r="S33" s="6">
        <f t="shared" si="5"/>
        <v>0</v>
      </c>
      <c r="T33" s="6">
        <f t="shared" si="5"/>
        <v>0</v>
      </c>
      <c r="U33" s="6">
        <f t="shared" si="5"/>
        <v>0</v>
      </c>
      <c r="V33" s="6">
        <f t="shared" si="5"/>
        <v>0</v>
      </c>
      <c r="W33" s="6">
        <f t="shared" si="5"/>
        <v>0</v>
      </c>
      <c r="X33" s="6">
        <f t="shared" si="5"/>
        <v>0</v>
      </c>
      <c r="Y33" s="6">
        <f t="shared" si="5"/>
        <v>0</v>
      </c>
      <c r="Z33" s="6">
        <f t="shared" si="5"/>
        <v>0</v>
      </c>
      <c r="AA33" s="6">
        <f t="shared" si="5"/>
        <v>0</v>
      </c>
      <c r="AB33" s="6">
        <f t="shared" si="5"/>
        <v>0</v>
      </c>
      <c r="AC33" s="6">
        <f t="shared" si="5"/>
        <v>0</v>
      </c>
      <c r="AD33" s="6">
        <f t="shared" si="5"/>
        <v>0</v>
      </c>
      <c r="AE33" s="6">
        <f t="shared" si="5"/>
        <v>0</v>
      </c>
      <c r="AF33" s="6">
        <f t="shared" si="5"/>
        <v>0</v>
      </c>
      <c r="AG33" s="6">
        <f t="shared" si="6"/>
        <v>0</v>
      </c>
      <c r="AH33" s="6">
        <f t="shared" si="6"/>
        <v>0</v>
      </c>
      <c r="AI33" s="6">
        <f t="shared" si="6"/>
        <v>0</v>
      </c>
      <c r="AJ33" s="6">
        <f t="shared" si="6"/>
        <v>0</v>
      </c>
      <c r="AK33" s="6">
        <f t="shared" si="6"/>
        <v>0</v>
      </c>
      <c r="AL33" s="6">
        <f t="shared" si="6"/>
        <v>0</v>
      </c>
      <c r="AM33" s="6">
        <f t="shared" si="6"/>
        <v>0</v>
      </c>
      <c r="AN33" s="6">
        <f t="shared" si="6"/>
        <v>0</v>
      </c>
      <c r="AO33" s="6">
        <f t="shared" si="6"/>
        <v>0</v>
      </c>
      <c r="AP33" s="6">
        <f t="shared" si="6"/>
        <v>0</v>
      </c>
      <c r="AQ33" s="6">
        <f t="shared" si="6"/>
        <v>0</v>
      </c>
      <c r="AR33" s="6">
        <f t="shared" si="6"/>
        <v>0</v>
      </c>
    </row>
    <row r="34" spans="1:44" s="6" customFormat="1">
      <c r="A34" s="13" t="s">
        <v>43</v>
      </c>
      <c r="B34" s="12">
        <f t="shared" ref="B34:N34" si="7">SUM(B30:B33)</f>
        <v>609067</v>
      </c>
      <c r="C34" s="12">
        <f t="shared" si="7"/>
        <v>749544</v>
      </c>
      <c r="D34" s="12">
        <f t="shared" si="7"/>
        <v>852957.97097740404</v>
      </c>
      <c r="E34" s="12">
        <f t="shared" si="7"/>
        <v>985756.31013697688</v>
      </c>
      <c r="F34" s="12">
        <f t="shared" si="7"/>
        <v>787176.76527856698</v>
      </c>
      <c r="G34" s="12">
        <f t="shared" si="7"/>
        <v>763873.44007889798</v>
      </c>
      <c r="H34" s="12">
        <f t="shared" si="7"/>
        <v>821363.6349260211</v>
      </c>
      <c r="I34" s="12">
        <f t="shared" si="7"/>
        <v>865742.93498899299</v>
      </c>
      <c r="J34" s="12">
        <f t="shared" si="7"/>
        <v>854557.64368810703</v>
      </c>
      <c r="K34" s="12">
        <f t="shared" si="7"/>
        <v>951180.70933962893</v>
      </c>
      <c r="L34" s="12">
        <f t="shared" si="7"/>
        <v>811770.33569646196</v>
      </c>
      <c r="M34" s="12">
        <f t="shared" si="7"/>
        <v>647553.72145282303</v>
      </c>
      <c r="N34" s="12">
        <f t="shared" si="7"/>
        <v>9700544.4665638804</v>
      </c>
      <c r="O34" s="7"/>
    </row>
    <row r="35" spans="1:44" s="6" customFormat="1">
      <c r="B35" s="7"/>
      <c r="C35" s="7"/>
      <c r="D35" s="7"/>
      <c r="E35" s="7"/>
      <c r="F35" s="7"/>
      <c r="G35" s="7"/>
      <c r="H35" s="7"/>
      <c r="I35" s="7"/>
      <c r="J35" s="7"/>
      <c r="K35" s="7"/>
      <c r="L35" s="7"/>
      <c r="M35" s="7"/>
    </row>
    <row r="36" spans="1:44" s="6" customFormat="1" hidden="1">
      <c r="A36" s="13" t="s">
        <v>44</v>
      </c>
      <c r="B36" s="7"/>
      <c r="C36" s="7"/>
      <c r="D36" s="7"/>
      <c r="E36" s="7"/>
      <c r="F36" s="7"/>
      <c r="G36" s="7"/>
      <c r="H36" s="7"/>
      <c r="I36" s="7"/>
      <c r="J36" s="7"/>
      <c r="K36" s="7"/>
      <c r="L36" s="7"/>
      <c r="M36" s="7"/>
    </row>
    <row r="37" spans="1:44" s="6" customFormat="1" hidden="1">
      <c r="A37" s="6" t="s">
        <v>45</v>
      </c>
      <c r="B37" s="53">
        <v>957334</v>
      </c>
      <c r="C37" s="53">
        <v>1284431</v>
      </c>
      <c r="D37" s="53">
        <v>1577505.2299712123</v>
      </c>
      <c r="E37" s="53">
        <v>1621576.5698087905</v>
      </c>
      <c r="F37" s="53">
        <v>1397109.5265258201</v>
      </c>
      <c r="G37" s="66">
        <v>1381899.2128031002</v>
      </c>
      <c r="H37" s="66">
        <v>1338862.8735315695</v>
      </c>
      <c r="I37" s="66">
        <v>1447399.3372471465</v>
      </c>
      <c r="J37" s="66">
        <v>1483783.6270001915</v>
      </c>
      <c r="K37" s="53">
        <v>1521178.5687367001</v>
      </c>
      <c r="L37" s="53">
        <v>1366856.0727674812</v>
      </c>
      <c r="M37" s="53">
        <v>1089068.663147087</v>
      </c>
      <c r="N37" s="7">
        <f>SUM(B37:M37)</f>
        <v>16467004.6815391</v>
      </c>
      <c r="O37" s="53"/>
      <c r="P37" s="62"/>
    </row>
    <row r="38" spans="1:44" s="6" customFormat="1" hidden="1">
      <c r="A38" s="6" t="s">
        <v>46</v>
      </c>
      <c r="B38" s="7">
        <f>-B34</f>
        <v>-609067</v>
      </c>
      <c r="C38" s="7">
        <f t="shared" ref="C38:M38" si="8">-C34</f>
        <v>-749544</v>
      </c>
      <c r="D38" s="7">
        <f t="shared" si="8"/>
        <v>-852957.97097740404</v>
      </c>
      <c r="E38" s="7">
        <f t="shared" si="8"/>
        <v>-985756.31013697688</v>
      </c>
      <c r="F38" s="7">
        <f t="shared" si="8"/>
        <v>-787176.76527856698</v>
      </c>
      <c r="G38" s="7">
        <f t="shared" si="8"/>
        <v>-763873.44007889798</v>
      </c>
      <c r="H38" s="7">
        <f t="shared" si="8"/>
        <v>-821363.6349260211</v>
      </c>
      <c r="I38" s="7">
        <f t="shared" si="8"/>
        <v>-865742.93498899299</v>
      </c>
      <c r="J38" s="7">
        <f t="shared" si="8"/>
        <v>-854557.64368810703</v>
      </c>
      <c r="K38" s="7">
        <f t="shared" si="8"/>
        <v>-951180.70933962893</v>
      </c>
      <c r="L38" s="7">
        <f t="shared" si="8"/>
        <v>-811770.33569646196</v>
      </c>
      <c r="M38" s="7">
        <f t="shared" si="8"/>
        <v>-647553.72145282303</v>
      </c>
      <c r="N38" s="7">
        <f>SUM(B38:M38)</f>
        <v>-9700544.4665638804</v>
      </c>
    </row>
    <row r="39" spans="1:44" s="6" customFormat="1" hidden="1">
      <c r="A39" s="6" t="s">
        <v>47</v>
      </c>
      <c r="B39" s="53">
        <v>-73369</v>
      </c>
      <c r="C39" s="53">
        <v>-72678</v>
      </c>
      <c r="D39" s="53">
        <v>-75677.401666666599</v>
      </c>
      <c r="E39" s="53">
        <v>-84889.941666666593</v>
      </c>
      <c r="F39" s="53">
        <v>-84889.941666666593</v>
      </c>
      <c r="G39" s="53">
        <v>-84858.961666666597</v>
      </c>
      <c r="H39" s="53">
        <v>-82257.801666666594</v>
      </c>
      <c r="I39" s="53">
        <v>-82098.931666666598</v>
      </c>
      <c r="J39" s="53">
        <v>-82065.061666666603</v>
      </c>
      <c r="K39" s="53">
        <v>-81467.421666666603</v>
      </c>
      <c r="L39" s="53">
        <v>-81449.971666666606</v>
      </c>
      <c r="M39" s="53">
        <v>-80077.631666666595</v>
      </c>
      <c r="N39" s="7">
        <v>-971805.1199999993</v>
      </c>
    </row>
    <row r="40" spans="1:44" s="6" customFormat="1" hidden="1">
      <c r="A40" s="6" t="s">
        <v>78</v>
      </c>
      <c r="B40" s="53"/>
      <c r="C40" s="53"/>
      <c r="D40" s="53"/>
      <c r="E40" s="53"/>
      <c r="F40" s="53"/>
      <c r="G40" s="53"/>
      <c r="H40" s="53"/>
      <c r="I40" s="53"/>
      <c r="J40" s="53"/>
      <c r="K40" s="53"/>
      <c r="L40" s="53"/>
      <c r="M40" s="53"/>
      <c r="N40" s="7">
        <f>SUM(B40:M40)</f>
        <v>0</v>
      </c>
    </row>
    <row r="41" spans="1:44" s="6" customFormat="1" hidden="1">
      <c r="A41" s="6" t="s">
        <v>48</v>
      </c>
      <c r="B41" s="60">
        <v>-10663.666666666701</v>
      </c>
      <c r="C41" s="60">
        <v>-10663.666666666701</v>
      </c>
      <c r="D41" s="60">
        <v>-10663.666666666701</v>
      </c>
      <c r="E41" s="60">
        <v>-10663.666666666701</v>
      </c>
      <c r="F41" s="60">
        <v>-10663.666666666701</v>
      </c>
      <c r="G41" s="60">
        <v>-10663.666666666701</v>
      </c>
      <c r="H41" s="60">
        <v>-10663.666666666701</v>
      </c>
      <c r="I41" s="60">
        <v>-10663.666666666701</v>
      </c>
      <c r="J41" s="60">
        <v>-10964</v>
      </c>
      <c r="K41" s="60">
        <v>-10864</v>
      </c>
      <c r="L41" s="60">
        <v>-10964</v>
      </c>
      <c r="M41" s="60">
        <v>-10664</v>
      </c>
      <c r="N41" s="15">
        <f>SUM(B41:M41)</f>
        <v>-128765.3333333336</v>
      </c>
    </row>
    <row r="42" spans="1:44" s="6" customFormat="1">
      <c r="A42" s="13" t="s">
        <v>49</v>
      </c>
      <c r="B42" s="12">
        <f t="shared" ref="B42:N42" si="9">SUM(B37:B41)</f>
        <v>264234.33333333331</v>
      </c>
      <c r="C42" s="12">
        <f t="shared" si="9"/>
        <v>451545.33333333331</v>
      </c>
      <c r="D42" s="12">
        <f t="shared" si="9"/>
        <v>638206.19066047494</v>
      </c>
      <c r="E42" s="12">
        <f t="shared" si="9"/>
        <v>540266.65133848018</v>
      </c>
      <c r="F42" s="12">
        <f t="shared" si="9"/>
        <v>514379.15291391994</v>
      </c>
      <c r="G42" s="12">
        <f t="shared" si="9"/>
        <v>522503.14439086901</v>
      </c>
      <c r="H42" s="12">
        <f t="shared" si="9"/>
        <v>424577.77027221513</v>
      </c>
      <c r="I42" s="12">
        <f t="shared" si="9"/>
        <v>488893.80392482027</v>
      </c>
      <c r="J42" s="12">
        <f t="shared" si="9"/>
        <v>536196.92164541781</v>
      </c>
      <c r="K42" s="12">
        <f t="shared" si="9"/>
        <v>477666.43773040455</v>
      </c>
      <c r="L42" s="12">
        <f t="shared" si="9"/>
        <v>462671.76540435263</v>
      </c>
      <c r="M42" s="12">
        <f t="shared" si="9"/>
        <v>350773.31002759736</v>
      </c>
      <c r="N42" s="12">
        <f t="shared" si="9"/>
        <v>5665889.7616418861</v>
      </c>
    </row>
    <row r="43" spans="1:44">
      <c r="A43" s="1"/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2"/>
      <c r="N43" s="12"/>
      <c r="O43" s="6"/>
    </row>
    <row r="44" spans="1:44" hidden="1">
      <c r="A44" s="13" t="s">
        <v>50</v>
      </c>
      <c r="B44" s="53">
        <v>275362</v>
      </c>
      <c r="C44" s="53">
        <v>282653</v>
      </c>
      <c r="D44" s="53">
        <v>333220.85264446813</v>
      </c>
      <c r="E44" s="53">
        <v>325654.34176216874</v>
      </c>
      <c r="F44" s="53">
        <v>309928.67264446814</v>
      </c>
      <c r="G44" s="53">
        <v>418573.73264446814</v>
      </c>
      <c r="H44" s="59">
        <v>320964.16545716883</v>
      </c>
      <c r="I44" s="53">
        <v>283542.94633946812</v>
      </c>
      <c r="J44" s="53">
        <v>318115.5463394681</v>
      </c>
      <c r="K44" s="53">
        <v>331200.75545716879</v>
      </c>
      <c r="L44" s="53">
        <v>295624.06633946812</v>
      </c>
      <c r="M44" s="53">
        <v>637691.65717914759</v>
      </c>
      <c r="N44" s="12">
        <f>SUM(B44:M44)</f>
        <v>4132531.7368074628</v>
      </c>
      <c r="O44" s="6"/>
    </row>
    <row r="45" spans="1:44" hidden="1">
      <c r="A45" s="6" t="s">
        <v>51</v>
      </c>
      <c r="B45" s="22">
        <v>0</v>
      </c>
      <c r="C45" s="22">
        <v>-10000</v>
      </c>
      <c r="D45" s="22">
        <v>-5000</v>
      </c>
      <c r="E45" s="22">
        <v>-5000</v>
      </c>
      <c r="F45" s="22">
        <v>-5000</v>
      </c>
      <c r="G45" s="22">
        <v>-5000</v>
      </c>
      <c r="H45" s="22">
        <v>-5000</v>
      </c>
      <c r="I45" s="22">
        <v>-5000</v>
      </c>
      <c r="J45" s="22">
        <v>-5000</v>
      </c>
      <c r="K45" s="22">
        <v>-5000</v>
      </c>
      <c r="L45" s="22">
        <v>-5000</v>
      </c>
      <c r="M45" s="22">
        <v>-5000</v>
      </c>
      <c r="N45" s="22">
        <f>SUM(B45:M45)</f>
        <v>-60000</v>
      </c>
      <c r="O45" s="6"/>
    </row>
    <row r="46" spans="1:44">
      <c r="A46" s="1" t="s">
        <v>50</v>
      </c>
      <c r="B46" s="12">
        <f>SUM(B44:B45)</f>
        <v>275362</v>
      </c>
      <c r="C46" s="12">
        <f>SUM(C44:C45)</f>
        <v>272653</v>
      </c>
      <c r="D46" s="12">
        <f t="shared" ref="D46:N46" si="10">SUM(D44:D45)</f>
        <v>328220.85264446813</v>
      </c>
      <c r="E46" s="12">
        <f t="shared" si="10"/>
        <v>320654.34176216874</v>
      </c>
      <c r="F46" s="12">
        <f t="shared" si="10"/>
        <v>304928.67264446814</v>
      </c>
      <c r="G46" s="12">
        <f t="shared" si="10"/>
        <v>413573.73264446814</v>
      </c>
      <c r="H46" s="12">
        <f t="shared" si="10"/>
        <v>315964.16545716883</v>
      </c>
      <c r="I46" s="12">
        <f t="shared" si="10"/>
        <v>278542.94633946812</v>
      </c>
      <c r="J46" s="12">
        <f t="shared" si="10"/>
        <v>313115.5463394681</v>
      </c>
      <c r="K46" s="12">
        <f t="shared" si="10"/>
        <v>326200.75545716879</v>
      </c>
      <c r="L46" s="12">
        <f t="shared" si="10"/>
        <v>290624.06633946812</v>
      </c>
      <c r="M46" s="12">
        <f t="shared" si="10"/>
        <v>632691.65717914759</v>
      </c>
      <c r="N46" s="12">
        <f t="shared" si="10"/>
        <v>4072531.7368074628</v>
      </c>
      <c r="O46" s="6"/>
    </row>
    <row r="47" spans="1:44">
      <c r="B47" s="7"/>
      <c r="C47" s="7"/>
      <c r="D47" s="7"/>
      <c r="E47" s="7"/>
      <c r="F47" s="7"/>
      <c r="G47" s="7"/>
      <c r="H47" s="7"/>
      <c r="I47" s="7"/>
      <c r="J47" s="7"/>
      <c r="K47" s="6"/>
      <c r="L47" s="6"/>
      <c r="M47" s="6"/>
      <c r="N47" s="6"/>
      <c r="O47" s="6"/>
    </row>
    <row r="48" spans="1:44">
      <c r="A48" s="13" t="s">
        <v>52</v>
      </c>
      <c r="B48" s="19">
        <f t="shared" ref="B48:N48" si="11">+B20+B34+B42+B46</f>
        <v>1768948.3333333333</v>
      </c>
      <c r="C48" s="19">
        <f t="shared" si="11"/>
        <v>4442285.333333334</v>
      </c>
      <c r="D48" s="19">
        <f t="shared" si="11"/>
        <v>3560284.3538665269</v>
      </c>
      <c r="E48" s="19">
        <f t="shared" si="11"/>
        <v>3185876.5738340863</v>
      </c>
      <c r="F48" s="19">
        <f t="shared" si="11"/>
        <v>2526926.8867620029</v>
      </c>
      <c r="G48" s="19">
        <f t="shared" si="11"/>
        <v>2694465.9449283639</v>
      </c>
      <c r="H48" s="19">
        <f t="shared" si="11"/>
        <v>4286104.1381694749</v>
      </c>
      <c r="I48" s="19">
        <f t="shared" si="11"/>
        <v>2942677.8467976716</v>
      </c>
      <c r="J48" s="19">
        <f t="shared" si="11"/>
        <v>2850298.022130433</v>
      </c>
      <c r="K48" s="19">
        <f t="shared" si="11"/>
        <v>2769505.7272803225</v>
      </c>
      <c r="L48" s="19">
        <f t="shared" si="11"/>
        <v>2767912.4922030023</v>
      </c>
      <c r="M48" s="19">
        <f t="shared" si="11"/>
        <v>2439604.0126127731</v>
      </c>
      <c r="N48" s="19">
        <f t="shared" si="11"/>
        <v>36228864.611917995</v>
      </c>
      <c r="O48" s="6"/>
    </row>
    <row r="49" spans="1:17">
      <c r="B49" s="7"/>
      <c r="C49" s="7"/>
      <c r="D49" s="7"/>
      <c r="E49" s="7"/>
      <c r="F49" s="7"/>
      <c r="G49" s="7"/>
      <c r="H49" s="7"/>
      <c r="I49" s="7"/>
      <c r="J49" s="7"/>
      <c r="K49" s="6"/>
      <c r="L49" s="6"/>
      <c r="M49" s="6"/>
      <c r="N49" s="6"/>
      <c r="O49" s="6"/>
    </row>
    <row r="50" spans="1:17">
      <c r="A50" s="1" t="s">
        <v>53</v>
      </c>
      <c r="B50" s="12">
        <f t="shared" ref="B50:M50" si="12">+B13-B48</f>
        <v>-507699.33333333326</v>
      </c>
      <c r="C50" s="12">
        <f t="shared" si="12"/>
        <v>439569.66666666605</v>
      </c>
      <c r="D50" s="12">
        <f t="shared" si="12"/>
        <v>578842.64026382612</v>
      </c>
      <c r="E50" s="12">
        <f t="shared" si="12"/>
        <v>507348.46125483606</v>
      </c>
      <c r="F50" s="12">
        <f t="shared" si="12"/>
        <v>33090.392948810942</v>
      </c>
      <c r="G50" s="12">
        <f t="shared" si="12"/>
        <v>-170702.61557580205</v>
      </c>
      <c r="H50" s="12">
        <f t="shared" si="12"/>
        <v>199639.09162974637</v>
      </c>
      <c r="I50" s="12">
        <f t="shared" si="12"/>
        <v>362880.59546278836</v>
      </c>
      <c r="J50" s="12">
        <f t="shared" si="12"/>
        <v>445916.27537100855</v>
      </c>
      <c r="K50" s="12">
        <f t="shared" si="12"/>
        <v>199559.11018969351</v>
      </c>
      <c r="L50" s="12">
        <f t="shared" si="12"/>
        <v>420347.78970141569</v>
      </c>
      <c r="M50" s="12">
        <f t="shared" si="12"/>
        <v>-856664.33360203309</v>
      </c>
      <c r="N50" s="12">
        <f>SUM(B50:M50)</f>
        <v>1652127.740977623</v>
      </c>
      <c r="O50" s="6"/>
      <c r="P50" s="25"/>
    </row>
    <row r="51" spans="1:17" ht="7.5" customHeight="1">
      <c r="B51" s="7"/>
      <c r="C51" s="7"/>
      <c r="D51" s="7"/>
      <c r="E51" s="7"/>
      <c r="F51" s="7"/>
      <c r="G51" s="7"/>
      <c r="H51" s="7"/>
      <c r="I51" s="7"/>
      <c r="J51" s="7"/>
      <c r="K51" s="6"/>
      <c r="L51" s="6"/>
      <c r="M51" s="6"/>
      <c r="N51" s="6"/>
      <c r="O51" s="6"/>
    </row>
    <row r="52" spans="1:17">
      <c r="A52" s="1" t="s">
        <v>54</v>
      </c>
      <c r="B52" s="7"/>
      <c r="C52" s="7"/>
      <c r="D52" s="7"/>
      <c r="E52" s="7"/>
      <c r="F52" s="7"/>
      <c r="G52" s="7"/>
      <c r="H52" s="7"/>
      <c r="I52" s="7"/>
      <c r="J52" s="7"/>
      <c r="K52" s="6"/>
      <c r="L52" s="6"/>
      <c r="M52" s="6"/>
      <c r="N52" s="6"/>
      <c r="O52" s="6"/>
    </row>
    <row r="53" spans="1:17" s="6" customFormat="1">
      <c r="A53" s="6" t="s">
        <v>55</v>
      </c>
      <c r="B53" s="10">
        <v>24982</v>
      </c>
      <c r="C53" s="10">
        <v>358462</v>
      </c>
      <c r="D53" s="10">
        <v>10000</v>
      </c>
      <c r="E53" s="10">
        <v>44355</v>
      </c>
      <c r="F53" s="10">
        <v>186840</v>
      </c>
      <c r="G53" s="10">
        <v>202000</v>
      </c>
      <c r="H53" s="23">
        <v>197000</v>
      </c>
      <c r="I53" s="10">
        <v>142000</v>
      </c>
      <c r="J53" s="10">
        <v>119000</v>
      </c>
      <c r="K53" s="10">
        <v>0</v>
      </c>
      <c r="L53" s="10">
        <v>0</v>
      </c>
      <c r="M53" s="10">
        <v>455000</v>
      </c>
      <c r="N53" s="10">
        <f>SUM(B53:M53)</f>
        <v>1739639</v>
      </c>
      <c r="P53" s="40"/>
    </row>
    <row r="54" spans="1:17" s="6" customFormat="1">
      <c r="A54" s="6" t="s">
        <v>56</v>
      </c>
      <c r="B54" s="10"/>
      <c r="C54" s="10"/>
      <c r="D54" s="10">
        <v>-520000</v>
      </c>
      <c r="E54" s="10"/>
      <c r="F54" s="10">
        <v>95000</v>
      </c>
      <c r="G54" s="10"/>
      <c r="H54" s="10"/>
      <c r="I54" s="10"/>
      <c r="J54" s="10"/>
      <c r="K54" s="10"/>
      <c r="L54" s="10"/>
      <c r="M54" s="10"/>
      <c r="N54" s="10">
        <f>SUM(B54:M54)</f>
        <v>-425000</v>
      </c>
      <c r="P54" s="7"/>
      <c r="Q54" s="6">
        <v>0</v>
      </c>
    </row>
    <row r="55" spans="1:17" s="6" customFormat="1">
      <c r="A55" s="6" t="s">
        <v>57</v>
      </c>
      <c r="B55" s="10">
        <f>50000+228312</f>
        <v>278312</v>
      </c>
      <c r="C55" s="10">
        <v>50000</v>
      </c>
      <c r="D55" s="10">
        <v>50000</v>
      </c>
      <c r="E55" s="10">
        <v>50000</v>
      </c>
      <c r="F55" s="10">
        <v>50000</v>
      </c>
      <c r="G55" s="10">
        <v>50000</v>
      </c>
      <c r="H55" s="10">
        <v>50000</v>
      </c>
      <c r="I55" s="10">
        <v>50000</v>
      </c>
      <c r="J55" s="10">
        <v>50000</v>
      </c>
      <c r="K55" s="10">
        <v>50000</v>
      </c>
      <c r="L55" s="10"/>
      <c r="M55" s="10"/>
      <c r="N55" s="10">
        <f>SUM(B55:M55)</f>
        <v>728312</v>
      </c>
      <c r="P55" s="7"/>
    </row>
    <row r="56" spans="1:17" s="6" customFormat="1">
      <c r="A56" s="37" t="s">
        <v>58</v>
      </c>
      <c r="B56" s="7">
        <v>-26129</v>
      </c>
      <c r="C56" s="7">
        <f>-44-9248</f>
        <v>-9292</v>
      </c>
      <c r="D56" s="7">
        <v>-8000</v>
      </c>
      <c r="E56" s="7">
        <v>-8000</v>
      </c>
      <c r="F56" s="7">
        <v>-8000</v>
      </c>
      <c r="G56" s="7">
        <v>-8000</v>
      </c>
      <c r="H56" s="7">
        <v>-8000</v>
      </c>
      <c r="I56" s="7">
        <v>-8000</v>
      </c>
      <c r="J56" s="7">
        <v>-9000</v>
      </c>
      <c r="K56" s="7">
        <v>-9000</v>
      </c>
      <c r="L56" s="7">
        <v>-9000</v>
      </c>
      <c r="M56" s="7">
        <v>-9000</v>
      </c>
      <c r="N56" s="7">
        <f>SUM(B56:M56)</f>
        <v>-119421</v>
      </c>
      <c r="P56" s="56"/>
    </row>
    <row r="57" spans="1:17" s="6" customFormat="1">
      <c r="A57" s="6" t="s">
        <v>59</v>
      </c>
      <c r="B57" s="22">
        <v>-262370</v>
      </c>
      <c r="C57" s="22">
        <v>-26645</v>
      </c>
      <c r="D57" s="22">
        <v>-25000</v>
      </c>
      <c r="E57" s="22">
        <v>-25000</v>
      </c>
      <c r="F57" s="22">
        <v>-25000</v>
      </c>
      <c r="G57" s="22">
        <v>-25000</v>
      </c>
      <c r="H57" s="22">
        <v>-25000</v>
      </c>
      <c r="I57" s="22">
        <v>-25000</v>
      </c>
      <c r="J57" s="22">
        <v>-25000</v>
      </c>
      <c r="K57" s="22">
        <v>-25000</v>
      </c>
      <c r="L57" s="22">
        <v>-25000</v>
      </c>
      <c r="M57" s="22">
        <v>-25000</v>
      </c>
      <c r="N57" s="22">
        <f>SUM(B57:M57)</f>
        <v>-539015</v>
      </c>
      <c r="P57" s="7"/>
    </row>
    <row r="58" spans="1:17" s="6" customFormat="1">
      <c r="A58" s="13" t="s">
        <v>60</v>
      </c>
      <c r="B58" s="19">
        <f t="shared" ref="B58:N58" si="13">SUM(B53:B57)</f>
        <v>14795</v>
      </c>
      <c r="C58" s="19">
        <f t="shared" si="13"/>
        <v>372525</v>
      </c>
      <c r="D58" s="19">
        <f t="shared" si="13"/>
        <v>-493000</v>
      </c>
      <c r="E58" s="19">
        <f t="shared" si="13"/>
        <v>61355</v>
      </c>
      <c r="F58" s="19">
        <f t="shared" si="13"/>
        <v>298840</v>
      </c>
      <c r="G58" s="19">
        <f t="shared" si="13"/>
        <v>219000</v>
      </c>
      <c r="H58" s="19">
        <f t="shared" si="13"/>
        <v>214000</v>
      </c>
      <c r="I58" s="19">
        <f t="shared" si="13"/>
        <v>159000</v>
      </c>
      <c r="J58" s="19">
        <f t="shared" si="13"/>
        <v>135000</v>
      </c>
      <c r="K58" s="19">
        <f t="shared" si="13"/>
        <v>16000</v>
      </c>
      <c r="L58" s="19">
        <f t="shared" si="13"/>
        <v>-34000</v>
      </c>
      <c r="M58" s="19">
        <f t="shared" si="13"/>
        <v>421000</v>
      </c>
      <c r="N58" s="19">
        <f t="shared" si="13"/>
        <v>1384515</v>
      </c>
    </row>
    <row r="59" spans="1:17">
      <c r="B59" s="7"/>
      <c r="C59" s="7"/>
      <c r="D59" s="7"/>
      <c r="E59" s="7"/>
      <c r="F59" s="7"/>
      <c r="G59" s="7"/>
      <c r="H59" s="7"/>
      <c r="I59" s="7"/>
      <c r="J59" s="7"/>
      <c r="K59" s="7"/>
      <c r="L59" s="7"/>
      <c r="M59" s="7"/>
      <c r="N59" s="7"/>
      <c r="O59" s="6"/>
    </row>
    <row r="60" spans="1:17">
      <c r="A60" s="1" t="s">
        <v>61</v>
      </c>
      <c r="B60" s="12">
        <v>10990495</v>
      </c>
      <c r="C60" s="7"/>
      <c r="D60" s="7"/>
      <c r="E60" s="7"/>
      <c r="F60" s="7"/>
      <c r="G60" s="7"/>
      <c r="H60" s="7" t="s">
        <v>38</v>
      </c>
      <c r="I60" s="7"/>
      <c r="J60" s="7"/>
      <c r="K60" s="6"/>
      <c r="L60" s="6"/>
      <c r="M60" s="6"/>
      <c r="N60" s="6"/>
      <c r="O60" s="6"/>
    </row>
    <row r="61" spans="1:17">
      <c r="A61" s="13" t="s">
        <v>62</v>
      </c>
      <c r="B61" s="19">
        <f t="shared" ref="B61:N61" si="14">+B58+B48</f>
        <v>1783743.3333333333</v>
      </c>
      <c r="C61" s="19">
        <f t="shared" si="14"/>
        <v>4814810.333333334</v>
      </c>
      <c r="D61" s="19">
        <f t="shared" si="14"/>
        <v>3067284.3538665269</v>
      </c>
      <c r="E61" s="19">
        <f t="shared" si="14"/>
        <v>3247231.5738340863</v>
      </c>
      <c r="F61" s="19">
        <f t="shared" si="14"/>
        <v>2825766.8867620029</v>
      </c>
      <c r="G61" s="19">
        <f t="shared" si="14"/>
        <v>2913465.9449283639</v>
      </c>
      <c r="H61" s="19">
        <f t="shared" si="14"/>
        <v>4500104.1381694749</v>
      </c>
      <c r="I61" s="19">
        <f t="shared" si="14"/>
        <v>3101677.8467976716</v>
      </c>
      <c r="J61" s="19">
        <f t="shared" si="14"/>
        <v>2985298.022130433</v>
      </c>
      <c r="K61" s="19">
        <f t="shared" si="14"/>
        <v>2785505.7272803225</v>
      </c>
      <c r="L61" s="19">
        <f t="shared" si="14"/>
        <v>2733912.4922030023</v>
      </c>
      <c r="M61" s="19">
        <f t="shared" si="14"/>
        <v>2860604.0126127731</v>
      </c>
      <c r="N61" s="19">
        <f t="shared" si="14"/>
        <v>37613379.611917995</v>
      </c>
      <c r="O61" s="6"/>
    </row>
    <row r="62" spans="1:17" ht="13.5" thickBot="1">
      <c r="A62" s="13" t="s">
        <v>63</v>
      </c>
      <c r="B62" s="30">
        <f t="shared" ref="B62:N62" si="15">+B13-B61</f>
        <v>-522494.33333333326</v>
      </c>
      <c r="C62" s="30">
        <f t="shared" si="15"/>
        <v>67044.666666666046</v>
      </c>
      <c r="D62" s="14">
        <f t="shared" si="15"/>
        <v>1071842.6402638261</v>
      </c>
      <c r="E62" s="14">
        <f t="shared" si="15"/>
        <v>445993.46125483606</v>
      </c>
      <c r="F62" s="14">
        <f t="shared" si="15"/>
        <v>-265749.60705118906</v>
      </c>
      <c r="G62" s="14">
        <f t="shared" si="15"/>
        <v>-389702.61557580205</v>
      </c>
      <c r="H62" s="14">
        <f t="shared" si="15"/>
        <v>-14360.90837025363</v>
      </c>
      <c r="I62" s="14">
        <f t="shared" si="15"/>
        <v>203880.59546278836</v>
      </c>
      <c r="J62" s="14">
        <f t="shared" si="15"/>
        <v>310916.27537100855</v>
      </c>
      <c r="K62" s="14">
        <f t="shared" si="15"/>
        <v>183559.11018969351</v>
      </c>
      <c r="L62" s="14">
        <f t="shared" si="15"/>
        <v>454347.78970141569</v>
      </c>
      <c r="M62" s="14">
        <f t="shared" si="15"/>
        <v>-1277664.3336020331</v>
      </c>
      <c r="N62" s="14">
        <f t="shared" si="15"/>
        <v>273637.79431095719</v>
      </c>
      <c r="O62" s="6"/>
      <c r="P62" s="25"/>
    </row>
    <row r="63" spans="1:17" s="6" customFormat="1" ht="13.5" thickTop="1">
      <c r="A63" s="13" t="s">
        <v>64</v>
      </c>
      <c r="B63" s="32">
        <f>+B62</f>
        <v>-522494.33333333326</v>
      </c>
      <c r="C63" s="32">
        <f t="shared" ref="C63:M63" si="16">B63+C62</f>
        <v>-455449.66666666721</v>
      </c>
      <c r="D63" s="12">
        <f t="shared" si="16"/>
        <v>616392.97359715891</v>
      </c>
      <c r="E63" s="12">
        <f t="shared" si="16"/>
        <v>1062386.434851995</v>
      </c>
      <c r="F63" s="12">
        <f t="shared" si="16"/>
        <v>796636.82780080591</v>
      </c>
      <c r="G63" s="12">
        <f t="shared" si="16"/>
        <v>406934.21222500387</v>
      </c>
      <c r="H63" s="12">
        <f t="shared" si="16"/>
        <v>392573.30385475024</v>
      </c>
      <c r="I63" s="12">
        <f t="shared" si="16"/>
        <v>596453.8993175386</v>
      </c>
      <c r="J63" s="12">
        <f t="shared" si="16"/>
        <v>907370.17468854715</v>
      </c>
      <c r="K63" s="12">
        <f t="shared" si="16"/>
        <v>1090929.2848782407</v>
      </c>
      <c r="L63" s="12">
        <f t="shared" si="16"/>
        <v>1545277.0745796564</v>
      </c>
      <c r="M63" s="12">
        <f t="shared" si="16"/>
        <v>267612.74097762327</v>
      </c>
      <c r="N63" s="12"/>
    </row>
    <row r="64" spans="1:17">
      <c r="A64" s="13" t="s">
        <v>65</v>
      </c>
      <c r="B64" s="12">
        <f t="shared" ref="B64:M64" si="17">+$B$60+B63</f>
        <v>10468000.666666666</v>
      </c>
      <c r="C64" s="12">
        <f t="shared" si="17"/>
        <v>10535045.333333332</v>
      </c>
      <c r="D64" s="12">
        <f t="shared" si="17"/>
        <v>11606887.97359716</v>
      </c>
      <c r="E64" s="12">
        <f t="shared" si="17"/>
        <v>12052881.434851995</v>
      </c>
      <c r="F64" s="12">
        <f t="shared" si="17"/>
        <v>11787131.827800807</v>
      </c>
      <c r="G64" s="12">
        <f t="shared" si="17"/>
        <v>11397429.212225003</v>
      </c>
      <c r="H64" s="12">
        <f t="shared" si="17"/>
        <v>11383068.30385475</v>
      </c>
      <c r="I64" s="12">
        <f t="shared" si="17"/>
        <v>11586948.899317538</v>
      </c>
      <c r="J64" s="12">
        <f t="shared" si="17"/>
        <v>11897865.174688548</v>
      </c>
      <c r="K64" s="12">
        <f t="shared" si="17"/>
        <v>12081424.284878241</v>
      </c>
      <c r="L64" s="12">
        <f t="shared" si="17"/>
        <v>12535772.074579656</v>
      </c>
      <c r="M64" s="12">
        <f t="shared" si="17"/>
        <v>11258107.740977623</v>
      </c>
      <c r="N64" s="12"/>
      <c r="O64" s="6"/>
      <c r="P64" s="29"/>
    </row>
    <row r="65" spans="1:16">
      <c r="A65" s="6"/>
      <c r="B65" s="7"/>
      <c r="C65" s="7"/>
      <c r="D65" s="7"/>
      <c r="E65" s="7"/>
      <c r="F65" s="7"/>
      <c r="G65" s="7"/>
      <c r="H65" s="7"/>
      <c r="I65" s="7"/>
      <c r="J65" s="7"/>
      <c r="K65" s="6"/>
      <c r="L65" s="6"/>
      <c r="M65" s="6"/>
      <c r="N65" s="6"/>
      <c r="O65" s="6"/>
    </row>
    <row r="66" spans="1:16" s="6" customFormat="1">
      <c r="A66" s="17" t="s">
        <v>79</v>
      </c>
      <c r="B66" s="18"/>
      <c r="C66" s="18"/>
      <c r="D66" s="18"/>
      <c r="E66" s="18"/>
      <c r="F66" s="18"/>
      <c r="G66" s="18"/>
      <c r="H66" s="18"/>
      <c r="I66" s="18"/>
      <c r="J66" s="18"/>
      <c r="K66" s="18"/>
      <c r="L66" s="18"/>
      <c r="M66" s="18"/>
      <c r="N66" s="18"/>
    </row>
    <row r="67" spans="1:16" ht="13.5" thickBot="1">
      <c r="A67" s="13" t="s">
        <v>67</v>
      </c>
      <c r="B67" s="30">
        <v>-923707.19930042047</v>
      </c>
      <c r="C67" s="30">
        <v>408098.02642089035</v>
      </c>
      <c r="D67" s="30">
        <v>1071842.6402638261</v>
      </c>
      <c r="E67" s="30">
        <v>445993.46125483606</v>
      </c>
      <c r="F67" s="30">
        <v>-265749.60705118906</v>
      </c>
      <c r="G67" s="30">
        <v>-389702.61557580205</v>
      </c>
      <c r="H67" s="30">
        <v>-14360.90837025363</v>
      </c>
      <c r="I67" s="30">
        <v>203880.59546278836</v>
      </c>
      <c r="J67" s="30">
        <v>310916.27537100855</v>
      </c>
      <c r="K67" s="30">
        <v>183559.11018969351</v>
      </c>
      <c r="L67" s="30">
        <v>454347.78970141569</v>
      </c>
      <c r="M67" s="30">
        <v>-1277664.3336020331</v>
      </c>
      <c r="N67" s="16"/>
      <c r="O67" s="6"/>
    </row>
    <row r="68" spans="1:16" ht="13.5" thickTop="1">
      <c r="A68" s="13" t="s">
        <v>64</v>
      </c>
      <c r="B68" s="32">
        <v>-923707.19930042047</v>
      </c>
      <c r="C68" s="32">
        <v>-515609.17287953012</v>
      </c>
      <c r="D68" s="32">
        <v>556233.467384296</v>
      </c>
      <c r="E68" s="32">
        <v>1002226.9286391321</v>
      </c>
      <c r="F68" s="32">
        <v>736477.32158794301</v>
      </c>
      <c r="G68" s="32">
        <v>346774.70601214096</v>
      </c>
      <c r="H68" s="32">
        <v>332413.79764188733</v>
      </c>
      <c r="I68" s="32">
        <v>536294.39310467569</v>
      </c>
      <c r="J68" s="32">
        <v>847210.66847568424</v>
      </c>
      <c r="K68" s="32">
        <v>1030769.7786653778</v>
      </c>
      <c r="L68" s="32">
        <v>1485117.5683667934</v>
      </c>
      <c r="M68" s="32">
        <v>207453.23476476036</v>
      </c>
      <c r="N68" s="16"/>
      <c r="O68" s="6"/>
    </row>
    <row r="69" spans="1:16">
      <c r="A69" s="13" t="s">
        <v>65</v>
      </c>
      <c r="B69" s="12">
        <v>10066787.80069958</v>
      </c>
      <c r="C69" s="12">
        <v>10474885.82712047</v>
      </c>
      <c r="D69" s="12">
        <v>11546728.467384296</v>
      </c>
      <c r="E69" s="12">
        <v>11992721.928639133</v>
      </c>
      <c r="F69" s="12">
        <v>11726972.321587943</v>
      </c>
      <c r="G69" s="12">
        <v>11337269.706012141</v>
      </c>
      <c r="H69" s="12">
        <v>11322908.797641888</v>
      </c>
      <c r="I69" s="12">
        <v>11526789.393104676</v>
      </c>
      <c r="J69" s="12">
        <v>11837705.668475684</v>
      </c>
      <c r="K69" s="12">
        <v>12021264.778665379</v>
      </c>
      <c r="L69" s="12">
        <v>12475612.568366794</v>
      </c>
      <c r="M69" s="12">
        <v>11197948.23476476</v>
      </c>
      <c r="N69" s="12"/>
      <c r="O69" s="6"/>
    </row>
    <row r="70" spans="1:16">
      <c r="A70" s="6"/>
      <c r="B70" s="6"/>
      <c r="C70" s="6"/>
      <c r="D70" s="6"/>
      <c r="E70" s="6"/>
      <c r="F70" s="6"/>
      <c r="H70" s="6"/>
      <c r="I70" s="6"/>
      <c r="J70" s="6"/>
      <c r="K70" s="6"/>
      <c r="L70" s="6"/>
      <c r="M70" s="6"/>
      <c r="N70" s="6"/>
      <c r="O70" s="6"/>
    </row>
    <row r="71" spans="1:16">
      <c r="A71" s="24" t="s">
        <v>68</v>
      </c>
      <c r="B71" s="18"/>
      <c r="C71" s="18"/>
      <c r="D71" s="18"/>
      <c r="E71" s="18"/>
      <c r="F71" s="18"/>
      <c r="G71" s="18"/>
      <c r="H71" s="18"/>
      <c r="I71" s="18"/>
      <c r="J71" s="18"/>
      <c r="K71" s="18"/>
      <c r="L71" s="18"/>
      <c r="M71" s="18"/>
      <c r="N71" s="18"/>
      <c r="O71" s="6"/>
    </row>
    <row r="72" spans="1:16">
      <c r="A72" s="13" t="s">
        <v>63</v>
      </c>
      <c r="B72" s="16">
        <f t="shared" ref="B72:N74" si="18">+B62-B67</f>
        <v>401212.86596708721</v>
      </c>
      <c r="C72" s="16">
        <f t="shared" si="18"/>
        <v>-341053.35975422431</v>
      </c>
      <c r="D72" s="16">
        <f t="shared" si="18"/>
        <v>0</v>
      </c>
      <c r="E72" s="16">
        <f t="shared" si="18"/>
        <v>0</v>
      </c>
      <c r="F72" s="16">
        <f t="shared" si="18"/>
        <v>0</v>
      </c>
      <c r="G72" s="16">
        <f t="shared" si="18"/>
        <v>0</v>
      </c>
      <c r="H72" s="16">
        <f t="shared" si="18"/>
        <v>0</v>
      </c>
      <c r="I72" s="16">
        <f t="shared" si="18"/>
        <v>0</v>
      </c>
      <c r="J72" s="16">
        <f t="shared" si="18"/>
        <v>0</v>
      </c>
      <c r="K72" s="16">
        <f t="shared" si="18"/>
        <v>0</v>
      </c>
      <c r="L72" s="16">
        <f t="shared" si="18"/>
        <v>0</v>
      </c>
      <c r="M72" s="16">
        <f t="shared" si="18"/>
        <v>0</v>
      </c>
      <c r="N72" s="6"/>
      <c r="O72" s="6"/>
      <c r="P72" s="16">
        <f>+N62-N67</f>
        <v>273637.79431095719</v>
      </c>
    </row>
    <row r="73" spans="1:16" s="6" customFormat="1">
      <c r="A73" s="13" t="s">
        <v>64</v>
      </c>
      <c r="B73" s="16">
        <f t="shared" si="18"/>
        <v>401212.86596708721</v>
      </c>
      <c r="C73" s="16">
        <f t="shared" si="18"/>
        <v>60159.506212862907</v>
      </c>
      <c r="D73" s="16">
        <f t="shared" si="18"/>
        <v>60159.506212862907</v>
      </c>
      <c r="E73" s="16">
        <f t="shared" si="18"/>
        <v>60159.506212862907</v>
      </c>
      <c r="F73" s="16">
        <f t="shared" si="18"/>
        <v>60159.506212862907</v>
      </c>
      <c r="G73" s="16">
        <f t="shared" si="18"/>
        <v>60159.506212862907</v>
      </c>
      <c r="H73" s="16">
        <f t="shared" si="18"/>
        <v>60159.506212862907</v>
      </c>
      <c r="I73" s="16">
        <f t="shared" si="18"/>
        <v>60159.506212862907</v>
      </c>
      <c r="J73" s="16">
        <f t="shared" si="18"/>
        <v>60159.506212862907</v>
      </c>
      <c r="K73" s="16">
        <f t="shared" si="18"/>
        <v>60159.506212862907</v>
      </c>
      <c r="L73" s="16">
        <f t="shared" si="18"/>
        <v>60159.506212862907</v>
      </c>
      <c r="M73" s="16">
        <f t="shared" si="18"/>
        <v>60159.506212862907</v>
      </c>
      <c r="N73" s="16">
        <f t="shared" si="18"/>
        <v>0</v>
      </c>
    </row>
    <row r="74" spans="1:16">
      <c r="A74" s="1" t="s">
        <v>65</v>
      </c>
      <c r="B74" s="16">
        <f t="shared" si="18"/>
        <v>401212.86596708558</v>
      </c>
      <c r="C74" s="16">
        <f t="shared" si="18"/>
        <v>60159.506212862208</v>
      </c>
      <c r="D74" s="16">
        <f t="shared" si="18"/>
        <v>60159.506212864071</v>
      </c>
      <c r="E74" s="16">
        <f t="shared" si="18"/>
        <v>60159.506212862208</v>
      </c>
      <c r="F74" s="16">
        <f t="shared" si="18"/>
        <v>60159.506212864071</v>
      </c>
      <c r="G74" s="16">
        <f t="shared" si="18"/>
        <v>60159.506212862208</v>
      </c>
      <c r="H74" s="16">
        <f t="shared" si="18"/>
        <v>60159.506212862208</v>
      </c>
      <c r="I74" s="16">
        <f t="shared" si="18"/>
        <v>60159.506212862208</v>
      </c>
      <c r="J74" s="16">
        <f t="shared" si="18"/>
        <v>60159.506212864071</v>
      </c>
      <c r="K74" s="16">
        <f t="shared" si="18"/>
        <v>60159.506212862208</v>
      </c>
      <c r="L74" s="16">
        <f t="shared" si="18"/>
        <v>60159.506212862208</v>
      </c>
      <c r="M74" s="16">
        <f t="shared" si="18"/>
        <v>60159.506212862208</v>
      </c>
      <c r="N74" s="16"/>
      <c r="O74" s="6"/>
    </row>
    <row r="75" spans="1:16">
      <c r="B75" s="6"/>
      <c r="C75" s="6"/>
      <c r="D75" s="6"/>
      <c r="E75" s="6"/>
      <c r="F75" s="6"/>
      <c r="H75" s="6"/>
      <c r="I75" s="6"/>
      <c r="J75" s="6"/>
      <c r="K75" s="6"/>
      <c r="L75" s="6"/>
      <c r="M75" s="6"/>
      <c r="N75" s="6"/>
    </row>
    <row r="76" spans="1:16">
      <c r="A76" s="1"/>
      <c r="B76" s="4"/>
      <c r="C76" s="8"/>
      <c r="D76" s="8"/>
      <c r="E76" s="8"/>
      <c r="F76" s="8"/>
      <c r="H76" s="20"/>
      <c r="J76" s="6"/>
      <c r="K76" s="6"/>
    </row>
    <row r="77" spans="1:16">
      <c r="A77" s="1"/>
      <c r="B77" s="4"/>
      <c r="C77" s="8"/>
      <c r="D77" s="8"/>
      <c r="E77" s="8"/>
      <c r="F77" s="8"/>
      <c r="H77" s="20"/>
      <c r="J77" s="6"/>
    </row>
    <row r="78" spans="1:16">
      <c r="A78" s="1"/>
      <c r="B78" s="4"/>
      <c r="D78" s="8"/>
      <c r="E78" s="8"/>
      <c r="F78" s="8"/>
      <c r="H78" s="61"/>
      <c r="J78" s="6"/>
    </row>
    <row r="79" spans="1:16">
      <c r="E79" s="6"/>
      <c r="H79" s="20"/>
      <c r="J79" s="6"/>
      <c r="N79" s="25"/>
    </row>
    <row r="80" spans="1:16">
      <c r="A80" t="s">
        <v>69</v>
      </c>
      <c r="B80" t="s">
        <v>69</v>
      </c>
      <c r="C80" t="s">
        <v>69</v>
      </c>
      <c r="D80" t="s">
        <v>69</v>
      </c>
      <c r="E80" s="6" t="s">
        <v>69</v>
      </c>
      <c r="F80" t="s">
        <v>69</v>
      </c>
      <c r="G80" s="6" t="s">
        <v>69</v>
      </c>
      <c r="H80" t="s">
        <v>69</v>
      </c>
      <c r="I80" t="s">
        <v>69</v>
      </c>
      <c r="J80" s="6" t="s">
        <v>69</v>
      </c>
      <c r="K80" t="s">
        <v>69</v>
      </c>
      <c r="L80" t="s">
        <v>69</v>
      </c>
      <c r="M80" t="s">
        <v>69</v>
      </c>
      <c r="N80" t="s">
        <v>69</v>
      </c>
    </row>
    <row r="81" spans="1:14">
      <c r="E81" s="6"/>
      <c r="J81" s="6"/>
    </row>
    <row r="82" spans="1:14">
      <c r="A82" s="33" t="s">
        <v>70</v>
      </c>
      <c r="B82" s="47">
        <v>0</v>
      </c>
      <c r="C82" s="47">
        <v>101000</v>
      </c>
      <c r="D82" s="47">
        <v>23668</v>
      </c>
      <c r="E82" s="47">
        <v>80000</v>
      </c>
      <c r="F82" s="47">
        <v>184679</v>
      </c>
      <c r="G82" s="10">
        <v>42500</v>
      </c>
      <c r="H82" s="54">
        <v>97000</v>
      </c>
      <c r="I82" s="47">
        <v>5000</v>
      </c>
      <c r="J82" s="47">
        <v>0</v>
      </c>
      <c r="K82" s="47">
        <v>185000</v>
      </c>
      <c r="L82" s="47">
        <v>0</v>
      </c>
      <c r="M82" s="47">
        <v>175000</v>
      </c>
      <c r="N82" s="7">
        <f>SUM(B82:M82)</f>
        <v>893847</v>
      </c>
    </row>
    <row r="83" spans="1:14">
      <c r="A83" s="33" t="s">
        <v>71</v>
      </c>
      <c r="B83" s="2">
        <f>+B82</f>
        <v>0</v>
      </c>
      <c r="C83" s="2">
        <f>+B83+C82</f>
        <v>101000</v>
      </c>
      <c r="D83" s="2">
        <f t="shared" ref="D83:M83" si="19">+C83+D82</f>
        <v>124668</v>
      </c>
      <c r="E83" s="7">
        <f t="shared" si="19"/>
        <v>204668</v>
      </c>
      <c r="F83" s="2">
        <f t="shared" si="19"/>
        <v>389347</v>
      </c>
      <c r="G83" s="7">
        <f t="shared" si="19"/>
        <v>431847</v>
      </c>
      <c r="H83" s="2">
        <f t="shared" si="19"/>
        <v>528847</v>
      </c>
      <c r="I83" s="2">
        <f t="shared" si="19"/>
        <v>533847</v>
      </c>
      <c r="J83" s="7">
        <f t="shared" si="19"/>
        <v>533847</v>
      </c>
      <c r="K83" s="2">
        <f t="shared" si="19"/>
        <v>718847</v>
      </c>
      <c r="L83" s="2">
        <f t="shared" si="19"/>
        <v>718847</v>
      </c>
      <c r="M83" s="2">
        <f t="shared" si="19"/>
        <v>893847</v>
      </c>
    </row>
    <row r="84" spans="1:14">
      <c r="A84" s="33" t="s">
        <v>72</v>
      </c>
      <c r="B84" s="7">
        <f>+B53</f>
        <v>24982</v>
      </c>
      <c r="C84" s="7">
        <f>SUM($B53:C53)</f>
        <v>383444</v>
      </c>
      <c r="D84" s="7">
        <f>SUM($B53:D53)</f>
        <v>393444</v>
      </c>
      <c r="E84" s="7">
        <f>SUM($B53:E53)</f>
        <v>437799</v>
      </c>
      <c r="F84" s="7">
        <f>SUM($B53:F53)</f>
        <v>624639</v>
      </c>
      <c r="G84" s="7">
        <f>SUM($B53:G53)</f>
        <v>826639</v>
      </c>
      <c r="H84" s="7">
        <f>SUM(B53:H53)</f>
        <v>1023639</v>
      </c>
      <c r="I84" s="7">
        <f>SUM(B53:I53)</f>
        <v>1165639</v>
      </c>
      <c r="J84" s="7">
        <f>SUM(B53:J53)</f>
        <v>1284639</v>
      </c>
      <c r="K84" s="7">
        <f>SUM(B53:K53)</f>
        <v>1284639</v>
      </c>
      <c r="L84" s="7">
        <f>SUM(B53:L53)</f>
        <v>1284639</v>
      </c>
      <c r="M84" s="7">
        <f>SUM(B53:M53)</f>
        <v>1739639</v>
      </c>
    </row>
    <row r="85" spans="1:14">
      <c r="A85" s="33" t="s">
        <v>73</v>
      </c>
      <c r="B85" s="7">
        <f t="shared" ref="B85:G85" si="20">+B83-B84</f>
        <v>-24982</v>
      </c>
      <c r="C85" s="7">
        <f t="shared" si="20"/>
        <v>-282444</v>
      </c>
      <c r="D85" s="7">
        <f t="shared" si="20"/>
        <v>-268776</v>
      </c>
      <c r="E85" s="7">
        <f t="shared" si="20"/>
        <v>-233131</v>
      </c>
      <c r="F85" s="7">
        <f t="shared" si="20"/>
        <v>-235292</v>
      </c>
      <c r="G85" s="7">
        <f t="shared" si="20"/>
        <v>-394792</v>
      </c>
      <c r="H85" s="7">
        <f t="shared" ref="H85:M85" si="21">+H83-H84</f>
        <v>-494792</v>
      </c>
      <c r="I85" s="7">
        <f t="shared" si="21"/>
        <v>-631792</v>
      </c>
      <c r="J85" s="7">
        <f t="shared" si="21"/>
        <v>-750792</v>
      </c>
      <c r="K85" s="7">
        <f t="shared" si="21"/>
        <v>-565792</v>
      </c>
      <c r="L85" s="7">
        <f t="shared" si="21"/>
        <v>-565792</v>
      </c>
      <c r="M85" s="7">
        <f t="shared" si="21"/>
        <v>-845792</v>
      </c>
    </row>
    <row r="86" spans="1:14">
      <c r="J86" s="6"/>
      <c r="K86" s="6"/>
    </row>
    <row r="87" spans="1:14">
      <c r="A87" t="s">
        <v>74</v>
      </c>
      <c r="B87" s="35">
        <f>-B56-B57</f>
        <v>288499</v>
      </c>
      <c r="C87" s="35">
        <f t="shared" ref="C87:N87" si="22">-C56-C57</f>
        <v>35937</v>
      </c>
      <c r="D87" s="35">
        <f t="shared" si="22"/>
        <v>33000</v>
      </c>
      <c r="E87" s="35">
        <f t="shared" si="22"/>
        <v>33000</v>
      </c>
      <c r="F87" s="35">
        <f t="shared" si="22"/>
        <v>33000</v>
      </c>
      <c r="G87" s="40">
        <f t="shared" si="22"/>
        <v>33000</v>
      </c>
      <c r="H87" s="35">
        <f t="shared" si="22"/>
        <v>33000</v>
      </c>
      <c r="I87" s="35">
        <f t="shared" si="22"/>
        <v>33000</v>
      </c>
      <c r="J87" s="35">
        <f t="shared" si="22"/>
        <v>34000</v>
      </c>
      <c r="K87" s="40">
        <f t="shared" si="22"/>
        <v>34000</v>
      </c>
      <c r="L87" s="35">
        <f t="shared" si="22"/>
        <v>34000</v>
      </c>
      <c r="M87" s="35">
        <f t="shared" si="22"/>
        <v>34000</v>
      </c>
      <c r="N87" s="35">
        <f t="shared" si="22"/>
        <v>658436</v>
      </c>
    </row>
    <row r="88" spans="1:14">
      <c r="C88" s="35">
        <f>+B87+C87</f>
        <v>324436</v>
      </c>
      <c r="D88" s="35">
        <f>+C88+D87</f>
        <v>357436</v>
      </c>
      <c r="E88" s="35">
        <f t="shared" ref="E88:M88" si="23">+D88+E87</f>
        <v>390436</v>
      </c>
      <c r="F88" s="35">
        <f t="shared" si="23"/>
        <v>423436</v>
      </c>
      <c r="G88" s="40">
        <f t="shared" si="23"/>
        <v>456436</v>
      </c>
      <c r="H88" s="35">
        <f t="shared" si="23"/>
        <v>489436</v>
      </c>
      <c r="I88" s="40">
        <f t="shared" si="23"/>
        <v>522436</v>
      </c>
      <c r="J88" s="40">
        <f t="shared" si="23"/>
        <v>556436</v>
      </c>
      <c r="K88" s="40">
        <f t="shared" si="23"/>
        <v>590436</v>
      </c>
      <c r="L88" s="35">
        <f t="shared" si="23"/>
        <v>624436</v>
      </c>
      <c r="M88" s="35">
        <f t="shared" si="23"/>
        <v>658436</v>
      </c>
    </row>
    <row r="89" spans="1:14">
      <c r="K89" s="6"/>
    </row>
    <row r="91" spans="1:14">
      <c r="B91" s="6"/>
      <c r="C91" s="6"/>
      <c r="D91" s="6"/>
      <c r="E91" s="6"/>
    </row>
    <row r="92" spans="1:14">
      <c r="B92" s="21">
        <v>48198</v>
      </c>
      <c r="C92" s="21">
        <v>109945</v>
      </c>
      <c r="D92" s="36">
        <v>126000</v>
      </c>
      <c r="E92" s="6">
        <v>7681</v>
      </c>
      <c r="F92">
        <v>52000</v>
      </c>
      <c r="G92" s="6">
        <v>207419</v>
      </c>
      <c r="H92">
        <v>18000</v>
      </c>
      <c r="I92">
        <v>25000</v>
      </c>
      <c r="J92">
        <v>42000</v>
      </c>
      <c r="K92">
        <v>0</v>
      </c>
      <c r="L92">
        <v>0</v>
      </c>
      <c r="M92">
        <v>150000</v>
      </c>
      <c r="N92">
        <v>786243</v>
      </c>
    </row>
    <row r="93" spans="1:14">
      <c r="B93" s="37"/>
      <c r="C93" s="38"/>
      <c r="D93" s="6"/>
      <c r="E93" s="6"/>
    </row>
    <row r="94" spans="1:14">
      <c r="B94" s="6"/>
      <c r="C94" s="6"/>
      <c r="D94" s="6"/>
      <c r="E94" s="6"/>
    </row>
    <row r="95" spans="1:14">
      <c r="B95" s="6"/>
      <c r="C95" s="6"/>
      <c r="D95" s="21"/>
      <c r="E95" s="6"/>
    </row>
    <row r="96" spans="1:14">
      <c r="B96" s="6"/>
      <c r="C96" s="6"/>
      <c r="D96" s="6"/>
      <c r="E96" s="6"/>
    </row>
    <row r="97" spans="2:5">
      <c r="B97" s="6"/>
      <c r="C97" s="6"/>
      <c r="D97" s="6"/>
      <c r="E97" s="6"/>
    </row>
    <row r="98" spans="2:5">
      <c r="B98" s="6"/>
      <c r="C98" s="6"/>
      <c r="D98" s="6"/>
      <c r="E98" s="6"/>
    </row>
    <row r="99" spans="2:5">
      <c r="B99" s="6"/>
      <c r="C99" s="6"/>
      <c r="D99" s="34"/>
      <c r="E99" s="6"/>
    </row>
    <row r="100" spans="2:5">
      <c r="B100" s="6"/>
      <c r="C100" s="6"/>
      <c r="D100" s="6"/>
      <c r="E100" s="6"/>
    </row>
    <row r="101" spans="2:5">
      <c r="B101" s="6"/>
      <c r="C101" s="6"/>
      <c r="D101" s="6"/>
      <c r="E101" s="6"/>
    </row>
  </sheetData>
  <pageMargins left="0.28000000000000003" right="0.25" top="0.99" bottom="0.75" header="0.63" footer="0.23"/>
  <pageSetup scale="67" orientation="landscape" r:id="rId1"/>
  <headerFooter alignWithMargins="0">
    <oddHeader xml:space="preserve">&amp;C&amp;"Arial,Bold"&amp;11 49ER SHOPS, INC.
&amp;UFY2016/2017 OPERATIONAL CASH FLOW </oddHeader>
    <oddFooter>&amp;CCash Flow - FY2016/2017
August 2016</oddFooter>
  </headerFooter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FF00"/>
    <pageSetUpPr fitToPage="1"/>
  </sheetPr>
  <dimension ref="A1:AR101"/>
  <sheetViews>
    <sheetView showGridLines="0" workbookViewId="0">
      <pane xSplit="1" ySplit="3" topLeftCell="B4" activePane="bottomRight" state="frozen"/>
      <selection pane="topRight" activeCell="B72" sqref="B72"/>
      <selection pane="bottomLeft" activeCell="B72" sqref="B72"/>
      <selection pane="bottomRight" activeCell="D60" sqref="D60"/>
    </sheetView>
  </sheetViews>
  <sheetFormatPr defaultRowHeight="12.75"/>
  <cols>
    <col min="1" max="1" width="35.42578125" customWidth="1"/>
    <col min="2" max="2" width="14" customWidth="1"/>
    <col min="3" max="3" width="12.5703125" customWidth="1"/>
    <col min="4" max="4" width="12.140625" customWidth="1"/>
    <col min="5" max="5" width="13.5703125" customWidth="1"/>
    <col min="6" max="6" width="12.85546875" customWidth="1"/>
    <col min="7" max="7" width="12.5703125" style="6" customWidth="1"/>
    <col min="8" max="9" width="12.85546875" customWidth="1"/>
    <col min="10" max="11" width="12.140625" customWidth="1"/>
    <col min="12" max="13" width="12.85546875" customWidth="1"/>
    <col min="14" max="14" width="12.85546875" bestFit="1" customWidth="1"/>
    <col min="15" max="15" width="10.140625" bestFit="1" customWidth="1"/>
    <col min="16" max="16" width="13.140625" bestFit="1" customWidth="1"/>
  </cols>
  <sheetData>
    <row r="1" spans="1:15" ht="13.5" thickBot="1">
      <c r="A1" s="46" t="s">
        <v>82</v>
      </c>
      <c r="E1" s="6"/>
      <c r="F1" s="6"/>
      <c r="J1" s="6"/>
      <c r="K1" s="6"/>
      <c r="N1" s="3"/>
    </row>
    <row r="2" spans="1:15">
      <c r="B2" s="45" t="s">
        <v>24</v>
      </c>
      <c r="C2" s="45" t="s">
        <v>24</v>
      </c>
      <c r="D2" s="45" t="s">
        <v>24</v>
      </c>
      <c r="E2" s="45" t="s">
        <v>76</v>
      </c>
      <c r="F2" s="45" t="s">
        <v>76</v>
      </c>
      <c r="G2" s="45" t="s">
        <v>76</v>
      </c>
      <c r="H2" s="45" t="s">
        <v>76</v>
      </c>
      <c r="I2" s="45" t="s">
        <v>76</v>
      </c>
      <c r="J2" s="45" t="s">
        <v>76</v>
      </c>
      <c r="K2" s="45" t="s">
        <v>76</v>
      </c>
      <c r="L2" s="45" t="s">
        <v>76</v>
      </c>
      <c r="M2" s="45" t="s">
        <v>76</v>
      </c>
      <c r="N2" s="55" t="s">
        <v>25</v>
      </c>
    </row>
    <row r="3" spans="1:15" s="5" customFormat="1">
      <c r="B3" s="11">
        <v>42553</v>
      </c>
      <c r="C3" s="11">
        <v>42584</v>
      </c>
      <c r="D3" s="11">
        <v>42615</v>
      </c>
      <c r="E3" s="11">
        <v>42645</v>
      </c>
      <c r="F3" s="11">
        <v>42676</v>
      </c>
      <c r="G3" s="11">
        <v>42706</v>
      </c>
      <c r="H3" s="11">
        <v>42737</v>
      </c>
      <c r="I3" s="11">
        <v>42768</v>
      </c>
      <c r="J3" s="11">
        <v>42796</v>
      </c>
      <c r="K3" s="11">
        <v>42827</v>
      </c>
      <c r="L3" s="11">
        <v>42857</v>
      </c>
      <c r="M3" s="11">
        <v>42888</v>
      </c>
      <c r="N3" s="57" t="s">
        <v>77</v>
      </c>
    </row>
    <row r="4" spans="1:15" hidden="1">
      <c r="A4" s="1" t="s">
        <v>27</v>
      </c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>
        <f>SUM(B4:M4)</f>
        <v>0</v>
      </c>
      <c r="O4" s="6"/>
    </row>
    <row r="5" spans="1:15" s="6" customFormat="1" hidden="1">
      <c r="A5" s="6" t="s">
        <v>28</v>
      </c>
      <c r="B5" s="53">
        <v>1199482</v>
      </c>
      <c r="C5" s="53">
        <v>4828670</v>
      </c>
      <c r="D5" s="53">
        <v>3749028</v>
      </c>
      <c r="E5" s="53">
        <v>3550580.4606545898</v>
      </c>
      <c r="F5" s="53">
        <v>2491408.6501843799</v>
      </c>
      <c r="G5" s="53">
        <v>2443225.8391503901</v>
      </c>
      <c r="H5" s="53">
        <v>4392028.1440046299</v>
      </c>
      <c r="I5" s="53">
        <v>3229385.12840016</v>
      </c>
      <c r="J5" s="53">
        <v>3101264.61223314</v>
      </c>
      <c r="K5" s="53">
        <v>2861289.1218165602</v>
      </c>
      <c r="L5" s="53">
        <v>2884558.9345671199</v>
      </c>
      <c r="M5" s="53">
        <v>1536863.9470107399</v>
      </c>
      <c r="N5" s="12">
        <f>SUM(B5:M5)</f>
        <v>36267784.838021711</v>
      </c>
    </row>
    <row r="6" spans="1:15" s="6" customFormat="1" hidden="1">
      <c r="A6" s="6" t="s">
        <v>29</v>
      </c>
      <c r="B6" s="53">
        <v>54104</v>
      </c>
      <c r="C6" s="53">
        <v>50888</v>
      </c>
      <c r="D6" s="53">
        <v>47975</v>
      </c>
      <c r="E6" s="53">
        <v>142644.5744343327</v>
      </c>
      <c r="F6" s="53">
        <v>68608.629526434102</v>
      </c>
      <c r="G6" s="53">
        <v>80537.490202171612</v>
      </c>
      <c r="H6" s="53">
        <v>93715.085794590996</v>
      </c>
      <c r="I6" s="53">
        <v>76173.313860300201</v>
      </c>
      <c r="J6" s="53">
        <v>194949.6852683014</v>
      </c>
      <c r="K6" s="53">
        <v>107775.7156534557</v>
      </c>
      <c r="L6" s="53">
        <v>303701.34733729798</v>
      </c>
      <c r="M6" s="53">
        <v>46075.731999999996</v>
      </c>
      <c r="N6" s="7">
        <f>SUM(B6:M6)</f>
        <v>1267148.5740768847</v>
      </c>
    </row>
    <row r="7" spans="1:15" s="6" customFormat="1" hidden="1">
      <c r="B7" s="7"/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7">
        <f>SUM(B7:M7)</f>
        <v>0</v>
      </c>
    </row>
    <row r="8" spans="1:15" s="6" customFormat="1" hidden="1">
      <c r="B8" s="15"/>
      <c r="C8" s="15"/>
      <c r="D8" s="15"/>
      <c r="E8" s="15"/>
      <c r="F8" s="15"/>
      <c r="G8" s="15"/>
      <c r="H8" s="15"/>
      <c r="I8" s="15"/>
      <c r="J8" s="15"/>
      <c r="K8" s="15"/>
      <c r="L8" s="15"/>
      <c r="M8" s="15"/>
      <c r="N8" s="15">
        <f>SUM(B8:M8)</f>
        <v>0</v>
      </c>
    </row>
    <row r="9" spans="1:15" s="6" customFormat="1">
      <c r="A9" s="13" t="s">
        <v>30</v>
      </c>
      <c r="B9" s="12">
        <f t="shared" ref="B9:N9" si="0">SUM(B5:B8)</f>
        <v>1253586</v>
      </c>
      <c r="C9" s="12">
        <f t="shared" si="0"/>
        <v>4879558</v>
      </c>
      <c r="D9" s="12">
        <f t="shared" si="0"/>
        <v>3797003</v>
      </c>
      <c r="E9" s="12">
        <f t="shared" si="0"/>
        <v>3693225.0350889224</v>
      </c>
      <c r="F9" s="12">
        <f t="shared" si="0"/>
        <v>2560017.2797108139</v>
      </c>
      <c r="G9" s="12">
        <f t="shared" si="0"/>
        <v>2523763.3293525619</v>
      </c>
      <c r="H9" s="12">
        <f t="shared" si="0"/>
        <v>4485743.2297992213</v>
      </c>
      <c r="I9" s="12">
        <f t="shared" si="0"/>
        <v>3305558.44226046</v>
      </c>
      <c r="J9" s="12">
        <f t="shared" si="0"/>
        <v>3296214.2975014416</v>
      </c>
      <c r="K9" s="12">
        <f t="shared" si="0"/>
        <v>2969064.837470016</v>
      </c>
      <c r="L9" s="12">
        <f t="shared" si="0"/>
        <v>3188260.281904418</v>
      </c>
      <c r="M9" s="12">
        <f t="shared" si="0"/>
        <v>1582939.67901074</v>
      </c>
      <c r="N9" s="12">
        <f t="shared" si="0"/>
        <v>37534933.412098594</v>
      </c>
    </row>
    <row r="10" spans="1:15" s="6" customFormat="1" ht="6.75" customHeight="1"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</row>
    <row r="11" spans="1:15" s="6" customFormat="1">
      <c r="A11" s="13" t="s">
        <v>31</v>
      </c>
      <c r="B11" s="7">
        <v>7663</v>
      </c>
      <c r="C11" s="7">
        <v>2297</v>
      </c>
      <c r="D11" s="7">
        <v>6582</v>
      </c>
      <c r="E11" s="7"/>
      <c r="F11" s="7"/>
      <c r="G11" s="7"/>
      <c r="H11" s="7"/>
      <c r="I11" s="7"/>
      <c r="J11" s="7"/>
      <c r="K11" s="7"/>
      <c r="L11" s="7"/>
      <c r="M11" s="7"/>
      <c r="N11" s="7">
        <f>SUM(B11:M11)</f>
        <v>16542</v>
      </c>
    </row>
    <row r="12" spans="1:15" s="6" customFormat="1" ht="7.5" customHeight="1">
      <c r="B12" s="7"/>
      <c r="C12" s="7"/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</row>
    <row r="13" spans="1:15" s="6" customFormat="1" ht="13.5" thickBot="1">
      <c r="A13" s="13" t="s">
        <v>32</v>
      </c>
      <c r="B13" s="14">
        <f t="shared" ref="B13:N13" si="1">B9+B11</f>
        <v>1261249</v>
      </c>
      <c r="C13" s="14">
        <f>C9+C11</f>
        <v>4881855</v>
      </c>
      <c r="D13" s="14">
        <f t="shared" si="1"/>
        <v>3803585</v>
      </c>
      <c r="E13" s="14">
        <f t="shared" si="1"/>
        <v>3693225.0350889224</v>
      </c>
      <c r="F13" s="14">
        <f t="shared" si="1"/>
        <v>2560017.2797108139</v>
      </c>
      <c r="G13" s="14">
        <f t="shared" si="1"/>
        <v>2523763.3293525619</v>
      </c>
      <c r="H13" s="14">
        <f t="shared" si="1"/>
        <v>4485743.2297992213</v>
      </c>
      <c r="I13" s="14">
        <f t="shared" si="1"/>
        <v>3305558.44226046</v>
      </c>
      <c r="J13" s="14">
        <f t="shared" si="1"/>
        <v>3296214.2975014416</v>
      </c>
      <c r="K13" s="14">
        <f t="shared" si="1"/>
        <v>2969064.837470016</v>
      </c>
      <c r="L13" s="14">
        <f t="shared" si="1"/>
        <v>3188260.281904418</v>
      </c>
      <c r="M13" s="14">
        <f t="shared" si="1"/>
        <v>1582939.67901074</v>
      </c>
      <c r="N13" s="14">
        <f t="shared" si="1"/>
        <v>37551475.412098594</v>
      </c>
    </row>
    <row r="14" spans="1:15" s="6" customFormat="1" ht="13.5" thickTop="1">
      <c r="B14" s="7"/>
      <c r="C14" s="7"/>
      <c r="D14" s="7"/>
      <c r="E14" s="7"/>
      <c r="F14" s="7"/>
      <c r="G14" s="7"/>
      <c r="H14" s="7"/>
      <c r="I14" s="7"/>
      <c r="J14" s="7"/>
      <c r="K14" s="7"/>
      <c r="L14" s="7"/>
      <c r="M14" s="7"/>
    </row>
    <row r="15" spans="1:15" s="6" customFormat="1" hidden="1">
      <c r="A15" s="13" t="s">
        <v>33</v>
      </c>
      <c r="B15" s="7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</row>
    <row r="16" spans="1:15" s="6" customFormat="1" hidden="1">
      <c r="A16" s="6" t="s">
        <v>34</v>
      </c>
      <c r="B16" s="53">
        <v>620285</v>
      </c>
      <c r="C16" s="53">
        <v>2968543</v>
      </c>
      <c r="D16" s="53">
        <v>1627085</v>
      </c>
      <c r="E16" s="53">
        <v>1339199.27059646</v>
      </c>
      <c r="F16" s="53">
        <v>920442.29592504795</v>
      </c>
      <c r="G16" s="53">
        <v>994515.62781412899</v>
      </c>
      <c r="H16" s="53">
        <v>2724198.5675140698</v>
      </c>
      <c r="I16" s="53">
        <v>1309498.16154439</v>
      </c>
      <c r="J16" s="53">
        <v>1146427.91045744</v>
      </c>
      <c r="K16" s="53">
        <v>1014457.82475312</v>
      </c>
      <c r="L16" s="53">
        <v>1202846.3247627199</v>
      </c>
      <c r="M16" s="53">
        <v>808585.32395320502</v>
      </c>
      <c r="N16" s="7">
        <f>SUM(B16:M16)</f>
        <v>16676084.307320582</v>
      </c>
    </row>
    <row r="17" spans="1:44" s="6" customFormat="1" hidden="1">
      <c r="B17" s="27"/>
      <c r="C17" s="27"/>
      <c r="D17" s="27"/>
      <c r="E17" s="27"/>
      <c r="F17" s="27"/>
      <c r="G17" s="27"/>
      <c r="H17" s="27"/>
      <c r="I17" s="27"/>
      <c r="J17" s="27"/>
      <c r="K17" s="27"/>
      <c r="L17" s="27"/>
      <c r="M17" s="27"/>
      <c r="N17" s="7">
        <f>SUM(B17:M17)</f>
        <v>0</v>
      </c>
    </row>
    <row r="18" spans="1:44" s="6" customFormat="1" hidden="1">
      <c r="B18" s="7"/>
      <c r="C18" s="7"/>
      <c r="D18" s="7"/>
      <c r="E18" s="7"/>
      <c r="F18" s="7"/>
      <c r="G18" s="7"/>
      <c r="H18" s="7"/>
      <c r="I18" s="7"/>
      <c r="J18" s="7"/>
      <c r="K18" s="7"/>
      <c r="L18" s="7"/>
      <c r="M18" s="7"/>
      <c r="N18" s="7">
        <v>0</v>
      </c>
    </row>
    <row r="19" spans="1:44" s="6" customFormat="1" hidden="1">
      <c r="B19" s="15"/>
      <c r="C19" s="15"/>
      <c r="D19" s="15"/>
      <c r="E19" s="15"/>
      <c r="F19" s="15"/>
      <c r="G19" s="15"/>
      <c r="H19" s="15"/>
      <c r="I19" s="15"/>
      <c r="J19" s="15"/>
      <c r="K19" s="15"/>
      <c r="L19" s="15"/>
      <c r="M19" s="15"/>
      <c r="N19" s="15">
        <f>SUM(B19:M19)</f>
        <v>0</v>
      </c>
    </row>
    <row r="20" spans="1:44" s="6" customFormat="1">
      <c r="A20" s="13" t="s">
        <v>35</v>
      </c>
      <c r="B20" s="12">
        <f t="shared" ref="B20:N20" si="2">SUM(B16:B19)</f>
        <v>620285</v>
      </c>
      <c r="C20" s="12">
        <f t="shared" si="2"/>
        <v>2968543</v>
      </c>
      <c r="D20" s="12">
        <f t="shared" si="2"/>
        <v>1627085</v>
      </c>
      <c r="E20" s="12">
        <f t="shared" si="2"/>
        <v>1339199.27059646</v>
      </c>
      <c r="F20" s="12">
        <f t="shared" si="2"/>
        <v>920442.29592504795</v>
      </c>
      <c r="G20" s="12">
        <f t="shared" si="2"/>
        <v>994515.62781412899</v>
      </c>
      <c r="H20" s="12">
        <f t="shared" si="2"/>
        <v>2724198.5675140698</v>
      </c>
      <c r="I20" s="12">
        <f t="shared" si="2"/>
        <v>1309498.16154439</v>
      </c>
      <c r="J20" s="12">
        <f t="shared" si="2"/>
        <v>1146427.91045744</v>
      </c>
      <c r="K20" s="12">
        <f t="shared" si="2"/>
        <v>1014457.82475312</v>
      </c>
      <c r="L20" s="12">
        <f t="shared" si="2"/>
        <v>1202846.3247627199</v>
      </c>
      <c r="M20" s="12">
        <f t="shared" si="2"/>
        <v>808585.32395320502</v>
      </c>
      <c r="N20" s="12">
        <f t="shared" si="2"/>
        <v>16676084.307320582</v>
      </c>
    </row>
    <row r="21" spans="1:44" s="6" customFormat="1">
      <c r="B21" s="7"/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</row>
    <row r="22" spans="1:44" s="6" customFormat="1" hidden="1">
      <c r="A22" s="13" t="s">
        <v>36</v>
      </c>
      <c r="B22" s="7"/>
      <c r="C22" s="7"/>
      <c r="D22" s="7"/>
      <c r="E22" s="7"/>
      <c r="F22" s="7"/>
      <c r="G22" s="7"/>
      <c r="H22" s="7"/>
      <c r="I22" s="7"/>
      <c r="J22" s="7"/>
      <c r="K22" s="7"/>
      <c r="L22" s="7"/>
      <c r="M22" s="7"/>
    </row>
    <row r="23" spans="1:44" s="6" customFormat="1" hidden="1">
      <c r="A23" s="6" t="s">
        <v>37</v>
      </c>
      <c r="B23" s="7">
        <f t="shared" ref="B23:M26" si="3">+B5-B16</f>
        <v>579197</v>
      </c>
      <c r="C23" s="7">
        <f t="shared" si="3"/>
        <v>1860127</v>
      </c>
      <c r="D23" s="7">
        <f t="shared" si="3"/>
        <v>2121943</v>
      </c>
      <c r="E23" s="7">
        <f t="shared" si="3"/>
        <v>2211381.1900581298</v>
      </c>
      <c r="F23" s="7">
        <f t="shared" si="3"/>
        <v>1570966.3542593319</v>
      </c>
      <c r="G23" s="7">
        <f t="shared" si="3"/>
        <v>1448710.2113362611</v>
      </c>
      <c r="H23" s="7">
        <f t="shared" si="3"/>
        <v>1667829.5764905601</v>
      </c>
      <c r="I23" s="7">
        <f t="shared" si="3"/>
        <v>1919886.96685577</v>
      </c>
      <c r="J23" s="7">
        <f t="shared" si="3"/>
        <v>1954836.7017757001</v>
      </c>
      <c r="K23" s="7">
        <f t="shared" si="3"/>
        <v>1846831.2970634401</v>
      </c>
      <c r="L23" s="7">
        <f t="shared" si="3"/>
        <v>1681712.6098044</v>
      </c>
      <c r="M23" s="7">
        <f t="shared" si="3"/>
        <v>728278.62305753492</v>
      </c>
      <c r="N23" s="7">
        <f>SUM(B23:M23)</f>
        <v>19591700.530701131</v>
      </c>
    </row>
    <row r="24" spans="1:44" s="6" customFormat="1" hidden="1">
      <c r="A24" s="6" t="s">
        <v>37</v>
      </c>
      <c r="B24" s="7">
        <f t="shared" si="3"/>
        <v>54104</v>
      </c>
      <c r="C24" s="7">
        <f t="shared" si="3"/>
        <v>50888</v>
      </c>
      <c r="D24" s="7">
        <f t="shared" si="3"/>
        <v>47975</v>
      </c>
      <c r="E24" s="7">
        <f t="shared" si="3"/>
        <v>142644.5744343327</v>
      </c>
      <c r="F24" s="7">
        <f t="shared" si="3"/>
        <v>68608.629526434102</v>
      </c>
      <c r="G24" s="7">
        <f t="shared" si="3"/>
        <v>80537.490202171612</v>
      </c>
      <c r="H24" s="7">
        <f t="shared" si="3"/>
        <v>93715.085794590996</v>
      </c>
      <c r="I24" s="7">
        <f t="shared" si="3"/>
        <v>76173.313860300201</v>
      </c>
      <c r="J24" s="7">
        <f t="shared" si="3"/>
        <v>194949.6852683014</v>
      </c>
      <c r="K24" s="7">
        <f t="shared" si="3"/>
        <v>107775.7156534557</v>
      </c>
      <c r="L24" s="7">
        <f t="shared" si="3"/>
        <v>303701.34733729798</v>
      </c>
      <c r="M24" s="7">
        <f t="shared" si="3"/>
        <v>46075.731999999996</v>
      </c>
      <c r="N24" s="7">
        <f>SUM(B24:M24)</f>
        <v>1267148.5740768847</v>
      </c>
    </row>
    <row r="25" spans="1:44" s="6" customFormat="1" hidden="1">
      <c r="A25" s="6" t="s">
        <v>38</v>
      </c>
      <c r="B25" s="7">
        <f t="shared" si="3"/>
        <v>0</v>
      </c>
      <c r="C25" s="7">
        <f t="shared" si="3"/>
        <v>0</v>
      </c>
      <c r="D25" s="7">
        <f t="shared" si="3"/>
        <v>0</v>
      </c>
      <c r="E25" s="7">
        <f t="shared" si="3"/>
        <v>0</v>
      </c>
      <c r="F25" s="7">
        <f t="shared" si="3"/>
        <v>0</v>
      </c>
      <c r="G25" s="7">
        <f t="shared" si="3"/>
        <v>0</v>
      </c>
      <c r="H25" s="7">
        <f t="shared" si="3"/>
        <v>0</v>
      </c>
      <c r="I25" s="7">
        <f t="shared" si="3"/>
        <v>0</v>
      </c>
      <c r="J25" s="7">
        <f t="shared" si="3"/>
        <v>0</v>
      </c>
      <c r="K25" s="7">
        <f t="shared" si="3"/>
        <v>0</v>
      </c>
      <c r="L25" s="7">
        <f t="shared" si="3"/>
        <v>0</v>
      </c>
      <c r="M25" s="7">
        <f t="shared" si="3"/>
        <v>0</v>
      </c>
      <c r="N25" s="7">
        <f>SUM(B25:M25)</f>
        <v>0</v>
      </c>
    </row>
    <row r="26" spans="1:44" s="6" customFormat="1" hidden="1">
      <c r="A26" s="6" t="s">
        <v>38</v>
      </c>
      <c r="B26" s="15">
        <f t="shared" si="3"/>
        <v>0</v>
      </c>
      <c r="C26" s="15">
        <f t="shared" si="3"/>
        <v>0</v>
      </c>
      <c r="D26" s="15">
        <f t="shared" si="3"/>
        <v>0</v>
      </c>
      <c r="E26" s="15">
        <f t="shared" si="3"/>
        <v>0</v>
      </c>
      <c r="F26" s="15">
        <f t="shared" si="3"/>
        <v>0</v>
      </c>
      <c r="G26" s="15">
        <f t="shared" si="3"/>
        <v>0</v>
      </c>
      <c r="H26" s="15">
        <f t="shared" si="3"/>
        <v>0</v>
      </c>
      <c r="I26" s="15">
        <f t="shared" si="3"/>
        <v>0</v>
      </c>
      <c r="J26" s="15">
        <f t="shared" si="3"/>
        <v>0</v>
      </c>
      <c r="K26" s="15">
        <f t="shared" si="3"/>
        <v>0</v>
      </c>
      <c r="L26" s="15">
        <f t="shared" si="3"/>
        <v>0</v>
      </c>
      <c r="M26" s="15">
        <f t="shared" si="3"/>
        <v>0</v>
      </c>
      <c r="N26" s="15">
        <f>SUM(B26:M26)</f>
        <v>0</v>
      </c>
    </row>
    <row r="27" spans="1:44" s="6" customFormat="1">
      <c r="A27" s="13" t="s">
        <v>39</v>
      </c>
      <c r="B27" s="12">
        <f t="shared" ref="B27:N27" si="4">SUM(B23:B26)</f>
        <v>633301</v>
      </c>
      <c r="C27" s="12">
        <f t="shared" si="4"/>
        <v>1911015</v>
      </c>
      <c r="D27" s="12">
        <f t="shared" si="4"/>
        <v>2169918</v>
      </c>
      <c r="E27" s="12">
        <f t="shared" si="4"/>
        <v>2354025.7644924624</v>
      </c>
      <c r="F27" s="12">
        <f t="shared" si="4"/>
        <v>1639574.9837857659</v>
      </c>
      <c r="G27" s="12">
        <f t="shared" si="4"/>
        <v>1529247.7015384329</v>
      </c>
      <c r="H27" s="12">
        <f t="shared" si="4"/>
        <v>1761544.662285151</v>
      </c>
      <c r="I27" s="12">
        <f t="shared" si="4"/>
        <v>1996060.2807160702</v>
      </c>
      <c r="J27" s="12">
        <f t="shared" si="4"/>
        <v>2149786.3870440014</v>
      </c>
      <c r="K27" s="12">
        <f t="shared" si="4"/>
        <v>1954607.0127168959</v>
      </c>
      <c r="L27" s="12">
        <f t="shared" si="4"/>
        <v>1985413.9571416979</v>
      </c>
      <c r="M27" s="12">
        <f>SUM(M23:M26)</f>
        <v>774354.35505753488</v>
      </c>
      <c r="N27" s="12">
        <f t="shared" si="4"/>
        <v>20858849.104778014</v>
      </c>
    </row>
    <row r="28" spans="1:44" s="6" customFormat="1">
      <c r="B28" s="7"/>
      <c r="C28" s="7"/>
      <c r="D28" s="7"/>
      <c r="E28" s="7"/>
      <c r="F28" s="7"/>
      <c r="G28" s="7"/>
      <c r="H28" s="7"/>
      <c r="I28" s="7"/>
      <c r="J28" s="7"/>
      <c r="K28" s="7"/>
      <c r="L28" s="7"/>
      <c r="M28" s="7"/>
    </row>
    <row r="29" spans="1:44" s="6" customFormat="1" hidden="1">
      <c r="A29" s="13" t="s">
        <v>40</v>
      </c>
      <c r="B29" s="7"/>
      <c r="C29" s="7"/>
      <c r="D29" s="7"/>
      <c r="E29" s="7"/>
      <c r="F29" s="7"/>
      <c r="G29" s="7"/>
      <c r="H29" s="7"/>
      <c r="I29" s="7"/>
      <c r="J29" s="7"/>
      <c r="K29" s="7"/>
      <c r="L29" s="7"/>
      <c r="M29" s="7"/>
    </row>
    <row r="30" spans="1:44" s="6" customFormat="1" hidden="1">
      <c r="A30" s="6" t="s">
        <v>41</v>
      </c>
      <c r="B30" s="53">
        <v>392880</v>
      </c>
      <c r="C30" s="53">
        <v>559131</v>
      </c>
      <c r="D30" s="53">
        <v>664356</v>
      </c>
      <c r="E30" s="53">
        <v>759539.17956081894</v>
      </c>
      <c r="F30" s="53">
        <v>592548.56023265596</v>
      </c>
      <c r="G30" s="53">
        <v>571132.83865265502</v>
      </c>
      <c r="H30" s="53">
        <v>611166.92702081904</v>
      </c>
      <c r="I30" s="53">
        <v>664473.65115265595</v>
      </c>
      <c r="J30" s="53">
        <v>653848.24865265505</v>
      </c>
      <c r="K30" s="53">
        <v>727810.13162081898</v>
      </c>
      <c r="L30" s="53">
        <v>615430.25565265596</v>
      </c>
      <c r="M30" s="53">
        <v>456542.16991265502</v>
      </c>
      <c r="N30" s="7">
        <f>SUM(B30:M30)</f>
        <v>7268858.9624583889</v>
      </c>
    </row>
    <row r="31" spans="1:44" s="6" customFormat="1" hidden="1">
      <c r="A31" s="6" t="s">
        <v>42</v>
      </c>
      <c r="B31" s="53">
        <v>216187</v>
      </c>
      <c r="C31" s="53">
        <v>190413</v>
      </c>
      <c r="D31" s="53">
        <v>232147</v>
      </c>
      <c r="E31" s="53">
        <v>226217.130576158</v>
      </c>
      <c r="F31" s="53">
        <v>194628.20504591099</v>
      </c>
      <c r="G31" s="53">
        <v>192740.601426243</v>
      </c>
      <c r="H31" s="53">
        <v>210196.707905202</v>
      </c>
      <c r="I31" s="53">
        <v>201269.28383633701</v>
      </c>
      <c r="J31" s="53">
        <v>200709.39503545201</v>
      </c>
      <c r="K31" s="53">
        <v>223370.57771881</v>
      </c>
      <c r="L31" s="53">
        <v>196340.080043806</v>
      </c>
      <c r="M31" s="53">
        <v>191011.551540168</v>
      </c>
      <c r="N31" s="7">
        <f>SUM(B31:M31)</f>
        <v>2475230.5331280869</v>
      </c>
    </row>
    <row r="32" spans="1:44" s="6" customFormat="1" ht="15" hidden="1">
      <c r="A32" s="6" t="s">
        <v>38</v>
      </c>
      <c r="B32" s="65"/>
      <c r="C32" s="65"/>
      <c r="D32" s="65"/>
      <c r="E32" s="65"/>
      <c r="F32" s="65"/>
      <c r="G32" s="65"/>
      <c r="H32" s="65"/>
      <c r="I32" s="65"/>
      <c r="J32" s="65"/>
      <c r="K32" s="65"/>
      <c r="L32" s="65"/>
      <c r="M32" s="65"/>
      <c r="N32" s="7">
        <f>SUM(B32:M32)</f>
        <v>0</v>
      </c>
      <c r="P32" s="6">
        <f>+B32*-1</f>
        <v>0</v>
      </c>
      <c r="Q32" s="6">
        <f t="shared" ref="Q32:AF33" si="5">+C32*-1</f>
        <v>0</v>
      </c>
      <c r="R32" s="6">
        <f t="shared" si="5"/>
        <v>0</v>
      </c>
      <c r="S32" s="6">
        <f t="shared" si="5"/>
        <v>0</v>
      </c>
      <c r="T32" s="6">
        <f t="shared" si="5"/>
        <v>0</v>
      </c>
      <c r="U32" s="6">
        <f t="shared" si="5"/>
        <v>0</v>
      </c>
      <c r="V32" s="6">
        <f t="shared" si="5"/>
        <v>0</v>
      </c>
      <c r="W32" s="6">
        <f t="shared" si="5"/>
        <v>0</v>
      </c>
      <c r="X32" s="6">
        <f t="shared" si="5"/>
        <v>0</v>
      </c>
      <c r="Y32" s="6">
        <f t="shared" si="5"/>
        <v>0</v>
      </c>
      <c r="Z32" s="6">
        <f t="shared" si="5"/>
        <v>0</v>
      </c>
      <c r="AA32" s="6">
        <f t="shared" si="5"/>
        <v>0</v>
      </c>
      <c r="AB32" s="6">
        <f t="shared" si="5"/>
        <v>0</v>
      </c>
      <c r="AC32" s="6">
        <f t="shared" si="5"/>
        <v>0</v>
      </c>
      <c r="AD32" s="6">
        <f t="shared" si="5"/>
        <v>0</v>
      </c>
      <c r="AE32" s="6">
        <f t="shared" si="5"/>
        <v>0</v>
      </c>
      <c r="AF32" s="6">
        <f t="shared" si="5"/>
        <v>0</v>
      </c>
      <c r="AG32" s="6">
        <f t="shared" ref="AG32:AR33" si="6">+S32*-1</f>
        <v>0</v>
      </c>
      <c r="AH32" s="6">
        <f t="shared" si="6"/>
        <v>0</v>
      </c>
      <c r="AI32" s="6">
        <f t="shared" si="6"/>
        <v>0</v>
      </c>
      <c r="AJ32" s="6">
        <f t="shared" si="6"/>
        <v>0</v>
      </c>
      <c r="AK32" s="6">
        <f t="shared" si="6"/>
        <v>0</v>
      </c>
      <c r="AL32" s="6">
        <f t="shared" si="6"/>
        <v>0</v>
      </c>
      <c r="AM32" s="6">
        <f t="shared" si="6"/>
        <v>0</v>
      </c>
      <c r="AN32" s="6">
        <f t="shared" si="6"/>
        <v>0</v>
      </c>
      <c r="AO32" s="6">
        <f t="shared" si="6"/>
        <v>0</v>
      </c>
      <c r="AP32" s="6">
        <f t="shared" si="6"/>
        <v>0</v>
      </c>
      <c r="AQ32" s="6">
        <f t="shared" si="6"/>
        <v>0</v>
      </c>
      <c r="AR32" s="6">
        <f t="shared" si="6"/>
        <v>0</v>
      </c>
    </row>
    <row r="33" spans="1:44" s="6" customFormat="1" hidden="1">
      <c r="B33" s="15"/>
      <c r="C33" s="15"/>
      <c r="D33" s="15"/>
      <c r="E33" s="15"/>
      <c r="F33" s="15"/>
      <c r="G33" s="15"/>
      <c r="H33" s="15"/>
      <c r="I33" s="15"/>
      <c r="J33" s="15"/>
      <c r="K33" s="15"/>
      <c r="L33" s="15"/>
      <c r="M33" s="15"/>
      <c r="N33" s="15">
        <f>SUM(B33:M33)</f>
        <v>0</v>
      </c>
      <c r="Q33" s="6">
        <f t="shared" si="5"/>
        <v>0</v>
      </c>
      <c r="R33" s="6">
        <f t="shared" si="5"/>
        <v>0</v>
      </c>
      <c r="S33" s="6">
        <f t="shared" si="5"/>
        <v>0</v>
      </c>
      <c r="T33" s="6">
        <f t="shared" si="5"/>
        <v>0</v>
      </c>
      <c r="U33" s="6">
        <f t="shared" si="5"/>
        <v>0</v>
      </c>
      <c r="V33" s="6">
        <f t="shared" si="5"/>
        <v>0</v>
      </c>
      <c r="W33" s="6">
        <f t="shared" si="5"/>
        <v>0</v>
      </c>
      <c r="X33" s="6">
        <f t="shared" si="5"/>
        <v>0</v>
      </c>
      <c r="Y33" s="6">
        <f t="shared" si="5"/>
        <v>0</v>
      </c>
      <c r="Z33" s="6">
        <f t="shared" si="5"/>
        <v>0</v>
      </c>
      <c r="AA33" s="6">
        <f t="shared" si="5"/>
        <v>0</v>
      </c>
      <c r="AB33" s="6">
        <f t="shared" si="5"/>
        <v>0</v>
      </c>
      <c r="AC33" s="6">
        <f t="shared" si="5"/>
        <v>0</v>
      </c>
      <c r="AD33" s="6">
        <f t="shared" si="5"/>
        <v>0</v>
      </c>
      <c r="AE33" s="6">
        <f t="shared" si="5"/>
        <v>0</v>
      </c>
      <c r="AF33" s="6">
        <f t="shared" si="5"/>
        <v>0</v>
      </c>
      <c r="AG33" s="6">
        <f t="shared" si="6"/>
        <v>0</v>
      </c>
      <c r="AH33" s="6">
        <f t="shared" si="6"/>
        <v>0</v>
      </c>
      <c r="AI33" s="6">
        <f t="shared" si="6"/>
        <v>0</v>
      </c>
      <c r="AJ33" s="6">
        <f t="shared" si="6"/>
        <v>0</v>
      </c>
      <c r="AK33" s="6">
        <f t="shared" si="6"/>
        <v>0</v>
      </c>
      <c r="AL33" s="6">
        <f t="shared" si="6"/>
        <v>0</v>
      </c>
      <c r="AM33" s="6">
        <f t="shared" si="6"/>
        <v>0</v>
      </c>
      <c r="AN33" s="6">
        <f t="shared" si="6"/>
        <v>0</v>
      </c>
      <c r="AO33" s="6">
        <f t="shared" si="6"/>
        <v>0</v>
      </c>
      <c r="AP33" s="6">
        <f t="shared" si="6"/>
        <v>0</v>
      </c>
      <c r="AQ33" s="6">
        <f t="shared" si="6"/>
        <v>0</v>
      </c>
      <c r="AR33" s="6">
        <f t="shared" si="6"/>
        <v>0</v>
      </c>
    </row>
    <row r="34" spans="1:44" s="6" customFormat="1">
      <c r="A34" s="13" t="s">
        <v>43</v>
      </c>
      <c r="B34" s="12">
        <f t="shared" ref="B34:N34" si="7">SUM(B30:B33)</f>
        <v>609067</v>
      </c>
      <c r="C34" s="12">
        <f t="shared" si="7"/>
        <v>749544</v>
      </c>
      <c r="D34" s="12">
        <f t="shared" si="7"/>
        <v>896503</v>
      </c>
      <c r="E34" s="12">
        <f t="shared" si="7"/>
        <v>985756.31013697688</v>
      </c>
      <c r="F34" s="12">
        <f t="shared" si="7"/>
        <v>787176.76527856698</v>
      </c>
      <c r="G34" s="12">
        <f t="shared" si="7"/>
        <v>763873.44007889798</v>
      </c>
      <c r="H34" s="12">
        <f t="shared" si="7"/>
        <v>821363.6349260211</v>
      </c>
      <c r="I34" s="12">
        <f t="shared" si="7"/>
        <v>865742.93498899299</v>
      </c>
      <c r="J34" s="12">
        <f t="shared" si="7"/>
        <v>854557.64368810703</v>
      </c>
      <c r="K34" s="12">
        <f t="shared" si="7"/>
        <v>951180.70933962893</v>
      </c>
      <c r="L34" s="12">
        <f t="shared" si="7"/>
        <v>811770.33569646196</v>
      </c>
      <c r="M34" s="12">
        <f t="shared" si="7"/>
        <v>647553.72145282303</v>
      </c>
      <c r="N34" s="12">
        <f t="shared" si="7"/>
        <v>9744089.4955864754</v>
      </c>
      <c r="O34" s="7"/>
    </row>
    <row r="35" spans="1:44" s="6" customFormat="1">
      <c r="B35" s="7"/>
      <c r="C35" s="7"/>
      <c r="D35" s="7"/>
      <c r="E35" s="7"/>
      <c r="F35" s="7"/>
      <c r="G35" s="7"/>
      <c r="H35" s="7"/>
      <c r="I35" s="7"/>
      <c r="J35" s="7"/>
      <c r="K35" s="7"/>
      <c r="L35" s="7"/>
      <c r="M35" s="7"/>
    </row>
    <row r="36" spans="1:44" s="6" customFormat="1" hidden="1">
      <c r="A36" s="13" t="s">
        <v>44</v>
      </c>
      <c r="B36" s="7"/>
      <c r="C36" s="7"/>
      <c r="D36" s="7"/>
      <c r="E36" s="7"/>
      <c r="F36" s="7"/>
      <c r="G36" s="7"/>
      <c r="H36" s="7"/>
      <c r="I36" s="7"/>
      <c r="J36" s="7"/>
      <c r="K36" s="7"/>
      <c r="L36" s="7"/>
      <c r="M36" s="7"/>
    </row>
    <row r="37" spans="1:44" s="6" customFormat="1" hidden="1">
      <c r="A37" s="6" t="s">
        <v>45</v>
      </c>
      <c r="B37" s="53">
        <v>957334</v>
      </c>
      <c r="C37" s="53">
        <v>1284431</v>
      </c>
      <c r="D37" s="53">
        <v>1445140</v>
      </c>
      <c r="E37" s="53">
        <v>1621576.5698087905</v>
      </c>
      <c r="F37" s="53">
        <v>1397109.5265258201</v>
      </c>
      <c r="G37" s="66">
        <v>1381899.2128031002</v>
      </c>
      <c r="H37" s="66">
        <v>1338862.8735315695</v>
      </c>
      <c r="I37" s="66">
        <v>1447399.3372471465</v>
      </c>
      <c r="J37" s="66">
        <v>1483783.6270001915</v>
      </c>
      <c r="K37" s="53">
        <v>1521178.5687367001</v>
      </c>
      <c r="L37" s="53">
        <v>1366856.0727674812</v>
      </c>
      <c r="M37" s="53">
        <v>1089068.663147087</v>
      </c>
      <c r="N37" s="7">
        <f>SUM(B37:M37)</f>
        <v>16334639.451567886</v>
      </c>
      <c r="O37" s="53"/>
      <c r="P37" s="62"/>
    </row>
    <row r="38" spans="1:44" s="6" customFormat="1" hidden="1">
      <c r="A38" s="6" t="s">
        <v>46</v>
      </c>
      <c r="B38" s="7">
        <f>-B34</f>
        <v>-609067</v>
      </c>
      <c r="C38" s="7">
        <f t="shared" ref="C38:M38" si="8">-C34</f>
        <v>-749544</v>
      </c>
      <c r="D38" s="7">
        <f t="shared" si="8"/>
        <v>-896503</v>
      </c>
      <c r="E38" s="7">
        <f t="shared" si="8"/>
        <v>-985756.31013697688</v>
      </c>
      <c r="F38" s="7">
        <f t="shared" si="8"/>
        <v>-787176.76527856698</v>
      </c>
      <c r="G38" s="7">
        <f t="shared" si="8"/>
        <v>-763873.44007889798</v>
      </c>
      <c r="H38" s="7">
        <f t="shared" si="8"/>
        <v>-821363.6349260211</v>
      </c>
      <c r="I38" s="7">
        <f t="shared" si="8"/>
        <v>-865742.93498899299</v>
      </c>
      <c r="J38" s="7">
        <f t="shared" si="8"/>
        <v>-854557.64368810703</v>
      </c>
      <c r="K38" s="7">
        <f t="shared" si="8"/>
        <v>-951180.70933962893</v>
      </c>
      <c r="L38" s="7">
        <f t="shared" si="8"/>
        <v>-811770.33569646196</v>
      </c>
      <c r="M38" s="7">
        <f t="shared" si="8"/>
        <v>-647553.72145282303</v>
      </c>
      <c r="N38" s="7">
        <f>SUM(B38:M38)</f>
        <v>-9744089.4955864772</v>
      </c>
    </row>
    <row r="39" spans="1:44" s="6" customFormat="1" hidden="1">
      <c r="A39" s="6" t="s">
        <v>47</v>
      </c>
      <c r="B39" s="53">
        <v>-73369</v>
      </c>
      <c r="C39" s="53">
        <v>-72678</v>
      </c>
      <c r="D39" s="53">
        <v>-71948</v>
      </c>
      <c r="E39" s="53">
        <v>-84889.941666666593</v>
      </c>
      <c r="F39" s="53">
        <v>-84889.941666666593</v>
      </c>
      <c r="G39" s="53">
        <v>-84858.961666666597</v>
      </c>
      <c r="H39" s="53">
        <v>-82257.801666666594</v>
      </c>
      <c r="I39" s="53">
        <v>-82098.931666666598</v>
      </c>
      <c r="J39" s="53">
        <v>-82065.061666666603</v>
      </c>
      <c r="K39" s="53">
        <v>-81467.421666666603</v>
      </c>
      <c r="L39" s="53">
        <v>-81449.971666666606</v>
      </c>
      <c r="M39" s="53">
        <v>-80077.631666666595</v>
      </c>
      <c r="N39" s="7">
        <v>-971805.1199999993</v>
      </c>
    </row>
    <row r="40" spans="1:44" s="6" customFormat="1" hidden="1">
      <c r="A40" s="6" t="s">
        <v>78</v>
      </c>
      <c r="B40" s="53"/>
      <c r="C40" s="53"/>
      <c r="D40" s="53"/>
      <c r="E40" s="53"/>
      <c r="F40" s="53"/>
      <c r="G40" s="53"/>
      <c r="H40" s="53"/>
      <c r="I40" s="53"/>
      <c r="J40" s="53"/>
      <c r="K40" s="53"/>
      <c r="L40" s="53"/>
      <c r="M40" s="53"/>
      <c r="N40" s="7">
        <f>SUM(B40:M40)</f>
        <v>0</v>
      </c>
    </row>
    <row r="41" spans="1:44" s="6" customFormat="1" hidden="1">
      <c r="A41" s="6" t="s">
        <v>48</v>
      </c>
      <c r="B41" s="60">
        <v>-10663.666666666701</v>
      </c>
      <c r="C41" s="60">
        <v>-10663.666666666701</v>
      </c>
      <c r="D41" s="60">
        <v>-10663.666666666701</v>
      </c>
      <c r="E41" s="60">
        <v>-10663.666666666701</v>
      </c>
      <c r="F41" s="60">
        <v>-10663.666666666701</v>
      </c>
      <c r="G41" s="60">
        <v>-10663.666666666701</v>
      </c>
      <c r="H41" s="60">
        <v>-10663.666666666701</v>
      </c>
      <c r="I41" s="60">
        <v>-10663.666666666701</v>
      </c>
      <c r="J41" s="60">
        <v>-10964</v>
      </c>
      <c r="K41" s="60">
        <v>-10864</v>
      </c>
      <c r="L41" s="60">
        <v>-10964</v>
      </c>
      <c r="M41" s="60">
        <v>-10664</v>
      </c>
      <c r="N41" s="15">
        <f>SUM(B41:M41)</f>
        <v>-128765.3333333336</v>
      </c>
    </row>
    <row r="42" spans="1:44" s="6" customFormat="1">
      <c r="A42" s="13" t="s">
        <v>49</v>
      </c>
      <c r="B42" s="12">
        <f t="shared" ref="B42:N42" si="9">SUM(B37:B41)</f>
        <v>264234.33333333331</v>
      </c>
      <c r="C42" s="12">
        <f t="shared" si="9"/>
        <v>451545.33333333331</v>
      </c>
      <c r="D42" s="12">
        <f t="shared" si="9"/>
        <v>466025.33333333331</v>
      </c>
      <c r="E42" s="12">
        <f t="shared" si="9"/>
        <v>540266.65133848018</v>
      </c>
      <c r="F42" s="12">
        <f t="shared" si="9"/>
        <v>514379.15291391994</v>
      </c>
      <c r="G42" s="12">
        <f t="shared" si="9"/>
        <v>522503.14439086901</v>
      </c>
      <c r="H42" s="12">
        <f t="shared" si="9"/>
        <v>424577.77027221513</v>
      </c>
      <c r="I42" s="12">
        <f t="shared" si="9"/>
        <v>488893.80392482027</v>
      </c>
      <c r="J42" s="12">
        <f t="shared" si="9"/>
        <v>536196.92164541781</v>
      </c>
      <c r="K42" s="12">
        <f t="shared" si="9"/>
        <v>477666.43773040455</v>
      </c>
      <c r="L42" s="12">
        <f t="shared" si="9"/>
        <v>462671.76540435263</v>
      </c>
      <c r="M42" s="12">
        <f t="shared" si="9"/>
        <v>350773.31002759736</v>
      </c>
      <c r="N42" s="12">
        <f t="shared" si="9"/>
        <v>5489979.502648076</v>
      </c>
    </row>
    <row r="43" spans="1:44">
      <c r="A43" s="1"/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2"/>
      <c r="N43" s="12"/>
      <c r="O43" s="6"/>
    </row>
    <row r="44" spans="1:44" hidden="1">
      <c r="A44" s="13" t="s">
        <v>50</v>
      </c>
      <c r="B44" s="53">
        <v>275362</v>
      </c>
      <c r="C44" s="53">
        <v>282653</v>
      </c>
      <c r="D44" s="53">
        <v>316557</v>
      </c>
      <c r="E44" s="53">
        <v>325654.34176216874</v>
      </c>
      <c r="F44" s="53">
        <v>309928.67264446814</v>
      </c>
      <c r="G44" s="53">
        <v>418573.73264446814</v>
      </c>
      <c r="H44" s="59">
        <v>320964.16545716883</v>
      </c>
      <c r="I44" s="53">
        <v>283542.94633946812</v>
      </c>
      <c r="J44" s="53">
        <v>318115.5463394681</v>
      </c>
      <c r="K44" s="53">
        <v>331200.75545716879</v>
      </c>
      <c r="L44" s="53">
        <v>295624.06633946812</v>
      </c>
      <c r="M44" s="53">
        <v>637691.65717914759</v>
      </c>
      <c r="N44" s="12">
        <f>SUM(B44:M44)</f>
        <v>4115867.8841629941</v>
      </c>
      <c r="O44" s="6"/>
    </row>
    <row r="45" spans="1:44" hidden="1">
      <c r="A45" s="6" t="s">
        <v>51</v>
      </c>
      <c r="B45" s="22">
        <v>0</v>
      </c>
      <c r="C45" s="22">
        <v>-10000</v>
      </c>
      <c r="D45" s="22">
        <v>-10000</v>
      </c>
      <c r="E45" s="22">
        <v>-5000</v>
      </c>
      <c r="F45" s="22">
        <v>-5000</v>
      </c>
      <c r="G45" s="22">
        <v>-5000</v>
      </c>
      <c r="H45" s="22">
        <v>-5000</v>
      </c>
      <c r="I45" s="22">
        <v>-5000</v>
      </c>
      <c r="J45" s="22">
        <v>-5000</v>
      </c>
      <c r="K45" s="22">
        <v>-5000</v>
      </c>
      <c r="L45" s="22">
        <v>-5000</v>
      </c>
      <c r="M45" s="22">
        <v>-5000</v>
      </c>
      <c r="N45" s="22">
        <f>SUM(B45:M45)</f>
        <v>-65000</v>
      </c>
      <c r="O45" s="6"/>
    </row>
    <row r="46" spans="1:44">
      <c r="A46" s="1" t="s">
        <v>50</v>
      </c>
      <c r="B46" s="12">
        <f>SUM(B44:B45)</f>
        <v>275362</v>
      </c>
      <c r="C46" s="12">
        <f>SUM(C44:C45)</f>
        <v>272653</v>
      </c>
      <c r="D46" s="12">
        <f t="shared" ref="D46:N46" si="10">SUM(D44:D45)</f>
        <v>306557</v>
      </c>
      <c r="E46" s="12">
        <f t="shared" si="10"/>
        <v>320654.34176216874</v>
      </c>
      <c r="F46" s="12">
        <f t="shared" si="10"/>
        <v>304928.67264446814</v>
      </c>
      <c r="G46" s="12">
        <f t="shared" si="10"/>
        <v>413573.73264446814</v>
      </c>
      <c r="H46" s="12">
        <f t="shared" si="10"/>
        <v>315964.16545716883</v>
      </c>
      <c r="I46" s="12">
        <f t="shared" si="10"/>
        <v>278542.94633946812</v>
      </c>
      <c r="J46" s="12">
        <f t="shared" si="10"/>
        <v>313115.5463394681</v>
      </c>
      <c r="K46" s="12">
        <f t="shared" si="10"/>
        <v>326200.75545716879</v>
      </c>
      <c r="L46" s="12">
        <f t="shared" si="10"/>
        <v>290624.06633946812</v>
      </c>
      <c r="M46" s="12">
        <f t="shared" si="10"/>
        <v>632691.65717914759</v>
      </c>
      <c r="N46" s="12">
        <f t="shared" si="10"/>
        <v>4050867.8841629941</v>
      </c>
      <c r="O46" s="6"/>
    </row>
    <row r="47" spans="1:44">
      <c r="B47" s="7"/>
      <c r="C47" s="7"/>
      <c r="D47" s="7"/>
      <c r="E47" s="7"/>
      <c r="F47" s="7"/>
      <c r="G47" s="7"/>
      <c r="H47" s="7"/>
      <c r="I47" s="7"/>
      <c r="J47" s="7"/>
      <c r="K47" s="6"/>
      <c r="L47" s="6"/>
      <c r="M47" s="6"/>
      <c r="N47" s="6"/>
      <c r="O47" s="6"/>
    </row>
    <row r="48" spans="1:44">
      <c r="A48" s="13" t="s">
        <v>52</v>
      </c>
      <c r="B48" s="19">
        <f t="shared" ref="B48:N48" si="11">+B20+B34+B42+B46</f>
        <v>1768948.3333333333</v>
      </c>
      <c r="C48" s="19">
        <f t="shared" si="11"/>
        <v>4442285.333333334</v>
      </c>
      <c r="D48" s="19">
        <f t="shared" si="11"/>
        <v>3296170.3333333335</v>
      </c>
      <c r="E48" s="19">
        <f t="shared" si="11"/>
        <v>3185876.5738340863</v>
      </c>
      <c r="F48" s="19">
        <f t="shared" si="11"/>
        <v>2526926.8867620029</v>
      </c>
      <c r="G48" s="19">
        <f t="shared" si="11"/>
        <v>2694465.9449283639</v>
      </c>
      <c r="H48" s="19">
        <f t="shared" si="11"/>
        <v>4286104.1381694749</v>
      </c>
      <c r="I48" s="19">
        <f t="shared" si="11"/>
        <v>2942677.8467976716</v>
      </c>
      <c r="J48" s="19">
        <f t="shared" si="11"/>
        <v>2850298.022130433</v>
      </c>
      <c r="K48" s="19">
        <f t="shared" si="11"/>
        <v>2769505.7272803225</v>
      </c>
      <c r="L48" s="19">
        <f t="shared" si="11"/>
        <v>2767912.4922030023</v>
      </c>
      <c r="M48" s="19">
        <f t="shared" si="11"/>
        <v>2439604.0126127731</v>
      </c>
      <c r="N48" s="19">
        <f t="shared" si="11"/>
        <v>35961021.189718127</v>
      </c>
      <c r="O48" s="6"/>
    </row>
    <row r="49" spans="1:17">
      <c r="B49" s="7"/>
      <c r="C49" s="7"/>
      <c r="D49" s="7"/>
      <c r="E49" s="7"/>
      <c r="F49" s="7"/>
      <c r="G49" s="7"/>
      <c r="H49" s="7"/>
      <c r="I49" s="7"/>
      <c r="J49" s="7"/>
      <c r="K49" s="6"/>
      <c r="L49" s="6"/>
      <c r="M49" s="6"/>
      <c r="N49" s="6"/>
      <c r="O49" s="6"/>
    </row>
    <row r="50" spans="1:17">
      <c r="A50" s="1" t="s">
        <v>53</v>
      </c>
      <c r="B50" s="12">
        <f t="shared" ref="B50:M50" si="12">+B13-B48</f>
        <v>-507699.33333333326</v>
      </c>
      <c r="C50" s="12">
        <f t="shared" si="12"/>
        <v>439569.66666666605</v>
      </c>
      <c r="D50" s="12">
        <f t="shared" si="12"/>
        <v>507414.66666666651</v>
      </c>
      <c r="E50" s="12">
        <f t="shared" si="12"/>
        <v>507348.46125483606</v>
      </c>
      <c r="F50" s="12">
        <f t="shared" si="12"/>
        <v>33090.392948810942</v>
      </c>
      <c r="G50" s="12">
        <f t="shared" si="12"/>
        <v>-170702.61557580205</v>
      </c>
      <c r="H50" s="12">
        <f t="shared" si="12"/>
        <v>199639.09162974637</v>
      </c>
      <c r="I50" s="12">
        <f t="shared" si="12"/>
        <v>362880.59546278836</v>
      </c>
      <c r="J50" s="12">
        <f t="shared" si="12"/>
        <v>445916.27537100855</v>
      </c>
      <c r="K50" s="12">
        <f t="shared" si="12"/>
        <v>199559.11018969351</v>
      </c>
      <c r="L50" s="12">
        <f t="shared" si="12"/>
        <v>420347.78970141569</v>
      </c>
      <c r="M50" s="12">
        <f t="shared" si="12"/>
        <v>-856664.33360203309</v>
      </c>
      <c r="N50" s="12">
        <f>SUM(B50:M50)</f>
        <v>1580699.7673804634</v>
      </c>
      <c r="O50" s="6"/>
      <c r="P50" s="25"/>
    </row>
    <row r="51" spans="1:17" ht="7.5" customHeight="1">
      <c r="B51" s="7"/>
      <c r="C51" s="7"/>
      <c r="D51" s="7"/>
      <c r="E51" s="7"/>
      <c r="F51" s="7"/>
      <c r="G51" s="7"/>
      <c r="H51" s="7"/>
      <c r="I51" s="7"/>
      <c r="J51" s="7"/>
      <c r="K51" s="6"/>
      <c r="L51" s="6"/>
      <c r="M51" s="6"/>
      <c r="N51" s="6"/>
      <c r="O51" s="6"/>
    </row>
    <row r="52" spans="1:17">
      <c r="A52" s="1" t="s">
        <v>54</v>
      </c>
      <c r="B52" s="7"/>
      <c r="C52" s="7"/>
      <c r="D52" s="7"/>
      <c r="E52" s="7"/>
      <c r="F52" s="7"/>
      <c r="G52" s="7"/>
      <c r="H52" s="7"/>
      <c r="I52" s="7"/>
      <c r="J52" s="7"/>
      <c r="K52" s="6"/>
      <c r="L52" s="6"/>
      <c r="M52" s="6"/>
      <c r="N52" s="6"/>
      <c r="O52" s="6"/>
    </row>
    <row r="53" spans="1:17" s="6" customFormat="1">
      <c r="A53" s="6" t="s">
        <v>55</v>
      </c>
      <c r="B53" s="10">
        <v>24982</v>
      </c>
      <c r="C53" s="10">
        <v>358462</v>
      </c>
      <c r="D53" s="10">
        <v>50664</v>
      </c>
      <c r="E53" s="10">
        <v>44355</v>
      </c>
      <c r="F53" s="10">
        <v>186840</v>
      </c>
      <c r="G53" s="10">
        <v>202000</v>
      </c>
      <c r="H53" s="23">
        <v>197000</v>
      </c>
      <c r="I53" s="10">
        <v>142000</v>
      </c>
      <c r="J53" s="10">
        <v>119000</v>
      </c>
      <c r="K53" s="10">
        <v>0</v>
      </c>
      <c r="L53" s="10">
        <v>0</v>
      </c>
      <c r="M53" s="10">
        <v>455000</v>
      </c>
      <c r="N53" s="10">
        <f>SUM(B53:M53)</f>
        <v>1780303</v>
      </c>
      <c r="P53" s="40"/>
    </row>
    <row r="54" spans="1:17" s="6" customFormat="1">
      <c r="A54" s="6" t="s">
        <v>56</v>
      </c>
      <c r="B54" s="10"/>
      <c r="C54" s="10"/>
      <c r="D54" s="47">
        <v>-520000</v>
      </c>
      <c r="E54" s="10"/>
      <c r="F54" s="10">
        <v>95000</v>
      </c>
      <c r="G54" s="10"/>
      <c r="H54" s="10"/>
      <c r="I54" s="10"/>
      <c r="J54" s="10"/>
      <c r="K54" s="10"/>
      <c r="L54" s="10"/>
      <c r="M54" s="10"/>
      <c r="N54" s="10">
        <f>SUM(B54:M54)</f>
        <v>-425000</v>
      </c>
      <c r="P54" s="7"/>
      <c r="Q54" s="6">
        <v>0</v>
      </c>
    </row>
    <row r="55" spans="1:17" s="6" customFormat="1">
      <c r="A55" s="6" t="s">
        <v>57</v>
      </c>
      <c r="B55" s="10">
        <f>50000+228312</f>
        <v>278312</v>
      </c>
      <c r="C55" s="10">
        <v>50000</v>
      </c>
      <c r="D55" s="10">
        <v>50000</v>
      </c>
      <c r="E55" s="10">
        <v>50000</v>
      </c>
      <c r="F55" s="10">
        <v>50000</v>
      </c>
      <c r="G55" s="10">
        <v>50000</v>
      </c>
      <c r="H55" s="10">
        <v>50000</v>
      </c>
      <c r="I55" s="10">
        <v>50000</v>
      </c>
      <c r="J55" s="10">
        <v>50000</v>
      </c>
      <c r="K55" s="10">
        <v>50000</v>
      </c>
      <c r="L55" s="10"/>
      <c r="M55" s="10"/>
      <c r="N55" s="10">
        <f>SUM(B55:M55)</f>
        <v>728312</v>
      </c>
      <c r="P55" s="7"/>
    </row>
    <row r="56" spans="1:17" s="6" customFormat="1">
      <c r="A56" s="37" t="s">
        <v>58</v>
      </c>
      <c r="B56" s="7">
        <v>-26129</v>
      </c>
      <c r="C56" s="7">
        <f>-44-9248</f>
        <v>-9292</v>
      </c>
      <c r="D56" s="7">
        <f>-15614+D11</f>
        <v>-9032</v>
      </c>
      <c r="E56" s="7">
        <v>-8000</v>
      </c>
      <c r="F56" s="7">
        <v>-8000</v>
      </c>
      <c r="G56" s="7">
        <v>-8000</v>
      </c>
      <c r="H56" s="7">
        <v>-8000</v>
      </c>
      <c r="I56" s="7">
        <v>-8000</v>
      </c>
      <c r="J56" s="7">
        <v>-9000</v>
      </c>
      <c r="K56" s="7">
        <v>-9000</v>
      </c>
      <c r="L56" s="7">
        <v>-9000</v>
      </c>
      <c r="M56" s="7">
        <v>-9000</v>
      </c>
      <c r="N56" s="7">
        <f>SUM(B56:M56)</f>
        <v>-120453</v>
      </c>
      <c r="P56" s="56"/>
    </row>
    <row r="57" spans="1:17" s="6" customFormat="1">
      <c r="A57" s="6" t="s">
        <v>59</v>
      </c>
      <c r="B57" s="22">
        <v>-262370</v>
      </c>
      <c r="C57" s="22">
        <v>-26645</v>
      </c>
      <c r="D57" s="22">
        <v>-47784</v>
      </c>
      <c r="E57" s="22">
        <v>-25000</v>
      </c>
      <c r="F57" s="22">
        <v>-25000</v>
      </c>
      <c r="G57" s="22">
        <v>-25000</v>
      </c>
      <c r="H57" s="22">
        <v>-25000</v>
      </c>
      <c r="I57" s="22">
        <v>-25000</v>
      </c>
      <c r="J57" s="22">
        <v>-25000</v>
      </c>
      <c r="K57" s="22">
        <v>-25000</v>
      </c>
      <c r="L57" s="22">
        <v>-25000</v>
      </c>
      <c r="M57" s="22">
        <v>-25000</v>
      </c>
      <c r="N57" s="22">
        <f>SUM(B57:M57)</f>
        <v>-561799</v>
      </c>
      <c r="P57" s="7"/>
    </row>
    <row r="58" spans="1:17" s="6" customFormat="1">
      <c r="A58" s="13" t="s">
        <v>60</v>
      </c>
      <c r="B58" s="19">
        <f t="shared" ref="B58:N58" si="13">SUM(B53:B57)</f>
        <v>14795</v>
      </c>
      <c r="C58" s="19">
        <f t="shared" si="13"/>
        <v>372525</v>
      </c>
      <c r="D58" s="19">
        <f t="shared" si="13"/>
        <v>-476152</v>
      </c>
      <c r="E58" s="19">
        <f t="shared" si="13"/>
        <v>61355</v>
      </c>
      <c r="F58" s="19">
        <f t="shared" si="13"/>
        <v>298840</v>
      </c>
      <c r="G58" s="19">
        <f t="shared" si="13"/>
        <v>219000</v>
      </c>
      <c r="H58" s="19">
        <f t="shared" si="13"/>
        <v>214000</v>
      </c>
      <c r="I58" s="19">
        <f t="shared" si="13"/>
        <v>159000</v>
      </c>
      <c r="J58" s="19">
        <f t="shared" si="13"/>
        <v>135000</v>
      </c>
      <c r="K58" s="19">
        <f t="shared" si="13"/>
        <v>16000</v>
      </c>
      <c r="L58" s="19">
        <f t="shared" si="13"/>
        <v>-34000</v>
      </c>
      <c r="M58" s="19">
        <f t="shared" si="13"/>
        <v>421000</v>
      </c>
      <c r="N58" s="19">
        <f t="shared" si="13"/>
        <v>1401363</v>
      </c>
    </row>
    <row r="59" spans="1:17">
      <c r="B59" s="7"/>
      <c r="C59" s="7"/>
      <c r="D59" s="7">
        <f>SUM(B56:D57)</f>
        <v>-381252</v>
      </c>
      <c r="E59" s="7"/>
      <c r="F59" s="7"/>
      <c r="G59" s="7"/>
      <c r="H59" s="7"/>
      <c r="I59" s="7"/>
      <c r="J59" s="7"/>
      <c r="K59" s="7"/>
      <c r="L59" s="7"/>
      <c r="M59" s="7"/>
      <c r="N59" s="7"/>
      <c r="O59" s="6"/>
    </row>
    <row r="60" spans="1:17">
      <c r="A60" s="1" t="s">
        <v>61</v>
      </c>
      <c r="B60" s="12">
        <v>10990495</v>
      </c>
      <c r="C60" s="7"/>
      <c r="D60" s="7"/>
      <c r="E60" s="7"/>
      <c r="F60" s="7"/>
      <c r="G60" s="7"/>
      <c r="H60" s="7" t="s">
        <v>38</v>
      </c>
      <c r="I60" s="7"/>
      <c r="J60" s="7"/>
      <c r="K60" s="6"/>
      <c r="L60" s="6"/>
      <c r="M60" s="6"/>
      <c r="N60" s="6"/>
      <c r="O60" s="6"/>
    </row>
    <row r="61" spans="1:17">
      <c r="A61" s="13" t="s">
        <v>62</v>
      </c>
      <c r="B61" s="19">
        <f t="shared" ref="B61:N61" si="14">+B58+B48</f>
        <v>1783743.3333333333</v>
      </c>
      <c r="C61" s="19">
        <f t="shared" si="14"/>
        <v>4814810.333333334</v>
      </c>
      <c r="D61" s="19">
        <f t="shared" si="14"/>
        <v>2820018.3333333335</v>
      </c>
      <c r="E61" s="19">
        <f t="shared" si="14"/>
        <v>3247231.5738340863</v>
      </c>
      <c r="F61" s="19">
        <f t="shared" si="14"/>
        <v>2825766.8867620029</v>
      </c>
      <c r="G61" s="19">
        <f t="shared" si="14"/>
        <v>2913465.9449283639</v>
      </c>
      <c r="H61" s="19">
        <f t="shared" si="14"/>
        <v>4500104.1381694749</v>
      </c>
      <c r="I61" s="19">
        <f t="shared" si="14"/>
        <v>3101677.8467976716</v>
      </c>
      <c r="J61" s="19">
        <f t="shared" si="14"/>
        <v>2985298.022130433</v>
      </c>
      <c r="K61" s="19">
        <f t="shared" si="14"/>
        <v>2785505.7272803225</v>
      </c>
      <c r="L61" s="19">
        <f t="shared" si="14"/>
        <v>2733912.4922030023</v>
      </c>
      <c r="M61" s="19">
        <f t="shared" si="14"/>
        <v>2860604.0126127731</v>
      </c>
      <c r="N61" s="19">
        <f t="shared" si="14"/>
        <v>37362384.189718127</v>
      </c>
      <c r="O61" s="6"/>
    </row>
    <row r="62" spans="1:17" ht="13.5" thickBot="1">
      <c r="A62" s="13" t="s">
        <v>63</v>
      </c>
      <c r="B62" s="30">
        <f t="shared" ref="B62:N62" si="15">+B13-B61</f>
        <v>-522494.33333333326</v>
      </c>
      <c r="C62" s="30">
        <f t="shared" si="15"/>
        <v>67044.666666666046</v>
      </c>
      <c r="D62" s="30">
        <f t="shared" si="15"/>
        <v>983566.66666666651</v>
      </c>
      <c r="E62" s="14">
        <f t="shared" si="15"/>
        <v>445993.46125483606</v>
      </c>
      <c r="F62" s="14">
        <f t="shared" si="15"/>
        <v>-265749.60705118906</v>
      </c>
      <c r="G62" s="14">
        <f t="shared" si="15"/>
        <v>-389702.61557580205</v>
      </c>
      <c r="H62" s="14">
        <f t="shared" si="15"/>
        <v>-14360.90837025363</v>
      </c>
      <c r="I62" s="14">
        <f t="shared" si="15"/>
        <v>203880.59546278836</v>
      </c>
      <c r="J62" s="14">
        <f t="shared" si="15"/>
        <v>310916.27537100855</v>
      </c>
      <c r="K62" s="14">
        <f t="shared" si="15"/>
        <v>183559.11018969351</v>
      </c>
      <c r="L62" s="14">
        <f t="shared" si="15"/>
        <v>454347.78970141569</v>
      </c>
      <c r="M62" s="14">
        <f t="shared" si="15"/>
        <v>-1277664.3336020331</v>
      </c>
      <c r="N62" s="14">
        <f t="shared" si="15"/>
        <v>189091.22238046676</v>
      </c>
      <c r="O62" s="6"/>
      <c r="P62" s="25"/>
    </row>
    <row r="63" spans="1:17" s="6" customFormat="1" ht="13.5" thickTop="1">
      <c r="A63" s="13" t="s">
        <v>64</v>
      </c>
      <c r="B63" s="32">
        <f>+B62</f>
        <v>-522494.33333333326</v>
      </c>
      <c r="C63" s="32">
        <f t="shared" ref="C63:M63" si="16">B63+C62</f>
        <v>-455449.66666666721</v>
      </c>
      <c r="D63" s="32">
        <f t="shared" si="16"/>
        <v>528116.9999999993</v>
      </c>
      <c r="E63" s="12">
        <f t="shared" si="16"/>
        <v>974110.46125483536</v>
      </c>
      <c r="F63" s="12">
        <f t="shared" si="16"/>
        <v>708360.8542036463</v>
      </c>
      <c r="G63" s="12">
        <f t="shared" si="16"/>
        <v>318658.23862784426</v>
      </c>
      <c r="H63" s="12">
        <f t="shared" si="16"/>
        <v>304297.33025759063</v>
      </c>
      <c r="I63" s="12">
        <f t="shared" si="16"/>
        <v>508177.92572037899</v>
      </c>
      <c r="J63" s="12">
        <f t="shared" si="16"/>
        <v>819094.20109138754</v>
      </c>
      <c r="K63" s="12">
        <f t="shared" si="16"/>
        <v>1002653.3112810811</v>
      </c>
      <c r="L63" s="12">
        <f t="shared" si="16"/>
        <v>1457001.1009824967</v>
      </c>
      <c r="M63" s="12">
        <f t="shared" si="16"/>
        <v>179336.76738046366</v>
      </c>
      <c r="N63" s="12"/>
    </row>
    <row r="64" spans="1:17">
      <c r="A64" s="13" t="s">
        <v>65</v>
      </c>
      <c r="B64" s="12">
        <f t="shared" ref="B64:M64" si="17">+$B$60+B63</f>
        <v>10468000.666666666</v>
      </c>
      <c r="C64" s="12">
        <f t="shared" si="17"/>
        <v>10535045.333333332</v>
      </c>
      <c r="D64" s="12">
        <f t="shared" si="17"/>
        <v>11518612</v>
      </c>
      <c r="E64" s="12">
        <f t="shared" si="17"/>
        <v>11964605.461254835</v>
      </c>
      <c r="F64" s="12">
        <f t="shared" si="17"/>
        <v>11698855.854203647</v>
      </c>
      <c r="G64" s="12">
        <f t="shared" si="17"/>
        <v>11309153.238627844</v>
      </c>
      <c r="H64" s="12">
        <f t="shared" si="17"/>
        <v>11294792.330257591</v>
      </c>
      <c r="I64" s="12">
        <f t="shared" si="17"/>
        <v>11498672.925720379</v>
      </c>
      <c r="J64" s="12">
        <f t="shared" si="17"/>
        <v>11809589.201091388</v>
      </c>
      <c r="K64" s="12">
        <f t="shared" si="17"/>
        <v>11993148.311281081</v>
      </c>
      <c r="L64" s="12">
        <f t="shared" si="17"/>
        <v>12447496.100982497</v>
      </c>
      <c r="M64" s="12">
        <f t="shared" si="17"/>
        <v>11169831.767380463</v>
      </c>
      <c r="N64" s="12"/>
      <c r="O64" s="6"/>
      <c r="P64" s="29"/>
    </row>
    <row r="65" spans="1:16">
      <c r="A65" s="6"/>
      <c r="B65" s="7"/>
      <c r="C65" s="7"/>
      <c r="D65" s="7"/>
      <c r="E65" s="7"/>
      <c r="F65" s="7"/>
      <c r="G65" s="7"/>
      <c r="H65" s="7"/>
      <c r="I65" s="7"/>
      <c r="J65" s="7"/>
      <c r="K65" s="6"/>
      <c r="L65" s="6"/>
      <c r="M65" s="6"/>
      <c r="N65" s="6"/>
      <c r="O65" s="6"/>
    </row>
    <row r="66" spans="1:16" s="6" customFormat="1">
      <c r="A66" s="17" t="s">
        <v>79</v>
      </c>
      <c r="B66" s="18"/>
      <c r="C66" s="18"/>
      <c r="D66" s="18"/>
      <c r="E66" s="18"/>
      <c r="F66" s="18"/>
      <c r="G66" s="18"/>
      <c r="H66" s="18"/>
      <c r="I66" s="18"/>
      <c r="J66" s="18"/>
      <c r="K66" s="18"/>
      <c r="L66" s="18"/>
      <c r="M66" s="18"/>
      <c r="N66" s="18"/>
    </row>
    <row r="67" spans="1:16" ht="13.5" thickBot="1">
      <c r="A67" s="13" t="s">
        <v>67</v>
      </c>
      <c r="B67" s="30">
        <v>-923707.19930042047</v>
      </c>
      <c r="C67" s="30">
        <v>408098.02642089035</v>
      </c>
      <c r="D67" s="30">
        <v>1071842.6402638261</v>
      </c>
      <c r="E67" s="30">
        <v>445993.46125483606</v>
      </c>
      <c r="F67" s="30">
        <v>-265749.60705118906</v>
      </c>
      <c r="G67" s="30">
        <v>-389702.61557580205</v>
      </c>
      <c r="H67" s="30">
        <v>-14360.90837025363</v>
      </c>
      <c r="I67" s="30">
        <v>203880.59546278836</v>
      </c>
      <c r="J67" s="30">
        <v>310916.27537100855</v>
      </c>
      <c r="K67" s="30">
        <v>183559.11018969351</v>
      </c>
      <c r="L67" s="30">
        <v>454347.78970141569</v>
      </c>
      <c r="M67" s="30">
        <v>-1277664.3336020331</v>
      </c>
      <c r="N67" s="16"/>
      <c r="O67" s="6"/>
    </row>
    <row r="68" spans="1:16" ht="13.5" thickTop="1">
      <c r="A68" s="13" t="s">
        <v>64</v>
      </c>
      <c r="B68" s="32">
        <v>-923707.19930042047</v>
      </c>
      <c r="C68" s="32">
        <v>-515609.17287953012</v>
      </c>
      <c r="D68" s="32">
        <v>556233.467384296</v>
      </c>
      <c r="E68" s="32">
        <v>1002226.9286391321</v>
      </c>
      <c r="F68" s="32">
        <v>736477.32158794301</v>
      </c>
      <c r="G68" s="32">
        <v>346774.70601214096</v>
      </c>
      <c r="H68" s="32">
        <v>332413.79764188733</v>
      </c>
      <c r="I68" s="32">
        <v>536294.39310467569</v>
      </c>
      <c r="J68" s="32">
        <v>847210.66847568424</v>
      </c>
      <c r="K68" s="32">
        <v>1030769.7786653778</v>
      </c>
      <c r="L68" s="32">
        <v>1485117.5683667934</v>
      </c>
      <c r="M68" s="32">
        <v>207453.23476476036</v>
      </c>
      <c r="N68" s="16"/>
      <c r="O68" s="6"/>
    </row>
    <row r="69" spans="1:16">
      <c r="A69" s="13" t="s">
        <v>65</v>
      </c>
      <c r="B69" s="12">
        <v>10066787.80069958</v>
      </c>
      <c r="C69" s="12">
        <v>10474885.82712047</v>
      </c>
      <c r="D69" s="12">
        <v>11546728.467384296</v>
      </c>
      <c r="E69" s="12">
        <v>11992721.928639133</v>
      </c>
      <c r="F69" s="12">
        <v>11726972.321587943</v>
      </c>
      <c r="G69" s="12">
        <v>11337269.706012141</v>
      </c>
      <c r="H69" s="12">
        <v>11322908.797641888</v>
      </c>
      <c r="I69" s="12">
        <v>11526789.393104676</v>
      </c>
      <c r="J69" s="12">
        <v>11837705.668475684</v>
      </c>
      <c r="K69" s="12">
        <v>12021264.778665379</v>
      </c>
      <c r="L69" s="12">
        <v>12475612.568366794</v>
      </c>
      <c r="M69" s="12">
        <v>11197948.23476476</v>
      </c>
      <c r="N69" s="12"/>
      <c r="O69" s="6"/>
    </row>
    <row r="70" spans="1:16">
      <c r="A70" s="6"/>
      <c r="B70" s="6"/>
      <c r="C70" s="6"/>
      <c r="D70" s="6"/>
      <c r="E70" s="6"/>
      <c r="F70" s="6"/>
      <c r="H70" s="6"/>
      <c r="I70" s="6"/>
      <c r="J70" s="6"/>
      <c r="K70" s="6"/>
      <c r="L70" s="6"/>
      <c r="M70" s="6"/>
      <c r="N70" s="6"/>
      <c r="O70" s="6"/>
    </row>
    <row r="71" spans="1:16">
      <c r="A71" s="24" t="s">
        <v>68</v>
      </c>
      <c r="B71" s="18"/>
      <c r="C71" s="18"/>
      <c r="D71" s="18"/>
      <c r="E71" s="18"/>
      <c r="F71" s="18"/>
      <c r="G71" s="18"/>
      <c r="H71" s="18"/>
      <c r="I71" s="18"/>
      <c r="J71" s="18"/>
      <c r="K71" s="18"/>
      <c r="L71" s="18"/>
      <c r="M71" s="18"/>
      <c r="N71" s="18"/>
      <c r="O71" s="6"/>
    </row>
    <row r="72" spans="1:16">
      <c r="A72" s="13" t="s">
        <v>63</v>
      </c>
      <c r="B72" s="16">
        <f t="shared" ref="B72:N74" si="18">+B62-B67</f>
        <v>401212.86596708721</v>
      </c>
      <c r="C72" s="16">
        <f t="shared" si="18"/>
        <v>-341053.35975422431</v>
      </c>
      <c r="D72" s="16">
        <f t="shared" si="18"/>
        <v>-88275.973597159609</v>
      </c>
      <c r="E72" s="16">
        <f t="shared" si="18"/>
        <v>0</v>
      </c>
      <c r="F72" s="16">
        <f t="shared" si="18"/>
        <v>0</v>
      </c>
      <c r="G72" s="16">
        <f t="shared" si="18"/>
        <v>0</v>
      </c>
      <c r="H72" s="16">
        <f t="shared" si="18"/>
        <v>0</v>
      </c>
      <c r="I72" s="16">
        <f t="shared" si="18"/>
        <v>0</v>
      </c>
      <c r="J72" s="16">
        <f t="shared" si="18"/>
        <v>0</v>
      </c>
      <c r="K72" s="16">
        <f t="shared" si="18"/>
        <v>0</v>
      </c>
      <c r="L72" s="16">
        <f t="shared" si="18"/>
        <v>0</v>
      </c>
      <c r="M72" s="16">
        <f t="shared" si="18"/>
        <v>0</v>
      </c>
      <c r="N72" s="6"/>
      <c r="O72" s="6"/>
      <c r="P72" s="16">
        <f>+N62-N67</f>
        <v>189091.22238046676</v>
      </c>
    </row>
    <row r="73" spans="1:16" s="6" customFormat="1">
      <c r="A73" s="13" t="s">
        <v>64</v>
      </c>
      <c r="B73" s="16">
        <f t="shared" si="18"/>
        <v>401212.86596708721</v>
      </c>
      <c r="C73" s="16">
        <f t="shared" si="18"/>
        <v>60159.506212862907</v>
      </c>
      <c r="D73" s="16">
        <f t="shared" si="18"/>
        <v>-28116.467384296702</v>
      </c>
      <c r="E73" s="16">
        <f t="shared" si="18"/>
        <v>-28116.467384296702</v>
      </c>
      <c r="F73" s="16">
        <f t="shared" si="18"/>
        <v>-28116.467384296702</v>
      </c>
      <c r="G73" s="16">
        <f t="shared" si="18"/>
        <v>-28116.467384296702</v>
      </c>
      <c r="H73" s="16">
        <f t="shared" si="18"/>
        <v>-28116.467384296702</v>
      </c>
      <c r="I73" s="16">
        <f t="shared" si="18"/>
        <v>-28116.467384296702</v>
      </c>
      <c r="J73" s="16">
        <f t="shared" si="18"/>
        <v>-28116.467384296702</v>
      </c>
      <c r="K73" s="16">
        <f t="shared" si="18"/>
        <v>-28116.467384296702</v>
      </c>
      <c r="L73" s="16">
        <f t="shared" si="18"/>
        <v>-28116.467384296702</v>
      </c>
      <c r="M73" s="16">
        <f t="shared" si="18"/>
        <v>-28116.467384296702</v>
      </c>
      <c r="N73" s="16">
        <f t="shared" si="18"/>
        <v>0</v>
      </c>
    </row>
    <row r="74" spans="1:16">
      <c r="A74" s="1" t="s">
        <v>65</v>
      </c>
      <c r="B74" s="16">
        <f t="shared" si="18"/>
        <v>401212.86596708558</v>
      </c>
      <c r="C74" s="16">
        <f t="shared" si="18"/>
        <v>60159.506212862208</v>
      </c>
      <c r="D74" s="16">
        <f t="shared" si="18"/>
        <v>-28116.467384295538</v>
      </c>
      <c r="E74" s="16">
        <f t="shared" si="18"/>
        <v>-28116.467384297401</v>
      </c>
      <c r="F74" s="16">
        <f t="shared" si="18"/>
        <v>-28116.467384295538</v>
      </c>
      <c r="G74" s="16">
        <f t="shared" si="18"/>
        <v>-28116.467384297401</v>
      </c>
      <c r="H74" s="16">
        <f t="shared" si="18"/>
        <v>-28116.467384297401</v>
      </c>
      <c r="I74" s="16">
        <f t="shared" si="18"/>
        <v>-28116.467384297401</v>
      </c>
      <c r="J74" s="16">
        <f t="shared" si="18"/>
        <v>-28116.467384295538</v>
      </c>
      <c r="K74" s="16">
        <f t="shared" si="18"/>
        <v>-28116.467384297401</v>
      </c>
      <c r="L74" s="16">
        <f t="shared" si="18"/>
        <v>-28116.467384297401</v>
      </c>
      <c r="M74" s="16">
        <f t="shared" si="18"/>
        <v>-28116.467384297401</v>
      </c>
      <c r="N74" s="16"/>
      <c r="O74" s="6"/>
    </row>
    <row r="75" spans="1:16">
      <c r="B75" s="6"/>
      <c r="C75" s="6"/>
      <c r="D75" s="6"/>
      <c r="E75" s="6"/>
      <c r="F75" s="6"/>
      <c r="H75" s="6"/>
      <c r="I75" s="6"/>
      <c r="J75" s="6"/>
      <c r="K75" s="6"/>
      <c r="L75" s="6"/>
      <c r="M75" s="6"/>
      <c r="N75" s="6"/>
    </row>
    <row r="76" spans="1:16">
      <c r="A76" s="1"/>
      <c r="B76" s="4"/>
      <c r="C76" s="8"/>
      <c r="D76" s="8"/>
      <c r="E76" s="8"/>
      <c r="F76" s="8"/>
      <c r="H76" s="20"/>
      <c r="J76" s="6"/>
      <c r="K76" s="6"/>
    </row>
    <row r="77" spans="1:16">
      <c r="A77" s="1"/>
      <c r="B77" s="4"/>
      <c r="C77" s="8"/>
      <c r="D77" s="8"/>
      <c r="E77" s="8"/>
      <c r="F77" s="8"/>
      <c r="H77" s="20"/>
      <c r="J77" s="6"/>
    </row>
    <row r="78" spans="1:16">
      <c r="A78" s="1"/>
      <c r="B78" s="4"/>
      <c r="D78" s="8"/>
      <c r="E78" s="8"/>
      <c r="F78" s="8"/>
      <c r="H78" s="61"/>
      <c r="J78" s="6"/>
    </row>
    <row r="79" spans="1:16">
      <c r="E79" s="6"/>
      <c r="H79" s="20"/>
      <c r="J79" s="6"/>
      <c r="N79" s="25"/>
    </row>
    <row r="80" spans="1:16">
      <c r="A80" t="s">
        <v>69</v>
      </c>
      <c r="B80" t="s">
        <v>69</v>
      </c>
      <c r="C80" t="s">
        <v>69</v>
      </c>
      <c r="D80" t="s">
        <v>69</v>
      </c>
      <c r="E80" s="6" t="s">
        <v>69</v>
      </c>
      <c r="F80" t="s">
        <v>69</v>
      </c>
      <c r="G80" s="6" t="s">
        <v>69</v>
      </c>
      <c r="H80" t="s">
        <v>69</v>
      </c>
      <c r="I80" t="s">
        <v>69</v>
      </c>
      <c r="J80" s="6" t="s">
        <v>69</v>
      </c>
      <c r="K80" t="s">
        <v>69</v>
      </c>
      <c r="L80" t="s">
        <v>69</v>
      </c>
      <c r="M80" t="s">
        <v>69</v>
      </c>
      <c r="N80" t="s">
        <v>69</v>
      </c>
    </row>
    <row r="81" spans="1:14">
      <c r="E81" s="6"/>
      <c r="J81" s="6"/>
    </row>
    <row r="82" spans="1:14">
      <c r="A82" s="33" t="s">
        <v>70</v>
      </c>
      <c r="B82" s="47">
        <v>0</v>
      </c>
      <c r="C82" s="47">
        <v>101000</v>
      </c>
      <c r="D82" s="47">
        <v>23668</v>
      </c>
      <c r="E82" s="47">
        <v>80000</v>
      </c>
      <c r="F82" s="47">
        <v>184679</v>
      </c>
      <c r="G82" s="10">
        <v>42500</v>
      </c>
      <c r="H82" s="54">
        <v>97000</v>
      </c>
      <c r="I82" s="47">
        <v>5000</v>
      </c>
      <c r="J82" s="47">
        <v>0</v>
      </c>
      <c r="K82" s="47">
        <v>185000</v>
      </c>
      <c r="L82" s="47">
        <v>0</v>
      </c>
      <c r="M82" s="47">
        <v>175000</v>
      </c>
      <c r="N82" s="7">
        <f>SUM(B82:M82)</f>
        <v>893847</v>
      </c>
    </row>
    <row r="83" spans="1:14">
      <c r="A83" s="33" t="s">
        <v>71</v>
      </c>
      <c r="B83" s="2">
        <f>+B82</f>
        <v>0</v>
      </c>
      <c r="C83" s="2">
        <f>+B83+C82</f>
        <v>101000</v>
      </c>
      <c r="D83" s="2">
        <f t="shared" ref="D83:M83" si="19">+C83+D82</f>
        <v>124668</v>
      </c>
      <c r="E83" s="7">
        <f t="shared" si="19"/>
        <v>204668</v>
      </c>
      <c r="F83" s="2">
        <f t="shared" si="19"/>
        <v>389347</v>
      </c>
      <c r="G83" s="7">
        <f t="shared" si="19"/>
        <v>431847</v>
      </c>
      <c r="H83" s="2">
        <f t="shared" si="19"/>
        <v>528847</v>
      </c>
      <c r="I83" s="2">
        <f t="shared" si="19"/>
        <v>533847</v>
      </c>
      <c r="J83" s="7">
        <f t="shared" si="19"/>
        <v>533847</v>
      </c>
      <c r="K83" s="2">
        <f t="shared" si="19"/>
        <v>718847</v>
      </c>
      <c r="L83" s="2">
        <f t="shared" si="19"/>
        <v>718847</v>
      </c>
      <c r="M83" s="2">
        <f t="shared" si="19"/>
        <v>893847</v>
      </c>
    </row>
    <row r="84" spans="1:14">
      <c r="A84" s="33" t="s">
        <v>72</v>
      </c>
      <c r="B84" s="7">
        <f>+B53</f>
        <v>24982</v>
      </c>
      <c r="C84" s="7">
        <f>SUM($B53:C53)</f>
        <v>383444</v>
      </c>
      <c r="D84" s="7">
        <f>SUM($B53:D53)</f>
        <v>434108</v>
      </c>
      <c r="E84" s="7">
        <f>SUM($B53:E53)</f>
        <v>478463</v>
      </c>
      <c r="F84" s="7">
        <f>SUM($B53:F53)</f>
        <v>665303</v>
      </c>
      <c r="G84" s="7">
        <f>SUM($B53:G53)</f>
        <v>867303</v>
      </c>
      <c r="H84" s="7">
        <f>SUM(B53:H53)</f>
        <v>1064303</v>
      </c>
      <c r="I84" s="7">
        <f>SUM(B53:I53)</f>
        <v>1206303</v>
      </c>
      <c r="J84" s="7">
        <f>SUM(B53:J53)</f>
        <v>1325303</v>
      </c>
      <c r="K84" s="7">
        <f>SUM(B53:K53)</f>
        <v>1325303</v>
      </c>
      <c r="L84" s="7">
        <f>SUM(B53:L53)</f>
        <v>1325303</v>
      </c>
      <c r="M84" s="7">
        <f>SUM(B53:M53)</f>
        <v>1780303</v>
      </c>
    </row>
    <row r="85" spans="1:14">
      <c r="A85" s="33" t="s">
        <v>73</v>
      </c>
      <c r="B85" s="7">
        <f t="shared" ref="B85:G85" si="20">+B83-B84</f>
        <v>-24982</v>
      </c>
      <c r="C85" s="7">
        <f t="shared" si="20"/>
        <v>-282444</v>
      </c>
      <c r="D85" s="7">
        <f t="shared" si="20"/>
        <v>-309440</v>
      </c>
      <c r="E85" s="7">
        <f t="shared" si="20"/>
        <v>-273795</v>
      </c>
      <c r="F85" s="7">
        <f t="shared" si="20"/>
        <v>-275956</v>
      </c>
      <c r="G85" s="7">
        <f t="shared" si="20"/>
        <v>-435456</v>
      </c>
      <c r="H85" s="7">
        <f t="shared" ref="H85:M85" si="21">+H83-H84</f>
        <v>-535456</v>
      </c>
      <c r="I85" s="7">
        <f t="shared" si="21"/>
        <v>-672456</v>
      </c>
      <c r="J85" s="7">
        <f t="shared" si="21"/>
        <v>-791456</v>
      </c>
      <c r="K85" s="7">
        <f t="shared" si="21"/>
        <v>-606456</v>
      </c>
      <c r="L85" s="7">
        <f t="shared" si="21"/>
        <v>-606456</v>
      </c>
      <c r="M85" s="7">
        <f t="shared" si="21"/>
        <v>-886456</v>
      </c>
    </row>
    <row r="86" spans="1:14">
      <c r="J86" s="6"/>
      <c r="K86" s="6"/>
    </row>
    <row r="87" spans="1:14">
      <c r="A87" t="s">
        <v>74</v>
      </c>
      <c r="B87" s="35">
        <f>-B56-B57</f>
        <v>288499</v>
      </c>
      <c r="C87" s="35">
        <f t="shared" ref="C87:N87" si="22">-C56-C57</f>
        <v>35937</v>
      </c>
      <c r="D87" s="35">
        <f t="shared" si="22"/>
        <v>56816</v>
      </c>
      <c r="E87" s="35">
        <f t="shared" si="22"/>
        <v>33000</v>
      </c>
      <c r="F87" s="35">
        <f t="shared" si="22"/>
        <v>33000</v>
      </c>
      <c r="G87" s="40">
        <f t="shared" si="22"/>
        <v>33000</v>
      </c>
      <c r="H87" s="35">
        <f t="shared" si="22"/>
        <v>33000</v>
      </c>
      <c r="I87" s="35">
        <f t="shared" si="22"/>
        <v>33000</v>
      </c>
      <c r="J87" s="35">
        <f t="shared" si="22"/>
        <v>34000</v>
      </c>
      <c r="K87" s="40">
        <f t="shared" si="22"/>
        <v>34000</v>
      </c>
      <c r="L87" s="35">
        <f t="shared" si="22"/>
        <v>34000</v>
      </c>
      <c r="M87" s="35">
        <f t="shared" si="22"/>
        <v>34000</v>
      </c>
      <c r="N87" s="35">
        <f t="shared" si="22"/>
        <v>682252</v>
      </c>
    </row>
    <row r="88" spans="1:14">
      <c r="C88" s="35">
        <f>+B87+C87</f>
        <v>324436</v>
      </c>
      <c r="D88" s="35">
        <f>+C88+D87</f>
        <v>381252</v>
      </c>
      <c r="E88" s="35">
        <f t="shared" ref="E88:M88" si="23">+D88+E87</f>
        <v>414252</v>
      </c>
      <c r="F88" s="35">
        <f t="shared" si="23"/>
        <v>447252</v>
      </c>
      <c r="G88" s="40">
        <f t="shared" si="23"/>
        <v>480252</v>
      </c>
      <c r="H88" s="35">
        <f t="shared" si="23"/>
        <v>513252</v>
      </c>
      <c r="I88" s="40">
        <f t="shared" si="23"/>
        <v>546252</v>
      </c>
      <c r="J88" s="40">
        <f t="shared" si="23"/>
        <v>580252</v>
      </c>
      <c r="K88" s="40">
        <f t="shared" si="23"/>
        <v>614252</v>
      </c>
      <c r="L88" s="35">
        <f t="shared" si="23"/>
        <v>648252</v>
      </c>
      <c r="M88" s="35">
        <f t="shared" si="23"/>
        <v>682252</v>
      </c>
    </row>
    <row r="89" spans="1:14">
      <c r="K89" s="6"/>
    </row>
    <row r="91" spans="1:14">
      <c r="B91" s="6"/>
      <c r="C91" s="6"/>
      <c r="D91" s="6"/>
      <c r="E91" s="6"/>
    </row>
    <row r="92" spans="1:14">
      <c r="B92" s="21">
        <v>48198</v>
      </c>
      <c r="C92" s="21">
        <v>109945</v>
      </c>
      <c r="D92" s="36">
        <v>126000</v>
      </c>
      <c r="E92" s="6">
        <v>7681</v>
      </c>
      <c r="F92">
        <v>52000</v>
      </c>
      <c r="G92" s="6">
        <v>207419</v>
      </c>
      <c r="H92">
        <v>18000</v>
      </c>
      <c r="I92">
        <v>25000</v>
      </c>
      <c r="J92">
        <v>42000</v>
      </c>
      <c r="K92">
        <v>0</v>
      </c>
      <c r="L92">
        <v>0</v>
      </c>
      <c r="M92">
        <v>150000</v>
      </c>
      <c r="N92">
        <v>786243</v>
      </c>
    </row>
    <row r="93" spans="1:14">
      <c r="B93" s="37"/>
      <c r="C93" s="38"/>
      <c r="D93" s="6"/>
      <c r="E93" s="6"/>
    </row>
    <row r="94" spans="1:14">
      <c r="B94" s="6"/>
      <c r="C94" s="6"/>
      <c r="D94" s="6"/>
      <c r="E94" s="6"/>
    </row>
    <row r="95" spans="1:14">
      <c r="B95" s="6"/>
      <c r="C95" s="6"/>
      <c r="D95" s="21"/>
      <c r="E95" s="6"/>
    </row>
    <row r="96" spans="1:14">
      <c r="B96" s="6"/>
      <c r="C96" s="6"/>
      <c r="D96" s="6"/>
      <c r="E96" s="6"/>
    </row>
    <row r="97" spans="2:5">
      <c r="B97" s="6"/>
      <c r="C97" s="6"/>
      <c r="D97" s="6"/>
      <c r="E97" s="6"/>
    </row>
    <row r="98" spans="2:5">
      <c r="B98" s="6"/>
      <c r="C98" s="6"/>
      <c r="D98" s="6"/>
      <c r="E98" s="6"/>
    </row>
    <row r="99" spans="2:5">
      <c r="B99" s="6"/>
      <c r="C99" s="6"/>
      <c r="D99" s="34"/>
      <c r="E99" s="6"/>
    </row>
    <row r="100" spans="2:5">
      <c r="B100" s="6"/>
      <c r="C100" s="6"/>
      <c r="D100" s="6"/>
      <c r="E100" s="6"/>
    </row>
    <row r="101" spans="2:5">
      <c r="B101" s="6"/>
      <c r="C101" s="6"/>
      <c r="D101" s="6"/>
      <c r="E101" s="6"/>
    </row>
  </sheetData>
  <pageMargins left="0.28000000000000003" right="0.25" top="0.99" bottom="0.75" header="0.63" footer="0.23"/>
  <pageSetup scale="67" orientation="landscape" r:id="rId1"/>
  <headerFooter alignWithMargins="0">
    <oddHeader xml:space="preserve">&amp;C&amp;"Arial,Bold"&amp;11 49ER SHOPS, INC.
&amp;UFY2016/2017 OPERATIONAL CASH FLOW </oddHeader>
    <oddFooter>&amp;CCash Flow - FY2016/2017
September 2016</oddFooter>
  </headerFooter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FF00"/>
    <pageSetUpPr fitToPage="1"/>
  </sheetPr>
  <dimension ref="A1:AR96"/>
  <sheetViews>
    <sheetView showGridLines="0" workbookViewId="0">
      <pane xSplit="1" ySplit="3" topLeftCell="B52" activePane="bottomRight" state="frozen"/>
      <selection pane="topRight" activeCell="B72" sqref="B72"/>
      <selection pane="bottomLeft" activeCell="B72" sqref="B72"/>
      <selection pane="bottomRight" activeCell="D92" sqref="D92"/>
    </sheetView>
  </sheetViews>
  <sheetFormatPr defaultRowHeight="12.75"/>
  <cols>
    <col min="1" max="1" width="35.42578125" customWidth="1"/>
    <col min="2" max="2" width="14" customWidth="1"/>
    <col min="3" max="3" width="12.5703125" customWidth="1"/>
    <col min="4" max="4" width="12.140625" customWidth="1"/>
    <col min="5" max="5" width="13.5703125" customWidth="1"/>
    <col min="6" max="6" width="12.85546875" customWidth="1"/>
    <col min="7" max="7" width="12.5703125" style="6" customWidth="1"/>
    <col min="8" max="9" width="12.85546875" customWidth="1"/>
    <col min="10" max="11" width="12.140625" customWidth="1"/>
    <col min="12" max="13" width="12.85546875" customWidth="1"/>
    <col min="14" max="14" width="12.85546875" bestFit="1" customWidth="1"/>
    <col min="15" max="15" width="10.140625" bestFit="1" customWidth="1"/>
    <col min="16" max="16" width="13.140625" bestFit="1" customWidth="1"/>
  </cols>
  <sheetData>
    <row r="1" spans="1:15" ht="13.5" thickBot="1">
      <c r="A1" s="46" t="s">
        <v>83</v>
      </c>
      <c r="E1" s="6"/>
      <c r="F1" s="6"/>
      <c r="J1" s="6"/>
      <c r="K1" s="6"/>
      <c r="N1" s="3"/>
    </row>
    <row r="2" spans="1:15">
      <c r="B2" s="45" t="s">
        <v>24</v>
      </c>
      <c r="C2" s="45" t="s">
        <v>24</v>
      </c>
      <c r="D2" s="45" t="s">
        <v>24</v>
      </c>
      <c r="E2" s="45" t="s">
        <v>24</v>
      </c>
      <c r="F2" s="45" t="s">
        <v>76</v>
      </c>
      <c r="G2" s="45" t="s">
        <v>76</v>
      </c>
      <c r="H2" s="45" t="s">
        <v>76</v>
      </c>
      <c r="I2" s="45" t="s">
        <v>76</v>
      </c>
      <c r="J2" s="45" t="s">
        <v>76</v>
      </c>
      <c r="K2" s="45" t="s">
        <v>76</v>
      </c>
      <c r="L2" s="45" t="s">
        <v>76</v>
      </c>
      <c r="M2" s="45" t="s">
        <v>76</v>
      </c>
      <c r="N2" s="55" t="s">
        <v>25</v>
      </c>
    </row>
    <row r="3" spans="1:15" s="5" customFormat="1">
      <c r="B3" s="11">
        <v>42553</v>
      </c>
      <c r="C3" s="11">
        <v>42584</v>
      </c>
      <c r="D3" s="11">
        <v>42615</v>
      </c>
      <c r="E3" s="11">
        <v>42645</v>
      </c>
      <c r="F3" s="11">
        <v>42676</v>
      </c>
      <c r="G3" s="11">
        <v>42706</v>
      </c>
      <c r="H3" s="11">
        <v>42737</v>
      </c>
      <c r="I3" s="11">
        <v>42768</v>
      </c>
      <c r="J3" s="11">
        <v>42796</v>
      </c>
      <c r="K3" s="11">
        <v>42827</v>
      </c>
      <c r="L3" s="11">
        <v>42857</v>
      </c>
      <c r="M3" s="11">
        <v>42888</v>
      </c>
      <c r="N3" s="57" t="s">
        <v>77</v>
      </c>
    </row>
    <row r="4" spans="1:15" hidden="1">
      <c r="A4" s="1" t="s">
        <v>27</v>
      </c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>
        <f>SUM(B4:M4)</f>
        <v>0</v>
      </c>
      <c r="O4" s="6"/>
    </row>
    <row r="5" spans="1:15" s="6" customFormat="1" hidden="1">
      <c r="A5" s="6" t="s">
        <v>28</v>
      </c>
      <c r="B5" s="53">
        <v>1199482</v>
      </c>
      <c r="C5" s="53">
        <v>4828670</v>
      </c>
      <c r="D5" s="53">
        <v>3749028</v>
      </c>
      <c r="E5" s="53">
        <v>3546355</v>
      </c>
      <c r="F5" s="53">
        <v>2491408.6501843799</v>
      </c>
      <c r="G5" s="53">
        <v>2443225.8391503901</v>
      </c>
      <c r="H5" s="53">
        <v>4392028.1440046299</v>
      </c>
      <c r="I5" s="53">
        <v>3229385.12840016</v>
      </c>
      <c r="J5" s="53">
        <v>3101264.61223314</v>
      </c>
      <c r="K5" s="53">
        <v>2861289.1218165602</v>
      </c>
      <c r="L5" s="53">
        <v>2884558.9345671199</v>
      </c>
      <c r="M5" s="53">
        <v>1536863.9470107399</v>
      </c>
      <c r="N5" s="12">
        <f>SUM(B5:M5)</f>
        <v>36263559.377367124</v>
      </c>
    </row>
    <row r="6" spans="1:15" s="6" customFormat="1" hidden="1">
      <c r="A6" s="6" t="s">
        <v>29</v>
      </c>
      <c r="B6" s="53">
        <v>54104</v>
      </c>
      <c r="C6" s="53">
        <v>50888</v>
      </c>
      <c r="D6" s="53">
        <v>47975</v>
      </c>
      <c r="E6" s="53">
        <v>339053</v>
      </c>
      <c r="F6" s="53">
        <v>68608.629526434102</v>
      </c>
      <c r="G6" s="53">
        <v>80537.490202171612</v>
      </c>
      <c r="H6" s="53">
        <v>93715.085794590996</v>
      </c>
      <c r="I6" s="53">
        <v>76173.313860300201</v>
      </c>
      <c r="J6" s="53">
        <v>194949.6852683014</v>
      </c>
      <c r="K6" s="53">
        <v>107775.7156534557</v>
      </c>
      <c r="L6" s="53">
        <v>303701.34733729798</v>
      </c>
      <c r="M6" s="53">
        <v>46075.731999999996</v>
      </c>
      <c r="N6" s="7">
        <f>SUM(B6:M6)</f>
        <v>1463556.9996425521</v>
      </c>
    </row>
    <row r="7" spans="1:15" s="6" customFormat="1" hidden="1">
      <c r="B7" s="7"/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7">
        <f>SUM(B7:M7)</f>
        <v>0</v>
      </c>
    </row>
    <row r="8" spans="1:15" s="6" customFormat="1" hidden="1">
      <c r="B8" s="15"/>
      <c r="C8" s="15"/>
      <c r="D8" s="15"/>
      <c r="E8" s="15"/>
      <c r="F8" s="15"/>
      <c r="G8" s="15"/>
      <c r="H8" s="15"/>
      <c r="I8" s="15"/>
      <c r="J8" s="15"/>
      <c r="K8" s="15"/>
      <c r="L8" s="15"/>
      <c r="M8" s="15"/>
      <c r="N8" s="15">
        <f>SUM(B8:M8)</f>
        <v>0</v>
      </c>
    </row>
    <row r="9" spans="1:15" s="6" customFormat="1">
      <c r="A9" s="13" t="s">
        <v>30</v>
      </c>
      <c r="B9" s="12">
        <f t="shared" ref="B9:N9" si="0">SUM(B5:B8)</f>
        <v>1253586</v>
      </c>
      <c r="C9" s="12">
        <f t="shared" si="0"/>
        <v>4879558</v>
      </c>
      <c r="D9" s="12">
        <f t="shared" si="0"/>
        <v>3797003</v>
      </c>
      <c r="E9" s="12">
        <v>3546355</v>
      </c>
      <c r="F9" s="12">
        <f t="shared" si="0"/>
        <v>2560017.2797108139</v>
      </c>
      <c r="G9" s="12">
        <f t="shared" si="0"/>
        <v>2523763.3293525619</v>
      </c>
      <c r="H9" s="12">
        <f t="shared" si="0"/>
        <v>4485743.2297992213</v>
      </c>
      <c r="I9" s="12">
        <f t="shared" si="0"/>
        <v>3305558.44226046</v>
      </c>
      <c r="J9" s="12">
        <f t="shared" si="0"/>
        <v>3296214.2975014416</v>
      </c>
      <c r="K9" s="12">
        <f t="shared" si="0"/>
        <v>2969064.837470016</v>
      </c>
      <c r="L9" s="12">
        <f t="shared" si="0"/>
        <v>3188260.281904418</v>
      </c>
      <c r="M9" s="12">
        <f t="shared" si="0"/>
        <v>1582939.67901074</v>
      </c>
      <c r="N9" s="12">
        <f t="shared" si="0"/>
        <v>37727116.377009675</v>
      </c>
    </row>
    <row r="10" spans="1:15" s="6" customFormat="1" ht="6.75" customHeight="1"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</row>
    <row r="11" spans="1:15" s="6" customFormat="1">
      <c r="A11" s="13" t="s">
        <v>31</v>
      </c>
      <c r="B11" s="7">
        <v>7663</v>
      </c>
      <c r="C11" s="7">
        <v>2297</v>
      </c>
      <c r="D11" s="7">
        <v>6582</v>
      </c>
      <c r="E11" s="7">
        <v>62</v>
      </c>
      <c r="F11" s="7"/>
      <c r="G11" s="7"/>
      <c r="H11" s="7"/>
      <c r="I11" s="7"/>
      <c r="J11" s="7"/>
      <c r="K11" s="7"/>
      <c r="L11" s="7"/>
      <c r="M11" s="7"/>
      <c r="N11" s="7">
        <f>SUM(B11:M11)</f>
        <v>16604</v>
      </c>
    </row>
    <row r="12" spans="1:15" s="6" customFormat="1" ht="7.5" customHeight="1">
      <c r="B12" s="7"/>
      <c r="C12" s="7"/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</row>
    <row r="13" spans="1:15" s="6" customFormat="1" ht="13.5" thickBot="1">
      <c r="A13" s="13" t="s">
        <v>32</v>
      </c>
      <c r="B13" s="14">
        <f t="shared" ref="B13:N13" si="1">B9+B11</f>
        <v>1261249</v>
      </c>
      <c r="C13" s="14">
        <f>C9+C11</f>
        <v>4881855</v>
      </c>
      <c r="D13" s="14">
        <f t="shared" si="1"/>
        <v>3803585</v>
      </c>
      <c r="E13" s="14">
        <f t="shared" si="1"/>
        <v>3546417</v>
      </c>
      <c r="F13" s="14">
        <f t="shared" si="1"/>
        <v>2560017.2797108139</v>
      </c>
      <c r="G13" s="14">
        <f t="shared" si="1"/>
        <v>2523763.3293525619</v>
      </c>
      <c r="H13" s="14">
        <f t="shared" si="1"/>
        <v>4485743.2297992213</v>
      </c>
      <c r="I13" s="14">
        <f t="shared" si="1"/>
        <v>3305558.44226046</v>
      </c>
      <c r="J13" s="14">
        <f t="shared" si="1"/>
        <v>3296214.2975014416</v>
      </c>
      <c r="K13" s="14">
        <f t="shared" si="1"/>
        <v>2969064.837470016</v>
      </c>
      <c r="L13" s="14">
        <f t="shared" si="1"/>
        <v>3188260.281904418</v>
      </c>
      <c r="M13" s="14">
        <f t="shared" si="1"/>
        <v>1582939.67901074</v>
      </c>
      <c r="N13" s="14">
        <f t="shared" si="1"/>
        <v>37743720.377009675</v>
      </c>
    </row>
    <row r="14" spans="1:15" s="6" customFormat="1" ht="13.5" thickTop="1">
      <c r="B14" s="7"/>
      <c r="C14" s="7"/>
      <c r="D14" s="7"/>
      <c r="E14" s="7"/>
      <c r="F14" s="7"/>
      <c r="G14" s="7"/>
      <c r="H14" s="7"/>
      <c r="I14" s="7"/>
      <c r="J14" s="7"/>
      <c r="K14" s="7"/>
      <c r="L14" s="7"/>
      <c r="M14" s="7"/>
    </row>
    <row r="15" spans="1:15" s="6" customFormat="1" hidden="1">
      <c r="A15" s="13" t="s">
        <v>33</v>
      </c>
      <c r="B15" s="7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</row>
    <row r="16" spans="1:15" s="6" customFormat="1" hidden="1">
      <c r="A16" s="6" t="s">
        <v>34</v>
      </c>
      <c r="B16" s="53">
        <v>620285</v>
      </c>
      <c r="C16" s="53">
        <v>2968543</v>
      </c>
      <c r="D16" s="53">
        <v>1627085</v>
      </c>
      <c r="E16" s="53">
        <v>1339249</v>
      </c>
      <c r="F16" s="53">
        <v>920442.29592504795</v>
      </c>
      <c r="G16" s="53">
        <v>994515.62781412899</v>
      </c>
      <c r="H16" s="53">
        <v>2724198.5675140698</v>
      </c>
      <c r="I16" s="53">
        <v>1309498.16154439</v>
      </c>
      <c r="J16" s="53">
        <v>1146427.91045744</v>
      </c>
      <c r="K16" s="53">
        <v>1014457.82475312</v>
      </c>
      <c r="L16" s="53">
        <v>1202846.3247627199</v>
      </c>
      <c r="M16" s="53">
        <v>808585.32395320502</v>
      </c>
      <c r="N16" s="7">
        <f>SUM(B16:M16)</f>
        <v>16676134.036724122</v>
      </c>
    </row>
    <row r="17" spans="1:44" s="6" customFormat="1" hidden="1">
      <c r="B17" s="27"/>
      <c r="C17" s="27"/>
      <c r="D17" s="27"/>
      <c r="E17" s="27"/>
      <c r="F17" s="27"/>
      <c r="G17" s="27"/>
      <c r="H17" s="27"/>
      <c r="I17" s="27"/>
      <c r="J17" s="27"/>
      <c r="K17" s="27"/>
      <c r="L17" s="27"/>
      <c r="M17" s="27"/>
      <c r="N17" s="7">
        <f>SUM(B17:M17)</f>
        <v>0</v>
      </c>
    </row>
    <row r="18" spans="1:44" s="6" customFormat="1" hidden="1">
      <c r="B18" s="7"/>
      <c r="C18" s="7"/>
      <c r="D18" s="7"/>
      <c r="E18" s="7"/>
      <c r="F18" s="7"/>
      <c r="G18" s="7"/>
      <c r="H18" s="7"/>
      <c r="I18" s="7"/>
      <c r="J18" s="7"/>
      <c r="K18" s="7"/>
      <c r="L18" s="7"/>
      <c r="M18" s="7"/>
      <c r="N18" s="7">
        <v>0</v>
      </c>
    </row>
    <row r="19" spans="1:44" s="6" customFormat="1" hidden="1">
      <c r="B19" s="15"/>
      <c r="C19" s="15"/>
      <c r="D19" s="15"/>
      <c r="E19" s="15"/>
      <c r="F19" s="15"/>
      <c r="G19" s="15"/>
      <c r="H19" s="15"/>
      <c r="I19" s="15"/>
      <c r="J19" s="15"/>
      <c r="K19" s="15"/>
      <c r="L19" s="15"/>
      <c r="M19" s="15"/>
      <c r="N19" s="15">
        <f>SUM(B19:M19)</f>
        <v>0</v>
      </c>
    </row>
    <row r="20" spans="1:44" s="6" customFormat="1">
      <c r="A20" s="13" t="s">
        <v>35</v>
      </c>
      <c r="B20" s="12">
        <f t="shared" ref="B20:N20" si="2">SUM(B16:B19)</f>
        <v>620285</v>
      </c>
      <c r="C20" s="12">
        <f t="shared" si="2"/>
        <v>2968543</v>
      </c>
      <c r="D20" s="12">
        <f t="shared" si="2"/>
        <v>1627085</v>
      </c>
      <c r="E20" s="12">
        <f t="shared" si="2"/>
        <v>1339249</v>
      </c>
      <c r="F20" s="12">
        <f t="shared" si="2"/>
        <v>920442.29592504795</v>
      </c>
      <c r="G20" s="12">
        <f t="shared" si="2"/>
        <v>994515.62781412899</v>
      </c>
      <c r="H20" s="12">
        <f t="shared" si="2"/>
        <v>2724198.5675140698</v>
      </c>
      <c r="I20" s="12">
        <f t="shared" si="2"/>
        <v>1309498.16154439</v>
      </c>
      <c r="J20" s="12">
        <f t="shared" si="2"/>
        <v>1146427.91045744</v>
      </c>
      <c r="K20" s="12">
        <f t="shared" si="2"/>
        <v>1014457.82475312</v>
      </c>
      <c r="L20" s="12">
        <f t="shared" si="2"/>
        <v>1202846.3247627199</v>
      </c>
      <c r="M20" s="12">
        <f t="shared" si="2"/>
        <v>808585.32395320502</v>
      </c>
      <c r="N20" s="12">
        <f t="shared" si="2"/>
        <v>16676134.036724122</v>
      </c>
    </row>
    <row r="21" spans="1:44" s="6" customFormat="1">
      <c r="B21" s="7"/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</row>
    <row r="22" spans="1:44" s="6" customFormat="1" hidden="1">
      <c r="A22" s="13" t="s">
        <v>36</v>
      </c>
      <c r="B22" s="7"/>
      <c r="C22" s="7"/>
      <c r="D22" s="7"/>
      <c r="E22" s="7"/>
      <c r="F22" s="7"/>
      <c r="G22" s="7"/>
      <c r="H22" s="7"/>
      <c r="I22" s="7"/>
      <c r="J22" s="7"/>
      <c r="K22" s="7"/>
      <c r="L22" s="7"/>
      <c r="M22" s="7"/>
    </row>
    <row r="23" spans="1:44" s="6" customFormat="1" hidden="1">
      <c r="A23" s="6" t="s">
        <v>37</v>
      </c>
      <c r="B23" s="7">
        <f t="shared" ref="B23:M26" si="3">+B5-B16</f>
        <v>579197</v>
      </c>
      <c r="C23" s="7">
        <f t="shared" si="3"/>
        <v>1860127</v>
      </c>
      <c r="D23" s="7">
        <f t="shared" si="3"/>
        <v>2121943</v>
      </c>
      <c r="E23" s="7">
        <f t="shared" si="3"/>
        <v>2207106</v>
      </c>
      <c r="F23" s="7">
        <f t="shared" si="3"/>
        <v>1570966.3542593319</v>
      </c>
      <c r="G23" s="7">
        <f t="shared" si="3"/>
        <v>1448710.2113362611</v>
      </c>
      <c r="H23" s="7">
        <f t="shared" si="3"/>
        <v>1667829.5764905601</v>
      </c>
      <c r="I23" s="7">
        <f t="shared" si="3"/>
        <v>1919886.96685577</v>
      </c>
      <c r="J23" s="7">
        <f t="shared" si="3"/>
        <v>1954836.7017757001</v>
      </c>
      <c r="K23" s="7">
        <f t="shared" si="3"/>
        <v>1846831.2970634401</v>
      </c>
      <c r="L23" s="7">
        <f t="shared" si="3"/>
        <v>1681712.6098044</v>
      </c>
      <c r="M23" s="7">
        <f t="shared" si="3"/>
        <v>728278.62305753492</v>
      </c>
      <c r="N23" s="7">
        <f>SUM(B23:M23)</f>
        <v>19587425.340642996</v>
      </c>
    </row>
    <row r="24" spans="1:44" s="6" customFormat="1" hidden="1">
      <c r="A24" s="6" t="s">
        <v>37</v>
      </c>
      <c r="B24" s="7">
        <f t="shared" si="3"/>
        <v>54104</v>
      </c>
      <c r="C24" s="7">
        <f t="shared" si="3"/>
        <v>50888</v>
      </c>
      <c r="D24" s="7">
        <f t="shared" si="3"/>
        <v>47975</v>
      </c>
      <c r="E24" s="7">
        <f t="shared" si="3"/>
        <v>339053</v>
      </c>
      <c r="F24" s="7">
        <f t="shared" si="3"/>
        <v>68608.629526434102</v>
      </c>
      <c r="G24" s="7">
        <f t="shared" si="3"/>
        <v>80537.490202171612</v>
      </c>
      <c r="H24" s="7">
        <f t="shared" si="3"/>
        <v>93715.085794590996</v>
      </c>
      <c r="I24" s="7">
        <f t="shared" si="3"/>
        <v>76173.313860300201</v>
      </c>
      <c r="J24" s="7">
        <f t="shared" si="3"/>
        <v>194949.6852683014</v>
      </c>
      <c r="K24" s="7">
        <f t="shared" si="3"/>
        <v>107775.7156534557</v>
      </c>
      <c r="L24" s="7">
        <f t="shared" si="3"/>
        <v>303701.34733729798</v>
      </c>
      <c r="M24" s="7">
        <f t="shared" si="3"/>
        <v>46075.731999999996</v>
      </c>
      <c r="N24" s="7">
        <f>SUM(B24:M24)</f>
        <v>1463556.9996425521</v>
      </c>
    </row>
    <row r="25" spans="1:44" s="6" customFormat="1" hidden="1">
      <c r="A25" s="6" t="s">
        <v>38</v>
      </c>
      <c r="B25" s="7">
        <f t="shared" si="3"/>
        <v>0</v>
      </c>
      <c r="C25" s="7">
        <f t="shared" si="3"/>
        <v>0</v>
      </c>
      <c r="D25" s="7">
        <f t="shared" si="3"/>
        <v>0</v>
      </c>
      <c r="E25" s="7">
        <f t="shared" si="3"/>
        <v>0</v>
      </c>
      <c r="F25" s="7">
        <f t="shared" si="3"/>
        <v>0</v>
      </c>
      <c r="G25" s="7">
        <f t="shared" si="3"/>
        <v>0</v>
      </c>
      <c r="H25" s="7">
        <f t="shared" si="3"/>
        <v>0</v>
      </c>
      <c r="I25" s="7">
        <f t="shared" si="3"/>
        <v>0</v>
      </c>
      <c r="J25" s="7">
        <f t="shared" si="3"/>
        <v>0</v>
      </c>
      <c r="K25" s="7">
        <f t="shared" si="3"/>
        <v>0</v>
      </c>
      <c r="L25" s="7">
        <f t="shared" si="3"/>
        <v>0</v>
      </c>
      <c r="M25" s="7">
        <f t="shared" si="3"/>
        <v>0</v>
      </c>
      <c r="N25" s="7">
        <f>SUM(B25:M25)</f>
        <v>0</v>
      </c>
    </row>
    <row r="26" spans="1:44" s="6" customFormat="1" hidden="1">
      <c r="A26" s="6" t="s">
        <v>38</v>
      </c>
      <c r="B26" s="15">
        <f t="shared" si="3"/>
        <v>0</v>
      </c>
      <c r="C26" s="15">
        <f t="shared" si="3"/>
        <v>0</v>
      </c>
      <c r="D26" s="15">
        <f t="shared" si="3"/>
        <v>0</v>
      </c>
      <c r="E26" s="15">
        <f t="shared" si="3"/>
        <v>0</v>
      </c>
      <c r="F26" s="15">
        <f t="shared" si="3"/>
        <v>0</v>
      </c>
      <c r="G26" s="15">
        <f t="shared" si="3"/>
        <v>0</v>
      </c>
      <c r="H26" s="15">
        <f t="shared" si="3"/>
        <v>0</v>
      </c>
      <c r="I26" s="15">
        <f t="shared" si="3"/>
        <v>0</v>
      </c>
      <c r="J26" s="15">
        <f t="shared" si="3"/>
        <v>0</v>
      </c>
      <c r="K26" s="15">
        <f t="shared" si="3"/>
        <v>0</v>
      </c>
      <c r="L26" s="15">
        <f t="shared" si="3"/>
        <v>0</v>
      </c>
      <c r="M26" s="15">
        <f t="shared" si="3"/>
        <v>0</v>
      </c>
      <c r="N26" s="15">
        <f>SUM(B26:M26)</f>
        <v>0</v>
      </c>
    </row>
    <row r="27" spans="1:44" s="6" customFormat="1">
      <c r="A27" s="13" t="s">
        <v>39</v>
      </c>
      <c r="B27" s="12">
        <f t="shared" ref="B27:N27" si="4">SUM(B23:B26)</f>
        <v>633301</v>
      </c>
      <c r="C27" s="12">
        <f t="shared" si="4"/>
        <v>1911015</v>
      </c>
      <c r="D27" s="12">
        <f t="shared" si="4"/>
        <v>2169918</v>
      </c>
      <c r="E27" s="12">
        <f t="shared" si="4"/>
        <v>2546159</v>
      </c>
      <c r="F27" s="12">
        <f t="shared" si="4"/>
        <v>1639574.9837857659</v>
      </c>
      <c r="G27" s="12">
        <f t="shared" si="4"/>
        <v>1529247.7015384329</v>
      </c>
      <c r="H27" s="12">
        <f t="shared" si="4"/>
        <v>1761544.662285151</v>
      </c>
      <c r="I27" s="12">
        <f t="shared" si="4"/>
        <v>1996060.2807160702</v>
      </c>
      <c r="J27" s="12">
        <f t="shared" si="4"/>
        <v>2149786.3870440014</v>
      </c>
      <c r="K27" s="12">
        <f t="shared" si="4"/>
        <v>1954607.0127168959</v>
      </c>
      <c r="L27" s="12">
        <f t="shared" si="4"/>
        <v>1985413.9571416979</v>
      </c>
      <c r="M27" s="12">
        <f>SUM(M23:M26)</f>
        <v>774354.35505753488</v>
      </c>
      <c r="N27" s="12">
        <f t="shared" si="4"/>
        <v>21050982.340285547</v>
      </c>
    </row>
    <row r="28" spans="1:44" s="6" customFormat="1">
      <c r="B28" s="7"/>
      <c r="C28" s="7"/>
      <c r="D28" s="7"/>
      <c r="E28" s="7"/>
      <c r="F28" s="7"/>
      <c r="G28" s="7"/>
      <c r="H28" s="7"/>
      <c r="I28" s="7"/>
      <c r="J28" s="7"/>
      <c r="K28" s="7"/>
      <c r="L28" s="7"/>
      <c r="M28" s="7"/>
    </row>
    <row r="29" spans="1:44" s="6" customFormat="1" hidden="1">
      <c r="A29" s="13" t="s">
        <v>40</v>
      </c>
      <c r="B29" s="7"/>
      <c r="C29" s="7"/>
      <c r="D29" s="7"/>
      <c r="E29" s="7"/>
      <c r="F29" s="7"/>
      <c r="G29" s="7"/>
      <c r="H29" s="7"/>
      <c r="I29" s="7"/>
      <c r="J29" s="7"/>
      <c r="K29" s="7"/>
      <c r="L29" s="7"/>
      <c r="M29" s="7"/>
    </row>
    <row r="30" spans="1:44" s="6" customFormat="1" hidden="1">
      <c r="A30" s="6" t="s">
        <v>41</v>
      </c>
      <c r="B30" s="53">
        <v>392880</v>
      </c>
      <c r="C30" s="53">
        <v>559131</v>
      </c>
      <c r="D30" s="53">
        <v>664356</v>
      </c>
      <c r="E30" s="53">
        <v>808302</v>
      </c>
      <c r="F30" s="53">
        <v>592548.56023265596</v>
      </c>
      <c r="G30" s="53">
        <v>571132.83865265502</v>
      </c>
      <c r="H30" s="53">
        <v>611166.92702081904</v>
      </c>
      <c r="I30" s="53">
        <v>664473.65115265595</v>
      </c>
      <c r="J30" s="53">
        <v>653848.24865265505</v>
      </c>
      <c r="K30" s="53">
        <v>727810.13162081898</v>
      </c>
      <c r="L30" s="53">
        <v>615430.25565265596</v>
      </c>
      <c r="M30" s="53">
        <v>456542.16991265502</v>
      </c>
      <c r="N30" s="7">
        <f>SUM(B30:M30)</f>
        <v>7317621.7828975711</v>
      </c>
    </row>
    <row r="31" spans="1:44" s="6" customFormat="1" hidden="1">
      <c r="A31" s="6" t="s">
        <v>42</v>
      </c>
      <c r="B31" s="53">
        <v>216187</v>
      </c>
      <c r="C31" s="53">
        <v>190413</v>
      </c>
      <c r="D31" s="53">
        <v>232147</v>
      </c>
      <c r="E31" s="53">
        <v>210938</v>
      </c>
      <c r="F31" s="53">
        <v>194628.20504591099</v>
      </c>
      <c r="G31" s="53">
        <v>192740.601426243</v>
      </c>
      <c r="H31" s="53">
        <v>210196.707905202</v>
      </c>
      <c r="I31" s="53">
        <v>201269.28383633701</v>
      </c>
      <c r="J31" s="53">
        <v>200709.39503545201</v>
      </c>
      <c r="K31" s="53">
        <v>223370.57771881</v>
      </c>
      <c r="L31" s="53">
        <v>196340.080043806</v>
      </c>
      <c r="M31" s="53">
        <v>191011.551540168</v>
      </c>
      <c r="N31" s="7">
        <f>SUM(B31:M31)</f>
        <v>2459951.402551929</v>
      </c>
    </row>
    <row r="32" spans="1:44" s="6" customFormat="1" ht="15" hidden="1">
      <c r="A32" s="6" t="s">
        <v>38</v>
      </c>
      <c r="B32" s="65"/>
      <c r="C32" s="65"/>
      <c r="D32" s="65"/>
      <c r="E32" s="65"/>
      <c r="F32" s="65"/>
      <c r="G32" s="65"/>
      <c r="H32" s="65"/>
      <c r="I32" s="65"/>
      <c r="J32" s="65"/>
      <c r="K32" s="65"/>
      <c r="L32" s="65"/>
      <c r="M32" s="65"/>
      <c r="N32" s="7">
        <f>SUM(B32:M32)</f>
        <v>0</v>
      </c>
      <c r="P32" s="6">
        <f>+B32*-1</f>
        <v>0</v>
      </c>
      <c r="Q32" s="6">
        <f t="shared" ref="Q32:AF33" si="5">+C32*-1</f>
        <v>0</v>
      </c>
      <c r="R32" s="6">
        <f t="shared" si="5"/>
        <v>0</v>
      </c>
      <c r="S32" s="6">
        <f t="shared" si="5"/>
        <v>0</v>
      </c>
      <c r="T32" s="6">
        <f t="shared" si="5"/>
        <v>0</v>
      </c>
      <c r="U32" s="6">
        <f t="shared" si="5"/>
        <v>0</v>
      </c>
      <c r="V32" s="6">
        <f t="shared" si="5"/>
        <v>0</v>
      </c>
      <c r="W32" s="6">
        <f t="shared" si="5"/>
        <v>0</v>
      </c>
      <c r="X32" s="6">
        <f t="shared" si="5"/>
        <v>0</v>
      </c>
      <c r="Y32" s="6">
        <f t="shared" si="5"/>
        <v>0</v>
      </c>
      <c r="Z32" s="6">
        <f t="shared" si="5"/>
        <v>0</v>
      </c>
      <c r="AA32" s="6">
        <f t="shared" si="5"/>
        <v>0</v>
      </c>
      <c r="AB32" s="6">
        <f t="shared" si="5"/>
        <v>0</v>
      </c>
      <c r="AC32" s="6">
        <f t="shared" si="5"/>
        <v>0</v>
      </c>
      <c r="AD32" s="6">
        <f t="shared" si="5"/>
        <v>0</v>
      </c>
      <c r="AE32" s="6">
        <f t="shared" si="5"/>
        <v>0</v>
      </c>
      <c r="AF32" s="6">
        <f t="shared" si="5"/>
        <v>0</v>
      </c>
      <c r="AG32" s="6">
        <f t="shared" ref="AG32:AR33" si="6">+S32*-1</f>
        <v>0</v>
      </c>
      <c r="AH32" s="6">
        <f t="shared" si="6"/>
        <v>0</v>
      </c>
      <c r="AI32" s="6">
        <f t="shared" si="6"/>
        <v>0</v>
      </c>
      <c r="AJ32" s="6">
        <f t="shared" si="6"/>
        <v>0</v>
      </c>
      <c r="AK32" s="6">
        <f t="shared" si="6"/>
        <v>0</v>
      </c>
      <c r="AL32" s="6">
        <f t="shared" si="6"/>
        <v>0</v>
      </c>
      <c r="AM32" s="6">
        <f t="shared" si="6"/>
        <v>0</v>
      </c>
      <c r="AN32" s="6">
        <f t="shared" si="6"/>
        <v>0</v>
      </c>
      <c r="AO32" s="6">
        <f t="shared" si="6"/>
        <v>0</v>
      </c>
      <c r="AP32" s="6">
        <f t="shared" si="6"/>
        <v>0</v>
      </c>
      <c r="AQ32" s="6">
        <f t="shared" si="6"/>
        <v>0</v>
      </c>
      <c r="AR32" s="6">
        <f t="shared" si="6"/>
        <v>0</v>
      </c>
    </row>
    <row r="33" spans="1:44" s="6" customFormat="1" hidden="1">
      <c r="B33" s="15"/>
      <c r="C33" s="15"/>
      <c r="D33" s="15"/>
      <c r="E33" s="15"/>
      <c r="F33" s="15"/>
      <c r="G33" s="15"/>
      <c r="H33" s="15"/>
      <c r="I33" s="15"/>
      <c r="J33" s="15"/>
      <c r="K33" s="15"/>
      <c r="L33" s="15"/>
      <c r="M33" s="15"/>
      <c r="N33" s="15">
        <f>SUM(B33:M33)</f>
        <v>0</v>
      </c>
      <c r="Q33" s="6">
        <f t="shared" si="5"/>
        <v>0</v>
      </c>
      <c r="R33" s="6">
        <f t="shared" si="5"/>
        <v>0</v>
      </c>
      <c r="S33" s="6">
        <f t="shared" si="5"/>
        <v>0</v>
      </c>
      <c r="T33" s="6">
        <f t="shared" si="5"/>
        <v>0</v>
      </c>
      <c r="U33" s="6">
        <f t="shared" si="5"/>
        <v>0</v>
      </c>
      <c r="V33" s="6">
        <f t="shared" si="5"/>
        <v>0</v>
      </c>
      <c r="W33" s="6">
        <f t="shared" si="5"/>
        <v>0</v>
      </c>
      <c r="X33" s="6">
        <f t="shared" si="5"/>
        <v>0</v>
      </c>
      <c r="Y33" s="6">
        <f t="shared" si="5"/>
        <v>0</v>
      </c>
      <c r="Z33" s="6">
        <f t="shared" si="5"/>
        <v>0</v>
      </c>
      <c r="AA33" s="6">
        <f t="shared" si="5"/>
        <v>0</v>
      </c>
      <c r="AB33" s="6">
        <f t="shared" si="5"/>
        <v>0</v>
      </c>
      <c r="AC33" s="6">
        <f t="shared" si="5"/>
        <v>0</v>
      </c>
      <c r="AD33" s="6">
        <f t="shared" si="5"/>
        <v>0</v>
      </c>
      <c r="AE33" s="6">
        <f t="shared" si="5"/>
        <v>0</v>
      </c>
      <c r="AF33" s="6">
        <f t="shared" si="5"/>
        <v>0</v>
      </c>
      <c r="AG33" s="6">
        <f t="shared" si="6"/>
        <v>0</v>
      </c>
      <c r="AH33" s="6">
        <f t="shared" si="6"/>
        <v>0</v>
      </c>
      <c r="AI33" s="6">
        <f t="shared" si="6"/>
        <v>0</v>
      </c>
      <c r="AJ33" s="6">
        <f t="shared" si="6"/>
        <v>0</v>
      </c>
      <c r="AK33" s="6">
        <f t="shared" si="6"/>
        <v>0</v>
      </c>
      <c r="AL33" s="6">
        <f t="shared" si="6"/>
        <v>0</v>
      </c>
      <c r="AM33" s="6">
        <f t="shared" si="6"/>
        <v>0</v>
      </c>
      <c r="AN33" s="6">
        <f t="shared" si="6"/>
        <v>0</v>
      </c>
      <c r="AO33" s="6">
        <f t="shared" si="6"/>
        <v>0</v>
      </c>
      <c r="AP33" s="6">
        <f t="shared" si="6"/>
        <v>0</v>
      </c>
      <c r="AQ33" s="6">
        <f t="shared" si="6"/>
        <v>0</v>
      </c>
      <c r="AR33" s="6">
        <f t="shared" si="6"/>
        <v>0</v>
      </c>
    </row>
    <row r="34" spans="1:44" s="6" customFormat="1">
      <c r="A34" s="13" t="s">
        <v>43</v>
      </c>
      <c r="B34" s="12">
        <f t="shared" ref="B34:N34" si="7">SUM(B30:B33)</f>
        <v>609067</v>
      </c>
      <c r="C34" s="12">
        <f t="shared" si="7"/>
        <v>749544</v>
      </c>
      <c r="D34" s="12">
        <f t="shared" si="7"/>
        <v>896503</v>
      </c>
      <c r="E34" s="12">
        <f t="shared" si="7"/>
        <v>1019240</v>
      </c>
      <c r="F34" s="12">
        <f t="shared" si="7"/>
        <v>787176.76527856698</v>
      </c>
      <c r="G34" s="12">
        <f t="shared" si="7"/>
        <v>763873.44007889798</v>
      </c>
      <c r="H34" s="12">
        <f t="shared" si="7"/>
        <v>821363.6349260211</v>
      </c>
      <c r="I34" s="12">
        <f t="shared" si="7"/>
        <v>865742.93498899299</v>
      </c>
      <c r="J34" s="12">
        <f t="shared" si="7"/>
        <v>854557.64368810703</v>
      </c>
      <c r="K34" s="12">
        <f t="shared" si="7"/>
        <v>951180.70933962893</v>
      </c>
      <c r="L34" s="12">
        <f t="shared" si="7"/>
        <v>811770.33569646196</v>
      </c>
      <c r="M34" s="12">
        <f t="shared" si="7"/>
        <v>647553.72145282303</v>
      </c>
      <c r="N34" s="12">
        <f t="shared" si="7"/>
        <v>9777573.1854494996</v>
      </c>
      <c r="O34" s="7"/>
    </row>
    <row r="35" spans="1:44" s="6" customFormat="1">
      <c r="B35" s="7"/>
      <c r="C35" s="7"/>
      <c r="D35" s="7"/>
      <c r="E35" s="7"/>
      <c r="F35" s="7"/>
      <c r="G35" s="7"/>
      <c r="H35" s="7"/>
      <c r="I35" s="7"/>
      <c r="J35" s="7"/>
      <c r="K35" s="7"/>
      <c r="L35" s="7"/>
      <c r="M35" s="7"/>
    </row>
    <row r="36" spans="1:44" s="6" customFormat="1" hidden="1">
      <c r="A36" s="13" t="s">
        <v>44</v>
      </c>
      <c r="B36" s="7"/>
      <c r="C36" s="7"/>
      <c r="D36" s="7"/>
      <c r="E36" s="7"/>
      <c r="F36" s="7"/>
      <c r="G36" s="7"/>
      <c r="H36" s="7"/>
      <c r="I36" s="7"/>
      <c r="J36" s="7"/>
      <c r="K36" s="7"/>
      <c r="L36" s="7"/>
      <c r="M36" s="7"/>
    </row>
    <row r="37" spans="1:44" s="6" customFormat="1" hidden="1">
      <c r="A37" s="6" t="s">
        <v>45</v>
      </c>
      <c r="B37" s="53">
        <v>957334</v>
      </c>
      <c r="C37" s="53">
        <v>1284431</v>
      </c>
      <c r="D37" s="53">
        <v>1445140</v>
      </c>
      <c r="E37" s="53">
        <v>1605674</v>
      </c>
      <c r="F37" s="53">
        <v>1397109.5265258201</v>
      </c>
      <c r="G37" s="66">
        <v>1381899.2128031002</v>
      </c>
      <c r="H37" s="66">
        <v>1338862.8735315695</v>
      </c>
      <c r="I37" s="66">
        <v>1447399.3372471465</v>
      </c>
      <c r="J37" s="66">
        <v>1483783.6270001915</v>
      </c>
      <c r="K37" s="53">
        <v>1521178.5687367001</v>
      </c>
      <c r="L37" s="53">
        <v>1366856.0727674812</v>
      </c>
      <c r="M37" s="53">
        <v>1089068.663147087</v>
      </c>
      <c r="N37" s="7">
        <f>SUM(B37:M37)</f>
        <v>16318736.881759096</v>
      </c>
      <c r="O37" s="53"/>
      <c r="P37" s="62"/>
    </row>
    <row r="38" spans="1:44" s="6" customFormat="1" hidden="1">
      <c r="A38" s="6" t="s">
        <v>46</v>
      </c>
      <c r="B38" s="7">
        <f>-B34</f>
        <v>-609067</v>
      </c>
      <c r="C38" s="7">
        <f t="shared" ref="C38:M38" si="8">-C34</f>
        <v>-749544</v>
      </c>
      <c r="D38" s="7">
        <f t="shared" si="8"/>
        <v>-896503</v>
      </c>
      <c r="E38" s="7">
        <f t="shared" si="8"/>
        <v>-1019240</v>
      </c>
      <c r="F38" s="7">
        <f t="shared" si="8"/>
        <v>-787176.76527856698</v>
      </c>
      <c r="G38" s="7">
        <f t="shared" si="8"/>
        <v>-763873.44007889798</v>
      </c>
      <c r="H38" s="7">
        <f t="shared" si="8"/>
        <v>-821363.6349260211</v>
      </c>
      <c r="I38" s="7">
        <f t="shared" si="8"/>
        <v>-865742.93498899299</v>
      </c>
      <c r="J38" s="7">
        <f t="shared" si="8"/>
        <v>-854557.64368810703</v>
      </c>
      <c r="K38" s="7">
        <f t="shared" si="8"/>
        <v>-951180.70933962893</v>
      </c>
      <c r="L38" s="7">
        <f t="shared" si="8"/>
        <v>-811770.33569646196</v>
      </c>
      <c r="M38" s="7">
        <f t="shared" si="8"/>
        <v>-647553.72145282303</v>
      </c>
      <c r="N38" s="7">
        <f>SUM(B38:M38)</f>
        <v>-9777573.1854494996</v>
      </c>
    </row>
    <row r="39" spans="1:44" s="6" customFormat="1" hidden="1">
      <c r="A39" s="6" t="s">
        <v>47</v>
      </c>
      <c r="B39" s="53">
        <v>-73369</v>
      </c>
      <c r="C39" s="53">
        <v>-72678</v>
      </c>
      <c r="D39" s="53">
        <v>-71948</v>
      </c>
      <c r="E39" s="53">
        <v>-72678</v>
      </c>
      <c r="F39" s="53">
        <v>-84889.941666666593</v>
      </c>
      <c r="G39" s="53">
        <v>-84858.961666666597</v>
      </c>
      <c r="H39" s="53">
        <v>-82257.801666666594</v>
      </c>
      <c r="I39" s="53">
        <v>-82098.931666666598</v>
      </c>
      <c r="J39" s="53">
        <v>-82065.061666666603</v>
      </c>
      <c r="K39" s="53">
        <v>-81467.421666666603</v>
      </c>
      <c r="L39" s="53">
        <v>-81449.971666666606</v>
      </c>
      <c r="M39" s="53">
        <v>-80077.631666666595</v>
      </c>
      <c r="N39" s="7">
        <v>-971805.1199999993</v>
      </c>
    </row>
    <row r="40" spans="1:44" s="6" customFormat="1" hidden="1">
      <c r="A40" s="6" t="s">
        <v>78</v>
      </c>
      <c r="B40" s="53"/>
      <c r="C40" s="53"/>
      <c r="D40" s="53"/>
      <c r="E40" s="53"/>
      <c r="F40" s="53"/>
      <c r="G40" s="53"/>
      <c r="H40" s="53"/>
      <c r="I40" s="53"/>
      <c r="J40" s="53"/>
      <c r="K40" s="53"/>
      <c r="L40" s="53"/>
      <c r="M40" s="53"/>
      <c r="N40" s="7">
        <f>SUM(B40:M40)</f>
        <v>0</v>
      </c>
    </row>
    <row r="41" spans="1:44" s="6" customFormat="1" hidden="1">
      <c r="A41" s="6" t="s">
        <v>48</v>
      </c>
      <c r="B41" s="60">
        <v>-10663.666666666701</v>
      </c>
      <c r="C41" s="60">
        <v>-10663.666666666701</v>
      </c>
      <c r="D41" s="60">
        <v>-10663.666666666701</v>
      </c>
      <c r="E41" s="60">
        <v>-10663.666666666701</v>
      </c>
      <c r="F41" s="60">
        <v>-10663.666666666701</v>
      </c>
      <c r="G41" s="60">
        <v>-10663.666666666701</v>
      </c>
      <c r="H41" s="60">
        <v>-10663.666666666701</v>
      </c>
      <c r="I41" s="60">
        <v>-10663.666666666701</v>
      </c>
      <c r="J41" s="60">
        <v>-10964</v>
      </c>
      <c r="K41" s="60">
        <v>-10864</v>
      </c>
      <c r="L41" s="60">
        <v>-10964</v>
      </c>
      <c r="M41" s="60">
        <v>-10664</v>
      </c>
      <c r="N41" s="15">
        <f>SUM(B41:M41)</f>
        <v>-128765.3333333336</v>
      </c>
    </row>
    <row r="42" spans="1:44" s="6" customFormat="1">
      <c r="A42" s="13" t="s">
        <v>49</v>
      </c>
      <c r="B42" s="12">
        <f t="shared" ref="B42:N42" si="9">SUM(B37:B41)</f>
        <v>264234.33333333331</v>
      </c>
      <c r="C42" s="12">
        <f t="shared" si="9"/>
        <v>451545.33333333331</v>
      </c>
      <c r="D42" s="12">
        <f t="shared" si="9"/>
        <v>466025.33333333331</v>
      </c>
      <c r="E42" s="12">
        <f t="shared" si="9"/>
        <v>503092.33333333331</v>
      </c>
      <c r="F42" s="12">
        <f t="shared" si="9"/>
        <v>514379.15291391994</v>
      </c>
      <c r="G42" s="12">
        <f t="shared" si="9"/>
        <v>522503.14439086901</v>
      </c>
      <c r="H42" s="12">
        <f t="shared" si="9"/>
        <v>424577.77027221513</v>
      </c>
      <c r="I42" s="12">
        <f t="shared" si="9"/>
        <v>488893.80392482027</v>
      </c>
      <c r="J42" s="12">
        <f t="shared" si="9"/>
        <v>536196.92164541781</v>
      </c>
      <c r="K42" s="12">
        <f t="shared" si="9"/>
        <v>477666.43773040455</v>
      </c>
      <c r="L42" s="12">
        <f t="shared" si="9"/>
        <v>462671.76540435263</v>
      </c>
      <c r="M42" s="12">
        <f t="shared" si="9"/>
        <v>350773.31002759736</v>
      </c>
      <c r="N42" s="12">
        <f t="shared" si="9"/>
        <v>5440593.2429762632</v>
      </c>
    </row>
    <row r="43" spans="1:44">
      <c r="A43" s="1"/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2"/>
      <c r="N43" s="12"/>
      <c r="O43" s="6"/>
    </row>
    <row r="44" spans="1:44" hidden="1">
      <c r="A44" s="13" t="s">
        <v>50</v>
      </c>
      <c r="B44" s="53">
        <v>275362</v>
      </c>
      <c r="C44" s="53">
        <v>282653</v>
      </c>
      <c r="D44" s="53">
        <v>316557</v>
      </c>
      <c r="E44" s="53">
        <v>459677</v>
      </c>
      <c r="F44" s="53">
        <v>309928.67264446814</v>
      </c>
      <c r="G44" s="53">
        <v>418573.73264446814</v>
      </c>
      <c r="H44" s="59">
        <v>320964.16545716883</v>
      </c>
      <c r="I44" s="53">
        <v>283542.94633946812</v>
      </c>
      <c r="J44" s="53">
        <v>318115.5463394681</v>
      </c>
      <c r="K44" s="53">
        <v>331200.75545716879</v>
      </c>
      <c r="L44" s="53">
        <v>295624.06633946812</v>
      </c>
      <c r="M44" s="53">
        <v>637691.65717914759</v>
      </c>
      <c r="N44" s="12">
        <f>SUM(B44:M44)</f>
        <v>4249890.5424008258</v>
      </c>
      <c r="O44" s="6"/>
    </row>
    <row r="45" spans="1:44" hidden="1">
      <c r="A45" s="6" t="s">
        <v>51</v>
      </c>
      <c r="B45" s="22">
        <v>0</v>
      </c>
      <c r="C45" s="22">
        <v>-10000</v>
      </c>
      <c r="D45" s="22">
        <v>-10000</v>
      </c>
      <c r="E45" s="22">
        <v>-10000</v>
      </c>
      <c r="F45" s="22">
        <v>-5000</v>
      </c>
      <c r="G45" s="22">
        <v>-5000</v>
      </c>
      <c r="H45" s="22">
        <v>-5000</v>
      </c>
      <c r="I45" s="22">
        <v>-5000</v>
      </c>
      <c r="J45" s="22">
        <v>-5000</v>
      </c>
      <c r="K45" s="22">
        <v>-5000</v>
      </c>
      <c r="L45" s="22">
        <v>-5000</v>
      </c>
      <c r="M45" s="22">
        <v>-5000</v>
      </c>
      <c r="N45" s="22">
        <f>SUM(B45:M45)</f>
        <v>-70000</v>
      </c>
      <c r="O45" s="6"/>
    </row>
    <row r="46" spans="1:44">
      <c r="A46" s="1" t="s">
        <v>50</v>
      </c>
      <c r="B46" s="12">
        <f>SUM(B44:B45)</f>
        <v>275362</v>
      </c>
      <c r="C46" s="12">
        <f>SUM(C44:C45)</f>
        <v>272653</v>
      </c>
      <c r="D46" s="12">
        <f t="shared" ref="D46:N46" si="10">SUM(D44:D45)</f>
        <v>306557</v>
      </c>
      <c r="E46" s="12">
        <f t="shared" si="10"/>
        <v>449677</v>
      </c>
      <c r="F46" s="12">
        <f t="shared" si="10"/>
        <v>304928.67264446814</v>
      </c>
      <c r="G46" s="12">
        <f t="shared" si="10"/>
        <v>413573.73264446814</v>
      </c>
      <c r="H46" s="12">
        <f t="shared" si="10"/>
        <v>315964.16545716883</v>
      </c>
      <c r="I46" s="12">
        <f t="shared" si="10"/>
        <v>278542.94633946812</v>
      </c>
      <c r="J46" s="12">
        <f t="shared" si="10"/>
        <v>313115.5463394681</v>
      </c>
      <c r="K46" s="12">
        <f t="shared" si="10"/>
        <v>326200.75545716879</v>
      </c>
      <c r="L46" s="12">
        <f t="shared" si="10"/>
        <v>290624.06633946812</v>
      </c>
      <c r="M46" s="12">
        <f t="shared" si="10"/>
        <v>632691.65717914759</v>
      </c>
      <c r="N46" s="12">
        <f t="shared" si="10"/>
        <v>4179890.5424008258</v>
      </c>
      <c r="O46" s="6"/>
    </row>
    <row r="47" spans="1:44">
      <c r="B47" s="7"/>
      <c r="C47" s="7"/>
      <c r="D47" s="7"/>
      <c r="E47" s="7"/>
      <c r="F47" s="7"/>
      <c r="G47" s="7"/>
      <c r="H47" s="7"/>
      <c r="I47" s="7"/>
      <c r="J47" s="7"/>
      <c r="K47" s="6"/>
      <c r="L47" s="6"/>
      <c r="M47" s="6"/>
      <c r="N47" s="6"/>
      <c r="O47" s="6"/>
    </row>
    <row r="48" spans="1:44">
      <c r="A48" s="13" t="s">
        <v>52</v>
      </c>
      <c r="B48" s="19">
        <f t="shared" ref="B48:N48" si="11">+B20+B34+B42+B46</f>
        <v>1768948.3333333333</v>
      </c>
      <c r="C48" s="19">
        <f t="shared" si="11"/>
        <v>4442285.333333334</v>
      </c>
      <c r="D48" s="19">
        <f t="shared" si="11"/>
        <v>3296170.3333333335</v>
      </c>
      <c r="E48" s="19">
        <f t="shared" si="11"/>
        <v>3311258.3333333335</v>
      </c>
      <c r="F48" s="19">
        <f t="shared" si="11"/>
        <v>2526926.8867620029</v>
      </c>
      <c r="G48" s="19">
        <f t="shared" si="11"/>
        <v>2694465.9449283639</v>
      </c>
      <c r="H48" s="19">
        <f t="shared" si="11"/>
        <v>4286104.1381694749</v>
      </c>
      <c r="I48" s="19">
        <f t="shared" si="11"/>
        <v>2942677.8467976716</v>
      </c>
      <c r="J48" s="19">
        <f t="shared" si="11"/>
        <v>2850298.022130433</v>
      </c>
      <c r="K48" s="19">
        <f t="shared" si="11"/>
        <v>2769505.7272803225</v>
      </c>
      <c r="L48" s="19">
        <f t="shared" si="11"/>
        <v>2767912.4922030023</v>
      </c>
      <c r="M48" s="19">
        <f t="shared" si="11"/>
        <v>2439604.0126127731</v>
      </c>
      <c r="N48" s="19">
        <f t="shared" si="11"/>
        <v>36074191.007550716</v>
      </c>
      <c r="O48" s="6"/>
    </row>
    <row r="49" spans="1:17">
      <c r="B49" s="7"/>
      <c r="C49" s="7"/>
      <c r="D49" s="7"/>
      <c r="E49" s="7"/>
      <c r="F49" s="7"/>
      <c r="G49" s="7"/>
      <c r="H49" s="7"/>
      <c r="I49" s="7"/>
      <c r="J49" s="7"/>
      <c r="K49" s="6"/>
      <c r="L49" s="6"/>
      <c r="M49" s="6"/>
      <c r="N49" s="6"/>
      <c r="O49" s="6"/>
    </row>
    <row r="50" spans="1:17">
      <c r="A50" s="1" t="s">
        <v>53</v>
      </c>
      <c r="B50" s="12">
        <f t="shared" ref="B50:M50" si="12">+B13-B48</f>
        <v>-507699.33333333326</v>
      </c>
      <c r="C50" s="12">
        <f t="shared" si="12"/>
        <v>439569.66666666605</v>
      </c>
      <c r="D50" s="12">
        <f t="shared" si="12"/>
        <v>507414.66666666651</v>
      </c>
      <c r="E50" s="12">
        <f t="shared" si="12"/>
        <v>235158.66666666651</v>
      </c>
      <c r="F50" s="12">
        <f t="shared" si="12"/>
        <v>33090.392948810942</v>
      </c>
      <c r="G50" s="12">
        <f t="shared" si="12"/>
        <v>-170702.61557580205</v>
      </c>
      <c r="H50" s="12">
        <f t="shared" si="12"/>
        <v>199639.09162974637</v>
      </c>
      <c r="I50" s="12">
        <f t="shared" si="12"/>
        <v>362880.59546278836</v>
      </c>
      <c r="J50" s="12">
        <f t="shared" si="12"/>
        <v>445916.27537100855</v>
      </c>
      <c r="K50" s="12">
        <f t="shared" si="12"/>
        <v>199559.11018969351</v>
      </c>
      <c r="L50" s="12">
        <f t="shared" si="12"/>
        <v>420347.78970141569</v>
      </c>
      <c r="M50" s="12">
        <f t="shared" si="12"/>
        <v>-856664.33360203309</v>
      </c>
      <c r="N50" s="12">
        <f>SUM(B50:M50)</f>
        <v>1308509.9727922943</v>
      </c>
      <c r="O50" s="6"/>
      <c r="P50" s="25"/>
    </row>
    <row r="51" spans="1:17" ht="7.5" customHeight="1">
      <c r="B51" s="7"/>
      <c r="C51" s="7"/>
      <c r="D51" s="7"/>
      <c r="E51" s="7"/>
      <c r="F51" s="7"/>
      <c r="G51" s="7"/>
      <c r="H51" s="7"/>
      <c r="I51" s="7"/>
      <c r="J51" s="7"/>
      <c r="K51" s="6"/>
      <c r="L51" s="6"/>
      <c r="M51" s="6"/>
      <c r="N51" s="6"/>
      <c r="O51" s="6"/>
    </row>
    <row r="52" spans="1:17">
      <c r="A52" s="1" t="s">
        <v>54</v>
      </c>
      <c r="B52" s="7"/>
      <c r="C52" s="7"/>
      <c r="D52" s="7"/>
      <c r="E52" s="7"/>
      <c r="F52" s="7"/>
      <c r="G52" s="7"/>
      <c r="H52" s="7"/>
      <c r="I52" s="7"/>
      <c r="J52" s="7"/>
      <c r="K52" s="6"/>
      <c r="L52" s="6"/>
      <c r="M52" s="6"/>
      <c r="N52" s="6"/>
      <c r="O52" s="6"/>
    </row>
    <row r="53" spans="1:17" s="6" customFormat="1">
      <c r="A53" s="6" t="s">
        <v>55</v>
      </c>
      <c r="B53" s="10">
        <v>24982</v>
      </c>
      <c r="C53" s="10">
        <v>358462</v>
      </c>
      <c r="D53" s="10">
        <v>50664</v>
      </c>
      <c r="E53" s="10">
        <v>150552</v>
      </c>
      <c r="F53" s="10">
        <v>186840</v>
      </c>
      <c r="G53" s="10">
        <v>202000</v>
      </c>
      <c r="H53" s="23">
        <v>197000</v>
      </c>
      <c r="I53" s="10">
        <v>142000</v>
      </c>
      <c r="J53" s="10">
        <v>119000</v>
      </c>
      <c r="K53" s="10">
        <v>0</v>
      </c>
      <c r="L53" s="10">
        <v>0</v>
      </c>
      <c r="M53" s="10">
        <v>455000</v>
      </c>
      <c r="N53" s="10">
        <f>SUM(B53:M53)</f>
        <v>1886500</v>
      </c>
      <c r="P53" s="40"/>
    </row>
    <row r="54" spans="1:17" s="6" customFormat="1">
      <c r="A54" s="6" t="s">
        <v>56</v>
      </c>
      <c r="B54" s="10"/>
      <c r="C54" s="10"/>
      <c r="D54" s="47">
        <v>-520000</v>
      </c>
      <c r="E54" s="10"/>
      <c r="F54" s="10">
        <v>95000</v>
      </c>
      <c r="G54" s="10"/>
      <c r="H54" s="10"/>
      <c r="I54" s="10"/>
      <c r="J54" s="10"/>
      <c r="K54" s="10"/>
      <c r="L54" s="10"/>
      <c r="M54" s="10"/>
      <c r="N54" s="10">
        <f>SUM(B54:M54)</f>
        <v>-425000</v>
      </c>
      <c r="P54" s="7"/>
      <c r="Q54" s="6">
        <v>0</v>
      </c>
    </row>
    <row r="55" spans="1:17" s="6" customFormat="1">
      <c r="A55" s="6" t="s">
        <v>57</v>
      </c>
      <c r="B55" s="10">
        <f>50000+228312</f>
        <v>278312</v>
      </c>
      <c r="C55" s="10">
        <v>50000</v>
      </c>
      <c r="D55" s="10">
        <v>50000</v>
      </c>
      <c r="E55" s="10">
        <v>50000</v>
      </c>
      <c r="F55" s="10">
        <v>50000</v>
      </c>
      <c r="G55" s="10">
        <v>50000</v>
      </c>
      <c r="H55" s="10">
        <v>50000</v>
      </c>
      <c r="I55" s="10">
        <v>50000</v>
      </c>
      <c r="J55" s="10">
        <v>50000</v>
      </c>
      <c r="K55" s="10">
        <v>50000</v>
      </c>
      <c r="L55" s="10"/>
      <c r="M55" s="10"/>
      <c r="N55" s="10">
        <f>SUM(B55:M55)</f>
        <v>728312</v>
      </c>
      <c r="P55" s="7"/>
    </row>
    <row r="56" spans="1:17" s="6" customFormat="1">
      <c r="A56" s="37" t="s">
        <v>58</v>
      </c>
      <c r="B56" s="7">
        <v>-26129</v>
      </c>
      <c r="C56" s="7">
        <f>-44-9248</f>
        <v>-9292</v>
      </c>
      <c r="D56" s="7">
        <f>-15614+D11</f>
        <v>-9032</v>
      </c>
      <c r="E56" s="7">
        <f>-5908-140</f>
        <v>-6048</v>
      </c>
      <c r="F56" s="7">
        <v>-8000</v>
      </c>
      <c r="G56" s="7">
        <v>-8000</v>
      </c>
      <c r="H56" s="7">
        <v>-8000</v>
      </c>
      <c r="I56" s="7">
        <v>-8000</v>
      </c>
      <c r="J56" s="7">
        <v>-9000</v>
      </c>
      <c r="K56" s="7">
        <v>-9000</v>
      </c>
      <c r="L56" s="7">
        <v>-9000</v>
      </c>
      <c r="M56" s="7">
        <v>-9000</v>
      </c>
      <c r="N56" s="7">
        <f>SUM(B56:M56)</f>
        <v>-118501</v>
      </c>
      <c r="P56" s="56"/>
    </row>
    <row r="57" spans="1:17" s="6" customFormat="1">
      <c r="A57" s="6" t="s">
        <v>59</v>
      </c>
      <c r="B57" s="22">
        <v>-262370</v>
      </c>
      <c r="C57" s="22">
        <v>-26645</v>
      </c>
      <c r="D57" s="22">
        <v>-47784</v>
      </c>
      <c r="E57" s="22">
        <v>155784</v>
      </c>
      <c r="F57" s="22">
        <v>-25000</v>
      </c>
      <c r="G57" s="22">
        <v>-25000</v>
      </c>
      <c r="H57" s="22">
        <v>-25000</v>
      </c>
      <c r="I57" s="22">
        <v>-25000</v>
      </c>
      <c r="J57" s="22">
        <v>-25000</v>
      </c>
      <c r="K57" s="22">
        <v>-25000</v>
      </c>
      <c r="L57" s="22">
        <v>-25000</v>
      </c>
      <c r="M57" s="22">
        <v>-25000</v>
      </c>
      <c r="N57" s="22">
        <f>SUM(B57:M57)</f>
        <v>-381015</v>
      </c>
      <c r="P57" s="7"/>
    </row>
    <row r="58" spans="1:17" s="6" customFormat="1">
      <c r="A58" s="13" t="s">
        <v>60</v>
      </c>
      <c r="B58" s="19">
        <f t="shared" ref="B58:N58" si="13">SUM(B53:B57)</f>
        <v>14795</v>
      </c>
      <c r="C58" s="19">
        <f t="shared" si="13"/>
        <v>372525</v>
      </c>
      <c r="D58" s="19">
        <f t="shared" si="13"/>
        <v>-476152</v>
      </c>
      <c r="E58" s="19">
        <f t="shared" si="13"/>
        <v>350288</v>
      </c>
      <c r="F58" s="19">
        <f t="shared" si="13"/>
        <v>298840</v>
      </c>
      <c r="G58" s="19">
        <f t="shared" si="13"/>
        <v>219000</v>
      </c>
      <c r="H58" s="19">
        <f t="shared" si="13"/>
        <v>214000</v>
      </c>
      <c r="I58" s="19">
        <f t="shared" si="13"/>
        <v>159000</v>
      </c>
      <c r="J58" s="19">
        <f t="shared" si="13"/>
        <v>135000</v>
      </c>
      <c r="K58" s="19">
        <f t="shared" si="13"/>
        <v>16000</v>
      </c>
      <c r="L58" s="19">
        <f t="shared" si="13"/>
        <v>-34000</v>
      </c>
      <c r="M58" s="19">
        <f t="shared" si="13"/>
        <v>421000</v>
      </c>
      <c r="N58" s="19">
        <f t="shared" si="13"/>
        <v>1690296</v>
      </c>
    </row>
    <row r="59" spans="1:17">
      <c r="B59" s="7"/>
      <c r="C59" s="7"/>
      <c r="D59" s="7"/>
      <c r="E59" s="7"/>
      <c r="F59" s="7"/>
      <c r="G59" s="7"/>
      <c r="H59" s="7"/>
      <c r="I59" s="7"/>
      <c r="J59" s="7"/>
      <c r="K59" s="7"/>
      <c r="L59" s="7"/>
      <c r="M59" s="7"/>
      <c r="N59" s="7"/>
      <c r="O59" s="6"/>
    </row>
    <row r="60" spans="1:17">
      <c r="A60" s="1" t="s">
        <v>61</v>
      </c>
      <c r="B60" s="12">
        <v>10990495</v>
      </c>
      <c r="C60" s="7"/>
      <c r="D60" s="7"/>
      <c r="E60" s="7"/>
      <c r="F60" s="7"/>
      <c r="G60" s="7"/>
      <c r="H60" s="7" t="s">
        <v>38</v>
      </c>
      <c r="I60" s="7"/>
      <c r="J60" s="7"/>
      <c r="K60" s="6"/>
      <c r="L60" s="6"/>
      <c r="M60" s="6"/>
      <c r="N60" s="6"/>
      <c r="O60" s="6"/>
    </row>
    <row r="61" spans="1:17">
      <c r="A61" s="13" t="s">
        <v>62</v>
      </c>
      <c r="B61" s="19">
        <f t="shared" ref="B61:N61" si="14">+B58+B48</f>
        <v>1783743.3333333333</v>
      </c>
      <c r="C61" s="19">
        <f t="shared" si="14"/>
        <v>4814810.333333334</v>
      </c>
      <c r="D61" s="19">
        <f t="shared" si="14"/>
        <v>2820018.3333333335</v>
      </c>
      <c r="E61" s="19">
        <f t="shared" si="14"/>
        <v>3661546.3333333335</v>
      </c>
      <c r="F61" s="19">
        <f t="shared" si="14"/>
        <v>2825766.8867620029</v>
      </c>
      <c r="G61" s="19">
        <f t="shared" si="14"/>
        <v>2913465.9449283639</v>
      </c>
      <c r="H61" s="19">
        <f t="shared" si="14"/>
        <v>4500104.1381694749</v>
      </c>
      <c r="I61" s="19">
        <f t="shared" si="14"/>
        <v>3101677.8467976716</v>
      </c>
      <c r="J61" s="19">
        <f t="shared" si="14"/>
        <v>2985298.022130433</v>
      </c>
      <c r="K61" s="19">
        <f t="shared" si="14"/>
        <v>2785505.7272803225</v>
      </c>
      <c r="L61" s="19">
        <f t="shared" si="14"/>
        <v>2733912.4922030023</v>
      </c>
      <c r="M61" s="19">
        <f t="shared" si="14"/>
        <v>2860604.0126127731</v>
      </c>
      <c r="N61" s="19">
        <f t="shared" si="14"/>
        <v>37764487.007550716</v>
      </c>
      <c r="O61" s="6"/>
    </row>
    <row r="62" spans="1:17" ht="13.5" thickBot="1">
      <c r="A62" s="13" t="s">
        <v>63</v>
      </c>
      <c r="B62" s="30">
        <f t="shared" ref="B62:N62" si="15">+B13-B61</f>
        <v>-522494.33333333326</v>
      </c>
      <c r="C62" s="30">
        <f t="shared" si="15"/>
        <v>67044.666666666046</v>
      </c>
      <c r="D62" s="30">
        <f t="shared" si="15"/>
        <v>983566.66666666651</v>
      </c>
      <c r="E62" s="30">
        <f t="shared" si="15"/>
        <v>-115129.33333333349</v>
      </c>
      <c r="F62" s="14">
        <f t="shared" si="15"/>
        <v>-265749.60705118906</v>
      </c>
      <c r="G62" s="14">
        <f t="shared" si="15"/>
        <v>-389702.61557580205</v>
      </c>
      <c r="H62" s="14">
        <f t="shared" si="15"/>
        <v>-14360.90837025363</v>
      </c>
      <c r="I62" s="14">
        <f t="shared" si="15"/>
        <v>203880.59546278836</v>
      </c>
      <c r="J62" s="14">
        <f t="shared" si="15"/>
        <v>310916.27537100855</v>
      </c>
      <c r="K62" s="14">
        <f t="shared" si="15"/>
        <v>183559.11018969351</v>
      </c>
      <c r="L62" s="14">
        <f t="shared" si="15"/>
        <v>454347.78970141569</v>
      </c>
      <c r="M62" s="14">
        <f t="shared" si="15"/>
        <v>-1277664.3336020331</v>
      </c>
      <c r="N62" s="14">
        <f t="shared" si="15"/>
        <v>-20766.630541041493</v>
      </c>
      <c r="O62" s="6"/>
      <c r="P62" s="25"/>
    </row>
    <row r="63" spans="1:17" s="6" customFormat="1" ht="13.5" thickTop="1">
      <c r="A63" s="13" t="s">
        <v>64</v>
      </c>
      <c r="B63" s="32">
        <f>+B62</f>
        <v>-522494.33333333326</v>
      </c>
      <c r="C63" s="32">
        <f t="shared" ref="C63:M63" si="16">B63+C62</f>
        <v>-455449.66666666721</v>
      </c>
      <c r="D63" s="32">
        <f t="shared" si="16"/>
        <v>528116.9999999993</v>
      </c>
      <c r="E63" s="32">
        <f t="shared" si="16"/>
        <v>412987.66666666581</v>
      </c>
      <c r="F63" s="12">
        <f t="shared" si="16"/>
        <v>147238.05961547676</v>
      </c>
      <c r="G63" s="12">
        <f t="shared" si="16"/>
        <v>-242464.55596032529</v>
      </c>
      <c r="H63" s="12">
        <f t="shared" si="16"/>
        <v>-256825.46433057892</v>
      </c>
      <c r="I63" s="12">
        <f t="shared" si="16"/>
        <v>-52944.868867790559</v>
      </c>
      <c r="J63" s="12">
        <f t="shared" si="16"/>
        <v>257971.40650321799</v>
      </c>
      <c r="K63" s="12">
        <f t="shared" si="16"/>
        <v>441530.51669291151</v>
      </c>
      <c r="L63" s="12">
        <f t="shared" si="16"/>
        <v>895878.3063943272</v>
      </c>
      <c r="M63" s="12">
        <f t="shared" si="16"/>
        <v>-381786.02720770589</v>
      </c>
      <c r="N63" s="12"/>
    </row>
    <row r="64" spans="1:17">
      <c r="A64" s="13" t="s">
        <v>65</v>
      </c>
      <c r="B64" s="12">
        <f t="shared" ref="B64:M64" si="17">+$B$60+B63</f>
        <v>10468000.666666666</v>
      </c>
      <c r="C64" s="12">
        <f t="shared" si="17"/>
        <v>10535045.333333332</v>
      </c>
      <c r="D64" s="12">
        <f t="shared" si="17"/>
        <v>11518612</v>
      </c>
      <c r="E64" s="12">
        <f t="shared" si="17"/>
        <v>11403482.666666666</v>
      </c>
      <c r="F64" s="12">
        <f t="shared" si="17"/>
        <v>11137733.059615476</v>
      </c>
      <c r="G64" s="12">
        <f t="shared" si="17"/>
        <v>10748030.444039674</v>
      </c>
      <c r="H64" s="12">
        <f t="shared" si="17"/>
        <v>10733669.535669422</v>
      </c>
      <c r="I64" s="12">
        <f t="shared" si="17"/>
        <v>10937550.13113221</v>
      </c>
      <c r="J64" s="12">
        <f t="shared" si="17"/>
        <v>11248466.406503217</v>
      </c>
      <c r="K64" s="12">
        <f t="shared" si="17"/>
        <v>11432025.516692912</v>
      </c>
      <c r="L64" s="12">
        <f t="shared" si="17"/>
        <v>11886373.306394327</v>
      </c>
      <c r="M64" s="12">
        <f t="shared" si="17"/>
        <v>10608708.972792294</v>
      </c>
      <c r="N64" s="12"/>
      <c r="O64" s="6"/>
      <c r="P64" s="29"/>
    </row>
    <row r="65" spans="1:16">
      <c r="A65" s="6"/>
      <c r="B65" s="7"/>
      <c r="C65" s="7"/>
      <c r="D65" s="7"/>
      <c r="E65" s="7"/>
      <c r="F65" s="7"/>
      <c r="G65" s="7"/>
      <c r="H65" s="7"/>
      <c r="I65" s="7"/>
      <c r="J65" s="7"/>
      <c r="K65" s="6"/>
      <c r="L65" s="6"/>
      <c r="M65" s="6"/>
      <c r="N65" s="6"/>
      <c r="O65" s="6"/>
    </row>
    <row r="66" spans="1:16" s="6" customFormat="1">
      <c r="A66" s="17" t="s">
        <v>79</v>
      </c>
      <c r="B66" s="18"/>
      <c r="C66" s="18"/>
      <c r="D66" s="18"/>
      <c r="E66" s="18"/>
      <c r="F66" s="18"/>
      <c r="G66" s="18"/>
      <c r="H66" s="18"/>
      <c r="I66" s="18"/>
      <c r="J66" s="18"/>
      <c r="K66" s="18"/>
      <c r="L66" s="18"/>
      <c r="M66" s="18"/>
      <c r="N66" s="18"/>
    </row>
    <row r="67" spans="1:16" ht="13.5" thickBot="1">
      <c r="A67" s="13" t="s">
        <v>67</v>
      </c>
      <c r="B67" s="30">
        <v>-923707.19930042047</v>
      </c>
      <c r="C67" s="30">
        <v>408098.02642089035</v>
      </c>
      <c r="D67" s="30">
        <v>1071842.6402638261</v>
      </c>
      <c r="E67" s="30">
        <v>445993.46125483606</v>
      </c>
      <c r="F67" s="30">
        <v>-265749.60705118906</v>
      </c>
      <c r="G67" s="30">
        <v>-389702.61557580205</v>
      </c>
      <c r="H67" s="30">
        <v>-14360.90837025363</v>
      </c>
      <c r="I67" s="30">
        <v>203880.59546278836</v>
      </c>
      <c r="J67" s="30">
        <v>310916.27537100855</v>
      </c>
      <c r="K67" s="30">
        <v>183559.11018969351</v>
      </c>
      <c r="L67" s="30">
        <v>454347.78970141569</v>
      </c>
      <c r="M67" s="30">
        <v>-1277664.3336020331</v>
      </c>
      <c r="N67" s="16"/>
      <c r="O67" s="6"/>
    </row>
    <row r="68" spans="1:16" ht="13.5" thickTop="1">
      <c r="A68" s="13" t="s">
        <v>64</v>
      </c>
      <c r="B68" s="32">
        <v>-923707.19930042047</v>
      </c>
      <c r="C68" s="32">
        <v>-515609.17287953012</v>
      </c>
      <c r="D68" s="32">
        <v>556233.467384296</v>
      </c>
      <c r="E68" s="32">
        <v>1002226.9286391321</v>
      </c>
      <c r="F68" s="32">
        <v>736477.32158794301</v>
      </c>
      <c r="G68" s="32">
        <v>346774.70601214096</v>
      </c>
      <c r="H68" s="32">
        <v>332413.79764188733</v>
      </c>
      <c r="I68" s="32">
        <v>536294.39310467569</v>
      </c>
      <c r="J68" s="32">
        <v>847210.66847568424</v>
      </c>
      <c r="K68" s="32">
        <v>1030769.7786653778</v>
      </c>
      <c r="L68" s="32">
        <v>1485117.5683667934</v>
      </c>
      <c r="M68" s="32">
        <v>207453.23476476036</v>
      </c>
      <c r="N68" s="16"/>
      <c r="O68" s="6"/>
    </row>
    <row r="69" spans="1:16">
      <c r="A69" s="13" t="s">
        <v>65</v>
      </c>
      <c r="B69" s="12">
        <v>10066787.80069958</v>
      </c>
      <c r="C69" s="12">
        <v>10474885.82712047</v>
      </c>
      <c r="D69" s="12">
        <v>11546728.467384296</v>
      </c>
      <c r="E69" s="12">
        <v>11992721.928639133</v>
      </c>
      <c r="F69" s="12">
        <v>11726972.321587943</v>
      </c>
      <c r="G69" s="12">
        <v>11337269.706012141</v>
      </c>
      <c r="H69" s="12">
        <v>11322908.797641888</v>
      </c>
      <c r="I69" s="12">
        <v>11526789.393104676</v>
      </c>
      <c r="J69" s="12">
        <v>11837705.668475684</v>
      </c>
      <c r="K69" s="12">
        <v>12021264.778665379</v>
      </c>
      <c r="L69" s="12">
        <v>12475612.568366794</v>
      </c>
      <c r="M69" s="12">
        <v>11197948.23476476</v>
      </c>
      <c r="N69" s="12"/>
      <c r="O69" s="6"/>
    </row>
    <row r="70" spans="1:16">
      <c r="A70" s="6"/>
      <c r="B70" s="6"/>
      <c r="C70" s="6"/>
      <c r="D70" s="6"/>
      <c r="E70" s="6"/>
      <c r="F70" s="6"/>
      <c r="H70" s="6"/>
      <c r="I70" s="6"/>
      <c r="J70" s="6"/>
      <c r="K70" s="6"/>
      <c r="L70" s="6"/>
      <c r="M70" s="6"/>
      <c r="N70" s="6"/>
      <c r="O70" s="6"/>
    </row>
    <row r="71" spans="1:16">
      <c r="A71" s="24" t="s">
        <v>68</v>
      </c>
      <c r="B71" s="18"/>
      <c r="C71" s="18"/>
      <c r="D71" s="18"/>
      <c r="E71" s="18"/>
      <c r="F71" s="18"/>
      <c r="G71" s="18"/>
      <c r="H71" s="18"/>
      <c r="I71" s="18"/>
      <c r="J71" s="18"/>
      <c r="K71" s="18"/>
      <c r="L71" s="18"/>
      <c r="M71" s="18"/>
      <c r="N71" s="18"/>
      <c r="O71" s="6"/>
    </row>
    <row r="72" spans="1:16">
      <c r="A72" s="13" t="s">
        <v>63</v>
      </c>
      <c r="B72" s="16">
        <f t="shared" ref="B72:N74" si="18">+B62-B67</f>
        <v>401212.86596708721</v>
      </c>
      <c r="C72" s="16">
        <f t="shared" si="18"/>
        <v>-341053.35975422431</v>
      </c>
      <c r="D72" s="16">
        <f t="shared" si="18"/>
        <v>-88275.973597159609</v>
      </c>
      <c r="E72" s="16">
        <f t="shared" si="18"/>
        <v>-561122.79458816955</v>
      </c>
      <c r="F72" s="16">
        <f t="shared" si="18"/>
        <v>0</v>
      </c>
      <c r="G72" s="16">
        <f t="shared" si="18"/>
        <v>0</v>
      </c>
      <c r="H72" s="16">
        <f t="shared" si="18"/>
        <v>0</v>
      </c>
      <c r="I72" s="16">
        <f t="shared" si="18"/>
        <v>0</v>
      </c>
      <c r="J72" s="16">
        <f t="shared" si="18"/>
        <v>0</v>
      </c>
      <c r="K72" s="16">
        <f t="shared" si="18"/>
        <v>0</v>
      </c>
      <c r="L72" s="16">
        <f t="shared" si="18"/>
        <v>0</v>
      </c>
      <c r="M72" s="16">
        <f t="shared" si="18"/>
        <v>0</v>
      </c>
      <c r="N72" s="6"/>
      <c r="O72" s="6"/>
      <c r="P72" s="16">
        <f>+N62-N67</f>
        <v>-20766.630541041493</v>
      </c>
    </row>
    <row r="73" spans="1:16" s="6" customFormat="1">
      <c r="A73" s="13" t="s">
        <v>64</v>
      </c>
      <c r="B73" s="16">
        <f t="shared" si="18"/>
        <v>401212.86596708721</v>
      </c>
      <c r="C73" s="16">
        <f t="shared" si="18"/>
        <v>60159.506212862907</v>
      </c>
      <c r="D73" s="16">
        <f t="shared" si="18"/>
        <v>-28116.467384296702</v>
      </c>
      <c r="E73" s="16">
        <f t="shared" si="18"/>
        <v>-589239.26197246625</v>
      </c>
      <c r="F73" s="16">
        <f t="shared" si="18"/>
        <v>-589239.26197246625</v>
      </c>
      <c r="G73" s="16">
        <f t="shared" si="18"/>
        <v>-589239.26197246625</v>
      </c>
      <c r="H73" s="16">
        <f t="shared" si="18"/>
        <v>-589239.26197246625</v>
      </c>
      <c r="I73" s="16">
        <f t="shared" si="18"/>
        <v>-589239.26197246625</v>
      </c>
      <c r="J73" s="16">
        <f t="shared" si="18"/>
        <v>-589239.26197246625</v>
      </c>
      <c r="K73" s="16">
        <f t="shared" si="18"/>
        <v>-589239.26197246625</v>
      </c>
      <c r="L73" s="16">
        <f t="shared" si="18"/>
        <v>-589239.26197246625</v>
      </c>
      <c r="M73" s="16">
        <f t="shared" si="18"/>
        <v>-589239.26197246625</v>
      </c>
      <c r="N73" s="16">
        <f t="shared" si="18"/>
        <v>0</v>
      </c>
    </row>
    <row r="74" spans="1:16">
      <c r="A74" s="1" t="s">
        <v>65</v>
      </c>
      <c r="B74" s="16">
        <f t="shared" si="18"/>
        <v>401212.86596708558</v>
      </c>
      <c r="C74" s="16">
        <f t="shared" si="18"/>
        <v>60159.506212862208</v>
      </c>
      <c r="D74" s="16">
        <f t="shared" si="18"/>
        <v>-28116.467384295538</v>
      </c>
      <c r="E74" s="16">
        <f t="shared" si="18"/>
        <v>-589239.26197246648</v>
      </c>
      <c r="F74" s="16">
        <f t="shared" si="18"/>
        <v>-589239.26197246648</v>
      </c>
      <c r="G74" s="16">
        <f t="shared" si="18"/>
        <v>-589239.26197246648</v>
      </c>
      <c r="H74" s="16">
        <f t="shared" si="18"/>
        <v>-589239.26197246648</v>
      </c>
      <c r="I74" s="16">
        <f t="shared" si="18"/>
        <v>-589239.26197246648</v>
      </c>
      <c r="J74" s="16">
        <f t="shared" si="18"/>
        <v>-589239.26197246648</v>
      </c>
      <c r="K74" s="16">
        <f t="shared" si="18"/>
        <v>-589239.26197246648</v>
      </c>
      <c r="L74" s="16">
        <f t="shared" si="18"/>
        <v>-589239.26197246648</v>
      </c>
      <c r="M74" s="16">
        <f t="shared" si="18"/>
        <v>-589239.26197246648</v>
      </c>
      <c r="N74" s="16"/>
      <c r="O74" s="6"/>
    </row>
    <row r="75" spans="1:16">
      <c r="B75" s="6"/>
      <c r="C75" s="6"/>
      <c r="D75" s="6"/>
      <c r="E75" s="6"/>
      <c r="F75" s="6"/>
      <c r="H75" s="6"/>
      <c r="I75" s="6"/>
      <c r="J75" s="6"/>
      <c r="K75" s="6"/>
      <c r="L75" s="6"/>
      <c r="M75" s="6"/>
      <c r="N75" s="6"/>
    </row>
    <row r="76" spans="1:16">
      <c r="A76" s="1"/>
      <c r="B76" s="4"/>
      <c r="C76" s="8"/>
      <c r="D76" s="8"/>
      <c r="E76" s="8"/>
      <c r="F76" s="8"/>
      <c r="H76" s="20"/>
      <c r="J76" s="6"/>
      <c r="K76" s="6"/>
    </row>
    <row r="77" spans="1:16">
      <c r="A77" s="1"/>
      <c r="B77" s="4"/>
      <c r="C77" s="8"/>
      <c r="D77" s="8"/>
      <c r="E77" s="8"/>
      <c r="F77" s="8"/>
      <c r="H77" s="20"/>
      <c r="J77" s="6"/>
    </row>
    <row r="78" spans="1:16">
      <c r="A78" s="1"/>
      <c r="B78" s="4"/>
      <c r="D78" s="8"/>
      <c r="E78" s="8"/>
      <c r="F78" s="8"/>
      <c r="H78" s="61"/>
      <c r="J78" s="6"/>
    </row>
    <row r="79" spans="1:16">
      <c r="E79" s="6"/>
      <c r="H79" s="20"/>
      <c r="J79" s="6"/>
      <c r="N79" s="25"/>
    </row>
    <row r="80" spans="1:16">
      <c r="A80" t="s">
        <v>69</v>
      </c>
      <c r="B80" t="s">
        <v>69</v>
      </c>
      <c r="C80" t="s">
        <v>69</v>
      </c>
      <c r="D80" t="s">
        <v>69</v>
      </c>
      <c r="E80" s="6" t="s">
        <v>69</v>
      </c>
      <c r="F80" t="s">
        <v>69</v>
      </c>
      <c r="G80" s="6" t="s">
        <v>69</v>
      </c>
      <c r="H80" t="s">
        <v>69</v>
      </c>
      <c r="I80" t="s">
        <v>69</v>
      </c>
      <c r="J80" s="6" t="s">
        <v>69</v>
      </c>
      <c r="K80" t="s">
        <v>69</v>
      </c>
      <c r="L80" t="s">
        <v>69</v>
      </c>
      <c r="M80" t="s">
        <v>69</v>
      </c>
      <c r="N80" t="s">
        <v>69</v>
      </c>
    </row>
    <row r="81" spans="1:14">
      <c r="E81" s="6"/>
      <c r="J81" s="6"/>
    </row>
    <row r="82" spans="1:14">
      <c r="A82" s="33" t="s">
        <v>70</v>
      </c>
      <c r="B82" s="47">
        <v>52000</v>
      </c>
      <c r="C82" s="47">
        <v>20000</v>
      </c>
      <c r="D82" s="47">
        <v>10000</v>
      </c>
      <c r="E82" s="47">
        <v>44355</v>
      </c>
      <c r="F82" s="47">
        <v>186840</v>
      </c>
      <c r="G82" s="10">
        <v>202000</v>
      </c>
      <c r="H82" s="54">
        <v>197000</v>
      </c>
      <c r="I82" s="47">
        <v>142000</v>
      </c>
      <c r="J82" s="47">
        <v>119000</v>
      </c>
      <c r="K82" s="47">
        <v>0</v>
      </c>
      <c r="L82" s="47">
        <v>0</v>
      </c>
      <c r="M82" s="47">
        <v>455000</v>
      </c>
      <c r="N82" s="7">
        <v>1428195</v>
      </c>
    </row>
    <row r="83" spans="1:14">
      <c r="A83" s="33" t="s">
        <v>71</v>
      </c>
      <c r="B83" s="2">
        <f>+B82</f>
        <v>52000</v>
      </c>
      <c r="C83" s="2">
        <f>+B83+C82</f>
        <v>72000</v>
      </c>
      <c r="D83" s="2">
        <f t="shared" ref="D83:M83" si="19">+C83+D82</f>
        <v>82000</v>
      </c>
      <c r="E83" s="7">
        <f t="shared" si="19"/>
        <v>126355</v>
      </c>
      <c r="F83" s="2">
        <f t="shared" si="19"/>
        <v>313195</v>
      </c>
      <c r="G83" s="7">
        <f t="shared" si="19"/>
        <v>515195</v>
      </c>
      <c r="H83" s="2">
        <f t="shared" si="19"/>
        <v>712195</v>
      </c>
      <c r="I83" s="2">
        <f t="shared" si="19"/>
        <v>854195</v>
      </c>
      <c r="J83" s="7">
        <f t="shared" si="19"/>
        <v>973195</v>
      </c>
      <c r="K83" s="2">
        <f t="shared" si="19"/>
        <v>973195</v>
      </c>
      <c r="L83" s="2">
        <f t="shared" si="19"/>
        <v>973195</v>
      </c>
      <c r="M83" s="2">
        <f t="shared" si="19"/>
        <v>1428195</v>
      </c>
    </row>
    <row r="84" spans="1:14">
      <c r="A84" s="33" t="s">
        <v>72</v>
      </c>
      <c r="B84" s="7">
        <f>+B53</f>
        <v>24982</v>
      </c>
      <c r="C84" s="7">
        <f>SUM($B53:C53)</f>
        <v>383444</v>
      </c>
      <c r="D84" s="7">
        <f>SUM($B53:D53)</f>
        <v>434108</v>
      </c>
      <c r="E84" s="7">
        <f>SUM($B53:E53)</f>
        <v>584660</v>
      </c>
      <c r="F84" s="7">
        <f>SUM($B53:F53)</f>
        <v>771500</v>
      </c>
      <c r="G84" s="7">
        <f>SUM($B53:G53)</f>
        <v>973500</v>
      </c>
      <c r="H84" s="7">
        <f>SUM(B53:H53)</f>
        <v>1170500</v>
      </c>
      <c r="I84" s="7">
        <f>SUM(B53:I53)</f>
        <v>1312500</v>
      </c>
      <c r="J84" s="7">
        <f>SUM(B53:J53)</f>
        <v>1431500</v>
      </c>
      <c r="K84" s="7">
        <f>SUM(B53:K53)</f>
        <v>1431500</v>
      </c>
      <c r="L84" s="7">
        <f>SUM(B53:L53)</f>
        <v>1431500</v>
      </c>
      <c r="M84" s="7">
        <f>SUM(B53:M53)</f>
        <v>1886500</v>
      </c>
    </row>
    <row r="85" spans="1:14">
      <c r="A85" s="33" t="s">
        <v>73</v>
      </c>
      <c r="B85" s="7">
        <f t="shared" ref="B85:G85" si="20">+B83-B84</f>
        <v>27018</v>
      </c>
      <c r="C85" s="7">
        <f t="shared" si="20"/>
        <v>-311444</v>
      </c>
      <c r="D85" s="7">
        <f t="shared" si="20"/>
        <v>-352108</v>
      </c>
      <c r="E85" s="7">
        <f t="shared" si="20"/>
        <v>-458305</v>
      </c>
      <c r="F85" s="7">
        <f t="shared" si="20"/>
        <v>-458305</v>
      </c>
      <c r="G85" s="7">
        <f t="shared" si="20"/>
        <v>-458305</v>
      </c>
      <c r="H85" s="7">
        <f t="shared" ref="H85:M85" si="21">+H83-H84</f>
        <v>-458305</v>
      </c>
      <c r="I85" s="7">
        <f t="shared" si="21"/>
        <v>-458305</v>
      </c>
      <c r="J85" s="7">
        <f t="shared" si="21"/>
        <v>-458305</v>
      </c>
      <c r="K85" s="7">
        <f t="shared" si="21"/>
        <v>-458305</v>
      </c>
      <c r="L85" s="7">
        <f t="shared" si="21"/>
        <v>-458305</v>
      </c>
      <c r="M85" s="7">
        <f t="shared" si="21"/>
        <v>-458305</v>
      </c>
    </row>
    <row r="86" spans="1:14">
      <c r="J86" s="6"/>
      <c r="K86" s="6"/>
    </row>
    <row r="87" spans="1:14">
      <c r="A87" t="s">
        <v>74</v>
      </c>
      <c r="B87" s="35">
        <f>-B56-B57</f>
        <v>288499</v>
      </c>
      <c r="C87" s="35">
        <f t="shared" ref="C87:N87" si="22">-C56-C57</f>
        <v>35937</v>
      </c>
      <c r="D87" s="35">
        <f t="shared" si="22"/>
        <v>56816</v>
      </c>
      <c r="E87" s="35">
        <f t="shared" si="22"/>
        <v>-149736</v>
      </c>
      <c r="F87" s="35">
        <f t="shared" si="22"/>
        <v>33000</v>
      </c>
      <c r="G87" s="40">
        <f t="shared" si="22"/>
        <v>33000</v>
      </c>
      <c r="H87" s="35">
        <f t="shared" si="22"/>
        <v>33000</v>
      </c>
      <c r="I87" s="35">
        <f t="shared" si="22"/>
        <v>33000</v>
      </c>
      <c r="J87" s="35">
        <f t="shared" si="22"/>
        <v>34000</v>
      </c>
      <c r="K87" s="40">
        <f t="shared" si="22"/>
        <v>34000</v>
      </c>
      <c r="L87" s="35">
        <f t="shared" si="22"/>
        <v>34000</v>
      </c>
      <c r="M87" s="35">
        <f t="shared" si="22"/>
        <v>34000</v>
      </c>
      <c r="N87" s="35">
        <f t="shared" si="22"/>
        <v>499516</v>
      </c>
    </row>
    <row r="88" spans="1:14">
      <c r="C88" s="35">
        <f>+B87+C87</f>
        <v>324436</v>
      </c>
      <c r="D88" s="35">
        <f>+C88+D87</f>
        <v>381252</v>
      </c>
      <c r="E88" s="35">
        <f t="shared" ref="E88:M88" si="23">+D88+E87</f>
        <v>231516</v>
      </c>
      <c r="F88" s="35">
        <f t="shared" si="23"/>
        <v>264516</v>
      </c>
      <c r="G88" s="40">
        <f t="shared" si="23"/>
        <v>297516</v>
      </c>
      <c r="H88" s="35">
        <f t="shared" si="23"/>
        <v>330516</v>
      </c>
      <c r="I88" s="40">
        <f t="shared" si="23"/>
        <v>363516</v>
      </c>
      <c r="J88" s="40">
        <f t="shared" si="23"/>
        <v>397516</v>
      </c>
      <c r="K88" s="40">
        <f t="shared" si="23"/>
        <v>431516</v>
      </c>
      <c r="L88" s="35">
        <f t="shared" si="23"/>
        <v>465516</v>
      </c>
      <c r="M88" s="35">
        <f t="shared" si="23"/>
        <v>499516</v>
      </c>
    </row>
    <row r="89" spans="1:14">
      <c r="B89" s="6"/>
      <c r="C89" s="6"/>
      <c r="D89" s="6"/>
      <c r="E89" s="6"/>
    </row>
    <row r="90" spans="1:14">
      <c r="B90" s="6"/>
      <c r="C90" s="6"/>
      <c r="D90" s="21"/>
      <c r="E90" s="6"/>
    </row>
    <row r="91" spans="1:14">
      <c r="B91" s="6"/>
      <c r="C91" s="6"/>
      <c r="D91" s="6"/>
      <c r="E91" s="6"/>
    </row>
    <row r="92" spans="1:14">
      <c r="B92" s="6"/>
      <c r="C92" s="6"/>
      <c r="D92" s="6"/>
      <c r="E92" s="6"/>
    </row>
    <row r="93" spans="1:14">
      <c r="B93" s="6"/>
      <c r="C93" s="6"/>
      <c r="D93" s="6"/>
      <c r="E93" s="6"/>
    </row>
    <row r="94" spans="1:14">
      <c r="B94" s="6"/>
      <c r="C94" s="6"/>
      <c r="D94" s="34"/>
      <c r="E94" s="6"/>
    </row>
    <row r="95" spans="1:14">
      <c r="B95" s="6"/>
      <c r="C95" s="6"/>
      <c r="D95" s="6"/>
      <c r="E95" s="6"/>
    </row>
    <row r="96" spans="1:14">
      <c r="B96" s="6"/>
      <c r="C96" s="6"/>
      <c r="D96" s="6"/>
      <c r="E96" s="6"/>
    </row>
  </sheetData>
  <pageMargins left="0.28000000000000003" right="0.25" top="0.99" bottom="0.75" header="0.63" footer="0.23"/>
  <pageSetup scale="67" orientation="landscape" r:id="rId1"/>
  <headerFooter alignWithMargins="0">
    <oddHeader xml:space="preserve">&amp;C&amp;"Arial,Bold"&amp;11 49ER SHOPS, INC.
&amp;UFY2016/2017 OPERATIONAL CASH FLOW </oddHeader>
    <oddFooter>&amp;CCash Flow - FY2016/2017
October 2016</oddFooter>
  </headerFooter>
  <legacy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FF00"/>
    <pageSetUpPr fitToPage="1"/>
  </sheetPr>
  <dimension ref="A1:AR96"/>
  <sheetViews>
    <sheetView showGridLines="0" workbookViewId="0">
      <pane xSplit="1" ySplit="3" topLeftCell="B52" activePane="bottomRight" state="frozen"/>
      <selection pane="topRight" activeCell="B72" sqref="B72"/>
      <selection pane="bottomLeft" activeCell="B72" sqref="B72"/>
      <selection pane="bottomRight" activeCell="A44" sqref="A44:XFD45"/>
    </sheetView>
  </sheetViews>
  <sheetFormatPr defaultRowHeight="12.75"/>
  <cols>
    <col min="1" max="1" width="35.42578125" customWidth="1"/>
    <col min="2" max="2" width="14" customWidth="1"/>
    <col min="3" max="3" width="12.5703125" customWidth="1"/>
    <col min="4" max="4" width="12.140625" customWidth="1"/>
    <col min="5" max="5" width="13.5703125" customWidth="1"/>
    <col min="6" max="6" width="12.85546875" customWidth="1"/>
    <col min="7" max="7" width="12.5703125" style="6" customWidth="1"/>
    <col min="8" max="9" width="12.85546875" customWidth="1"/>
    <col min="10" max="11" width="12.140625" customWidth="1"/>
    <col min="12" max="13" width="12.85546875" customWidth="1"/>
    <col min="14" max="14" width="12.85546875" bestFit="1" customWidth="1"/>
    <col min="15" max="15" width="10.140625" bestFit="1" customWidth="1"/>
    <col min="16" max="16" width="13.140625" bestFit="1" customWidth="1"/>
  </cols>
  <sheetData>
    <row r="1" spans="1:15" ht="13.5" thickBot="1">
      <c r="A1" s="46" t="s">
        <v>84</v>
      </c>
      <c r="E1" s="6"/>
      <c r="F1" s="6"/>
      <c r="J1" s="6"/>
      <c r="K1" s="6"/>
      <c r="N1" s="3"/>
    </row>
    <row r="2" spans="1:15">
      <c r="B2" s="45" t="s">
        <v>24</v>
      </c>
      <c r="C2" s="45" t="s">
        <v>24</v>
      </c>
      <c r="D2" s="45" t="s">
        <v>24</v>
      </c>
      <c r="E2" s="45" t="s">
        <v>24</v>
      </c>
      <c r="F2" s="45" t="s">
        <v>24</v>
      </c>
      <c r="G2" s="45" t="s">
        <v>76</v>
      </c>
      <c r="H2" s="45" t="s">
        <v>76</v>
      </c>
      <c r="I2" s="45" t="s">
        <v>76</v>
      </c>
      <c r="J2" s="45" t="s">
        <v>76</v>
      </c>
      <c r="K2" s="45" t="s">
        <v>76</v>
      </c>
      <c r="L2" s="45" t="s">
        <v>76</v>
      </c>
      <c r="M2" s="45" t="s">
        <v>76</v>
      </c>
      <c r="N2" s="55" t="s">
        <v>25</v>
      </c>
    </row>
    <row r="3" spans="1:15" s="5" customFormat="1">
      <c r="B3" s="11">
        <v>42553</v>
      </c>
      <c r="C3" s="11">
        <v>42584</v>
      </c>
      <c r="D3" s="11">
        <v>42615</v>
      </c>
      <c r="E3" s="11">
        <v>42645</v>
      </c>
      <c r="F3" s="11">
        <v>42676</v>
      </c>
      <c r="G3" s="11">
        <v>42706</v>
      </c>
      <c r="H3" s="11">
        <v>42737</v>
      </c>
      <c r="I3" s="11">
        <v>42768</v>
      </c>
      <c r="J3" s="11">
        <v>42796</v>
      </c>
      <c r="K3" s="11">
        <v>42827</v>
      </c>
      <c r="L3" s="11">
        <v>42857</v>
      </c>
      <c r="M3" s="11">
        <v>42888</v>
      </c>
      <c r="N3" s="57" t="s">
        <v>77</v>
      </c>
    </row>
    <row r="4" spans="1:15" hidden="1">
      <c r="A4" s="1" t="s">
        <v>27</v>
      </c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>
        <f>SUM(B4:M4)</f>
        <v>0</v>
      </c>
      <c r="O4" s="6"/>
    </row>
    <row r="5" spans="1:15" s="6" customFormat="1" hidden="1">
      <c r="A5" s="6" t="s">
        <v>28</v>
      </c>
      <c r="B5" s="53">
        <v>1199482</v>
      </c>
      <c r="C5" s="53">
        <v>4828670</v>
      </c>
      <c r="D5" s="53">
        <v>3749028</v>
      </c>
      <c r="E5" s="53">
        <v>3546355</v>
      </c>
      <c r="F5" s="53">
        <v>2585168</v>
      </c>
      <c r="G5" s="53">
        <v>2443225.8391503901</v>
      </c>
      <c r="H5" s="53">
        <v>4392028.1440046299</v>
      </c>
      <c r="I5" s="53">
        <v>3229385.12840016</v>
      </c>
      <c r="J5" s="53">
        <v>3101264.61223314</v>
      </c>
      <c r="K5" s="53">
        <v>2861289.1218165602</v>
      </c>
      <c r="L5" s="53">
        <v>2884558.9345671199</v>
      </c>
      <c r="M5" s="53">
        <v>1536863.9470107399</v>
      </c>
      <c r="N5" s="12">
        <f>SUM(B5:M5)</f>
        <v>36357318.727182746</v>
      </c>
    </row>
    <row r="6" spans="1:15" s="6" customFormat="1" hidden="1">
      <c r="A6" s="6" t="s">
        <v>29</v>
      </c>
      <c r="B6" s="53">
        <v>54104</v>
      </c>
      <c r="C6" s="53">
        <v>50888</v>
      </c>
      <c r="D6" s="53">
        <v>47975</v>
      </c>
      <c r="E6" s="53">
        <v>339053</v>
      </c>
      <c r="F6" s="53">
        <v>50128</v>
      </c>
      <c r="G6" s="53">
        <v>80537.490202171612</v>
      </c>
      <c r="H6" s="53">
        <v>93715.085794590996</v>
      </c>
      <c r="I6" s="53">
        <v>76173.313860300201</v>
      </c>
      <c r="J6" s="53">
        <v>194949.6852683014</v>
      </c>
      <c r="K6" s="53">
        <v>107775.7156534557</v>
      </c>
      <c r="L6" s="53">
        <v>303701.34733729798</v>
      </c>
      <c r="M6" s="53">
        <v>46075.731999999996</v>
      </c>
      <c r="N6" s="7">
        <f>SUM(B6:M6)</f>
        <v>1445076.3701161181</v>
      </c>
    </row>
    <row r="7" spans="1:15" s="6" customFormat="1" hidden="1">
      <c r="B7" s="7"/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7">
        <f>SUM(B7:M7)</f>
        <v>0</v>
      </c>
    </row>
    <row r="8" spans="1:15" s="6" customFormat="1" hidden="1">
      <c r="B8" s="15"/>
      <c r="C8" s="15"/>
      <c r="D8" s="15"/>
      <c r="E8" s="15"/>
      <c r="F8" s="15"/>
      <c r="G8" s="15"/>
      <c r="H8" s="15"/>
      <c r="I8" s="15"/>
      <c r="J8" s="15"/>
      <c r="K8" s="15"/>
      <c r="L8" s="15"/>
      <c r="M8" s="15"/>
      <c r="N8" s="15">
        <f>SUM(B8:M8)</f>
        <v>0</v>
      </c>
    </row>
    <row r="9" spans="1:15" s="6" customFormat="1">
      <c r="A9" s="13" t="s">
        <v>30</v>
      </c>
      <c r="B9" s="12">
        <f t="shared" ref="B9:N9" si="0">SUM(B5:B8)</f>
        <v>1253586</v>
      </c>
      <c r="C9" s="12">
        <f t="shared" si="0"/>
        <v>4879558</v>
      </c>
      <c r="D9" s="12">
        <f t="shared" si="0"/>
        <v>3797003</v>
      </c>
      <c r="E9" s="12">
        <v>3546355</v>
      </c>
      <c r="F9" s="12">
        <f t="shared" si="0"/>
        <v>2635296</v>
      </c>
      <c r="G9" s="12">
        <f t="shared" si="0"/>
        <v>2523763.3293525619</v>
      </c>
      <c r="H9" s="12">
        <f t="shared" si="0"/>
        <v>4485743.2297992213</v>
      </c>
      <c r="I9" s="12">
        <f t="shared" si="0"/>
        <v>3305558.44226046</v>
      </c>
      <c r="J9" s="12">
        <f t="shared" si="0"/>
        <v>3296214.2975014416</v>
      </c>
      <c r="K9" s="12">
        <f t="shared" si="0"/>
        <v>2969064.837470016</v>
      </c>
      <c r="L9" s="12">
        <f t="shared" si="0"/>
        <v>3188260.281904418</v>
      </c>
      <c r="M9" s="12">
        <f t="shared" si="0"/>
        <v>1582939.67901074</v>
      </c>
      <c r="N9" s="12">
        <f t="shared" si="0"/>
        <v>37802395.097298861</v>
      </c>
    </row>
    <row r="10" spans="1:15" s="6" customFormat="1" ht="6.75" customHeight="1"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</row>
    <row r="11" spans="1:15" s="6" customFormat="1">
      <c r="A11" s="13" t="s">
        <v>31</v>
      </c>
      <c r="B11" s="7">
        <v>7663</v>
      </c>
      <c r="C11" s="7">
        <v>2297</v>
      </c>
      <c r="D11" s="7">
        <v>6582</v>
      </c>
      <c r="E11" s="7">
        <v>62</v>
      </c>
      <c r="F11" s="7">
        <f>5776-5686</f>
        <v>90</v>
      </c>
      <c r="G11" s="7"/>
      <c r="H11" s="7"/>
      <c r="I11" s="7"/>
      <c r="J11" s="7"/>
      <c r="K11" s="7"/>
      <c r="L11" s="7"/>
      <c r="M11" s="7"/>
      <c r="N11" s="7">
        <f>SUM(B11:M11)</f>
        <v>16694</v>
      </c>
    </row>
    <row r="12" spans="1:15" s="6" customFormat="1" ht="7.5" customHeight="1">
      <c r="B12" s="7"/>
      <c r="C12" s="7"/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</row>
    <row r="13" spans="1:15" s="6" customFormat="1" ht="13.5" thickBot="1">
      <c r="A13" s="13" t="s">
        <v>32</v>
      </c>
      <c r="B13" s="14">
        <f t="shared" ref="B13:N13" si="1">B9+B11</f>
        <v>1261249</v>
      </c>
      <c r="C13" s="14">
        <f>C9+C11</f>
        <v>4881855</v>
      </c>
      <c r="D13" s="14">
        <f t="shared" si="1"/>
        <v>3803585</v>
      </c>
      <c r="E13" s="14">
        <f t="shared" si="1"/>
        <v>3546417</v>
      </c>
      <c r="F13" s="14">
        <f t="shared" si="1"/>
        <v>2635386</v>
      </c>
      <c r="G13" s="14">
        <f t="shared" si="1"/>
        <v>2523763.3293525619</v>
      </c>
      <c r="H13" s="14">
        <f t="shared" si="1"/>
        <v>4485743.2297992213</v>
      </c>
      <c r="I13" s="14">
        <f t="shared" si="1"/>
        <v>3305558.44226046</v>
      </c>
      <c r="J13" s="14">
        <f t="shared" si="1"/>
        <v>3296214.2975014416</v>
      </c>
      <c r="K13" s="14">
        <f t="shared" si="1"/>
        <v>2969064.837470016</v>
      </c>
      <c r="L13" s="14">
        <f t="shared" si="1"/>
        <v>3188260.281904418</v>
      </c>
      <c r="M13" s="14">
        <f t="shared" si="1"/>
        <v>1582939.67901074</v>
      </c>
      <c r="N13" s="14">
        <f t="shared" si="1"/>
        <v>37819089.097298861</v>
      </c>
    </row>
    <row r="14" spans="1:15" s="6" customFormat="1" ht="13.5" thickTop="1">
      <c r="B14" s="7"/>
      <c r="C14" s="7"/>
      <c r="D14" s="7"/>
      <c r="E14" s="7"/>
      <c r="F14" s="7"/>
      <c r="G14" s="7"/>
      <c r="H14" s="7"/>
      <c r="I14" s="7"/>
      <c r="J14" s="7"/>
      <c r="K14" s="7"/>
      <c r="L14" s="7"/>
      <c r="M14" s="7"/>
    </row>
    <row r="15" spans="1:15" s="6" customFormat="1" hidden="1">
      <c r="A15" s="13" t="s">
        <v>33</v>
      </c>
      <c r="B15" s="7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</row>
    <row r="16" spans="1:15" s="6" customFormat="1" hidden="1">
      <c r="A16" s="6" t="s">
        <v>34</v>
      </c>
      <c r="B16" s="53">
        <v>620285</v>
      </c>
      <c r="C16" s="53">
        <v>2968543</v>
      </c>
      <c r="D16" s="53">
        <v>1627085</v>
      </c>
      <c r="E16" s="53">
        <v>1339249</v>
      </c>
      <c r="F16" s="53">
        <v>866632</v>
      </c>
      <c r="G16" s="53">
        <v>994515.62781412899</v>
      </c>
      <c r="H16" s="53">
        <v>2724198.5675140698</v>
      </c>
      <c r="I16" s="53">
        <v>1309498.16154439</v>
      </c>
      <c r="J16" s="53">
        <v>1146427.91045744</v>
      </c>
      <c r="K16" s="53">
        <v>1014457.82475312</v>
      </c>
      <c r="L16" s="53">
        <v>1202846.3247627199</v>
      </c>
      <c r="M16" s="53">
        <v>808585.32395320502</v>
      </c>
      <c r="N16" s="7">
        <f>SUM(B16:M16)</f>
        <v>16622323.740799075</v>
      </c>
    </row>
    <row r="17" spans="1:44" s="6" customFormat="1" hidden="1">
      <c r="B17" s="27"/>
      <c r="C17" s="27"/>
      <c r="D17" s="27"/>
      <c r="E17" s="27"/>
      <c r="F17" s="27"/>
      <c r="G17" s="27"/>
      <c r="H17" s="27"/>
      <c r="I17" s="27"/>
      <c r="J17" s="27"/>
      <c r="K17" s="27"/>
      <c r="L17" s="27"/>
      <c r="M17" s="27"/>
      <c r="N17" s="7">
        <f>SUM(B17:M17)</f>
        <v>0</v>
      </c>
    </row>
    <row r="18" spans="1:44" s="6" customFormat="1" hidden="1">
      <c r="B18" s="7"/>
      <c r="C18" s="7"/>
      <c r="D18" s="7"/>
      <c r="E18" s="7"/>
      <c r="F18" s="7"/>
      <c r="G18" s="7"/>
      <c r="H18" s="7"/>
      <c r="I18" s="7"/>
      <c r="J18" s="7"/>
      <c r="K18" s="7"/>
      <c r="L18" s="7"/>
      <c r="M18" s="7"/>
      <c r="N18" s="7">
        <v>0</v>
      </c>
    </row>
    <row r="19" spans="1:44" s="6" customFormat="1" hidden="1">
      <c r="B19" s="15"/>
      <c r="C19" s="15"/>
      <c r="D19" s="15"/>
      <c r="E19" s="15"/>
      <c r="F19" s="15"/>
      <c r="G19" s="15"/>
      <c r="H19" s="15"/>
      <c r="I19" s="15"/>
      <c r="J19" s="15"/>
      <c r="K19" s="15"/>
      <c r="L19" s="15"/>
      <c r="M19" s="15"/>
      <c r="N19" s="15">
        <f>SUM(B19:M19)</f>
        <v>0</v>
      </c>
    </row>
    <row r="20" spans="1:44" s="6" customFormat="1">
      <c r="A20" s="13" t="s">
        <v>35</v>
      </c>
      <c r="B20" s="12">
        <f t="shared" ref="B20:N20" si="2">SUM(B16:B19)</f>
        <v>620285</v>
      </c>
      <c r="C20" s="12">
        <f t="shared" si="2"/>
        <v>2968543</v>
      </c>
      <c r="D20" s="12">
        <f t="shared" si="2"/>
        <v>1627085</v>
      </c>
      <c r="E20" s="12">
        <f t="shared" si="2"/>
        <v>1339249</v>
      </c>
      <c r="F20" s="12">
        <f t="shared" si="2"/>
        <v>866632</v>
      </c>
      <c r="G20" s="12">
        <f t="shared" si="2"/>
        <v>994515.62781412899</v>
      </c>
      <c r="H20" s="12">
        <f t="shared" si="2"/>
        <v>2724198.5675140698</v>
      </c>
      <c r="I20" s="12">
        <f t="shared" si="2"/>
        <v>1309498.16154439</v>
      </c>
      <c r="J20" s="12">
        <f t="shared" si="2"/>
        <v>1146427.91045744</v>
      </c>
      <c r="K20" s="12">
        <f t="shared" si="2"/>
        <v>1014457.82475312</v>
      </c>
      <c r="L20" s="12">
        <f t="shared" si="2"/>
        <v>1202846.3247627199</v>
      </c>
      <c r="M20" s="12">
        <f t="shared" si="2"/>
        <v>808585.32395320502</v>
      </c>
      <c r="N20" s="12">
        <f t="shared" si="2"/>
        <v>16622323.740799075</v>
      </c>
    </row>
    <row r="21" spans="1:44" s="6" customFormat="1">
      <c r="B21" s="7"/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</row>
    <row r="22" spans="1:44" s="6" customFormat="1" hidden="1">
      <c r="A22" s="13" t="s">
        <v>36</v>
      </c>
      <c r="B22" s="7"/>
      <c r="C22" s="7"/>
      <c r="D22" s="7"/>
      <c r="E22" s="7"/>
      <c r="F22" s="7"/>
      <c r="G22" s="7"/>
      <c r="H22" s="7"/>
      <c r="I22" s="7"/>
      <c r="J22" s="7"/>
      <c r="K22" s="7"/>
      <c r="L22" s="7"/>
      <c r="M22" s="7"/>
    </row>
    <row r="23" spans="1:44" s="6" customFormat="1" hidden="1">
      <c r="A23" s="6" t="s">
        <v>37</v>
      </c>
      <c r="B23" s="7">
        <f t="shared" ref="B23:M26" si="3">+B5-B16</f>
        <v>579197</v>
      </c>
      <c r="C23" s="7">
        <f t="shared" si="3"/>
        <v>1860127</v>
      </c>
      <c r="D23" s="7">
        <f t="shared" si="3"/>
        <v>2121943</v>
      </c>
      <c r="E23" s="7">
        <f t="shared" si="3"/>
        <v>2207106</v>
      </c>
      <c r="F23" s="7">
        <f t="shared" si="3"/>
        <v>1718536</v>
      </c>
      <c r="G23" s="7">
        <f t="shared" si="3"/>
        <v>1448710.2113362611</v>
      </c>
      <c r="H23" s="7">
        <f t="shared" si="3"/>
        <v>1667829.5764905601</v>
      </c>
      <c r="I23" s="7">
        <f t="shared" si="3"/>
        <v>1919886.96685577</v>
      </c>
      <c r="J23" s="7">
        <f t="shared" si="3"/>
        <v>1954836.7017757001</v>
      </c>
      <c r="K23" s="7">
        <f t="shared" si="3"/>
        <v>1846831.2970634401</v>
      </c>
      <c r="L23" s="7">
        <f t="shared" si="3"/>
        <v>1681712.6098044</v>
      </c>
      <c r="M23" s="7">
        <f t="shared" si="3"/>
        <v>728278.62305753492</v>
      </c>
      <c r="N23" s="7">
        <f>SUM(B23:M23)</f>
        <v>19734994.986383669</v>
      </c>
    </row>
    <row r="24" spans="1:44" s="6" customFormat="1" hidden="1">
      <c r="A24" s="6" t="s">
        <v>37</v>
      </c>
      <c r="B24" s="7">
        <f t="shared" si="3"/>
        <v>54104</v>
      </c>
      <c r="C24" s="7">
        <f t="shared" si="3"/>
        <v>50888</v>
      </c>
      <c r="D24" s="7">
        <f t="shared" si="3"/>
        <v>47975</v>
      </c>
      <c r="E24" s="7">
        <f t="shared" si="3"/>
        <v>339053</v>
      </c>
      <c r="F24" s="7">
        <f t="shared" si="3"/>
        <v>50128</v>
      </c>
      <c r="G24" s="7">
        <f t="shared" si="3"/>
        <v>80537.490202171612</v>
      </c>
      <c r="H24" s="7">
        <f t="shared" si="3"/>
        <v>93715.085794590996</v>
      </c>
      <c r="I24" s="7">
        <f t="shared" si="3"/>
        <v>76173.313860300201</v>
      </c>
      <c r="J24" s="7">
        <f t="shared" si="3"/>
        <v>194949.6852683014</v>
      </c>
      <c r="K24" s="7">
        <f t="shared" si="3"/>
        <v>107775.7156534557</v>
      </c>
      <c r="L24" s="7">
        <f t="shared" si="3"/>
        <v>303701.34733729798</v>
      </c>
      <c r="M24" s="7">
        <f t="shared" si="3"/>
        <v>46075.731999999996</v>
      </c>
      <c r="N24" s="7">
        <f>SUM(B24:M24)</f>
        <v>1445076.3701161181</v>
      </c>
    </row>
    <row r="25" spans="1:44" s="6" customFormat="1" hidden="1">
      <c r="A25" s="6" t="s">
        <v>38</v>
      </c>
      <c r="B25" s="7">
        <f t="shared" si="3"/>
        <v>0</v>
      </c>
      <c r="C25" s="7">
        <f t="shared" si="3"/>
        <v>0</v>
      </c>
      <c r="D25" s="7">
        <f t="shared" si="3"/>
        <v>0</v>
      </c>
      <c r="E25" s="7">
        <f t="shared" si="3"/>
        <v>0</v>
      </c>
      <c r="F25" s="7">
        <f t="shared" si="3"/>
        <v>0</v>
      </c>
      <c r="G25" s="7">
        <f t="shared" si="3"/>
        <v>0</v>
      </c>
      <c r="H25" s="7">
        <f t="shared" si="3"/>
        <v>0</v>
      </c>
      <c r="I25" s="7">
        <f t="shared" si="3"/>
        <v>0</v>
      </c>
      <c r="J25" s="7">
        <f t="shared" si="3"/>
        <v>0</v>
      </c>
      <c r="K25" s="7">
        <f t="shared" si="3"/>
        <v>0</v>
      </c>
      <c r="L25" s="7">
        <f t="shared" si="3"/>
        <v>0</v>
      </c>
      <c r="M25" s="7">
        <f t="shared" si="3"/>
        <v>0</v>
      </c>
      <c r="N25" s="7">
        <f>SUM(B25:M25)</f>
        <v>0</v>
      </c>
    </row>
    <row r="26" spans="1:44" s="6" customFormat="1" hidden="1">
      <c r="A26" s="6" t="s">
        <v>38</v>
      </c>
      <c r="B26" s="15">
        <f t="shared" si="3"/>
        <v>0</v>
      </c>
      <c r="C26" s="15">
        <f t="shared" si="3"/>
        <v>0</v>
      </c>
      <c r="D26" s="15">
        <f t="shared" si="3"/>
        <v>0</v>
      </c>
      <c r="E26" s="15">
        <f t="shared" si="3"/>
        <v>0</v>
      </c>
      <c r="F26" s="15">
        <f t="shared" si="3"/>
        <v>0</v>
      </c>
      <c r="G26" s="15">
        <f t="shared" si="3"/>
        <v>0</v>
      </c>
      <c r="H26" s="15">
        <f t="shared" si="3"/>
        <v>0</v>
      </c>
      <c r="I26" s="15">
        <f t="shared" si="3"/>
        <v>0</v>
      </c>
      <c r="J26" s="15">
        <f t="shared" si="3"/>
        <v>0</v>
      </c>
      <c r="K26" s="15">
        <f t="shared" si="3"/>
        <v>0</v>
      </c>
      <c r="L26" s="15">
        <f t="shared" si="3"/>
        <v>0</v>
      </c>
      <c r="M26" s="15">
        <f t="shared" si="3"/>
        <v>0</v>
      </c>
      <c r="N26" s="15">
        <f>SUM(B26:M26)</f>
        <v>0</v>
      </c>
    </row>
    <row r="27" spans="1:44" s="6" customFormat="1">
      <c r="A27" s="13" t="s">
        <v>39</v>
      </c>
      <c r="B27" s="12">
        <f t="shared" ref="B27:N27" si="4">SUM(B23:B26)</f>
        <v>633301</v>
      </c>
      <c r="C27" s="12">
        <f t="shared" si="4"/>
        <v>1911015</v>
      </c>
      <c r="D27" s="12">
        <f t="shared" si="4"/>
        <v>2169918</v>
      </c>
      <c r="E27" s="12">
        <f t="shared" si="4"/>
        <v>2546159</v>
      </c>
      <c r="F27" s="12">
        <f t="shared" si="4"/>
        <v>1768664</v>
      </c>
      <c r="G27" s="12">
        <f t="shared" si="4"/>
        <v>1529247.7015384329</v>
      </c>
      <c r="H27" s="12">
        <f t="shared" si="4"/>
        <v>1761544.662285151</v>
      </c>
      <c r="I27" s="12">
        <f t="shared" si="4"/>
        <v>1996060.2807160702</v>
      </c>
      <c r="J27" s="12">
        <f t="shared" si="4"/>
        <v>2149786.3870440014</v>
      </c>
      <c r="K27" s="12">
        <f t="shared" si="4"/>
        <v>1954607.0127168959</v>
      </c>
      <c r="L27" s="12">
        <f t="shared" si="4"/>
        <v>1985413.9571416979</v>
      </c>
      <c r="M27" s="12">
        <f>SUM(M23:M26)</f>
        <v>774354.35505753488</v>
      </c>
      <c r="N27" s="12">
        <f t="shared" si="4"/>
        <v>21180071.356499787</v>
      </c>
    </row>
    <row r="28" spans="1:44" s="6" customFormat="1">
      <c r="B28" s="7"/>
      <c r="C28" s="7"/>
      <c r="D28" s="7"/>
      <c r="E28" s="7"/>
      <c r="F28" s="7"/>
      <c r="G28" s="7"/>
      <c r="H28" s="7"/>
      <c r="I28" s="7"/>
      <c r="J28" s="7"/>
      <c r="K28" s="7"/>
      <c r="L28" s="7"/>
      <c r="M28" s="7"/>
    </row>
    <row r="29" spans="1:44" s="6" customFormat="1" hidden="1">
      <c r="A29" s="13" t="s">
        <v>40</v>
      </c>
      <c r="B29" s="7"/>
      <c r="C29" s="7"/>
      <c r="D29" s="7"/>
      <c r="E29" s="7"/>
      <c r="F29" s="7"/>
      <c r="G29" s="7"/>
      <c r="H29" s="7"/>
      <c r="I29" s="7"/>
      <c r="J29" s="7"/>
      <c r="K29" s="7"/>
      <c r="L29" s="7"/>
      <c r="M29" s="7"/>
    </row>
    <row r="30" spans="1:44" s="6" customFormat="1" hidden="1">
      <c r="A30" s="6" t="s">
        <v>41</v>
      </c>
      <c r="B30" s="53">
        <v>392880</v>
      </c>
      <c r="C30" s="53">
        <v>559131</v>
      </c>
      <c r="D30" s="53">
        <v>664356</v>
      </c>
      <c r="E30" s="53">
        <v>808302</v>
      </c>
      <c r="F30" s="53">
        <v>577909</v>
      </c>
      <c r="G30" s="53">
        <v>571132.83865265502</v>
      </c>
      <c r="H30" s="53">
        <v>611166.92702081904</v>
      </c>
      <c r="I30" s="53">
        <v>664473.65115265595</v>
      </c>
      <c r="J30" s="53">
        <v>653848.24865265505</v>
      </c>
      <c r="K30" s="53">
        <v>727810.13162081898</v>
      </c>
      <c r="L30" s="53">
        <v>615430.25565265596</v>
      </c>
      <c r="M30" s="53">
        <v>456542.16991265502</v>
      </c>
      <c r="N30" s="7">
        <f>SUM(B30:M30)</f>
        <v>7302982.2226649141</v>
      </c>
    </row>
    <row r="31" spans="1:44" s="6" customFormat="1" hidden="1">
      <c r="A31" s="6" t="s">
        <v>42</v>
      </c>
      <c r="B31" s="53">
        <v>216187</v>
      </c>
      <c r="C31" s="53">
        <v>190413</v>
      </c>
      <c r="D31" s="53">
        <v>232147</v>
      </c>
      <c r="E31" s="53">
        <v>210938</v>
      </c>
      <c r="F31" s="53">
        <v>193412</v>
      </c>
      <c r="G31" s="53">
        <v>192740.601426243</v>
      </c>
      <c r="H31" s="53">
        <v>210196.707905202</v>
      </c>
      <c r="I31" s="53">
        <v>201269.28383633701</v>
      </c>
      <c r="J31" s="53">
        <v>200709.39503545201</v>
      </c>
      <c r="K31" s="53">
        <v>223370.57771881</v>
      </c>
      <c r="L31" s="53">
        <v>196340.080043806</v>
      </c>
      <c r="M31" s="53">
        <v>191011.551540168</v>
      </c>
      <c r="N31" s="7">
        <f>SUM(B31:M31)</f>
        <v>2458735.197506018</v>
      </c>
    </row>
    <row r="32" spans="1:44" s="6" customFormat="1" ht="15" hidden="1">
      <c r="A32" s="6" t="s">
        <v>38</v>
      </c>
      <c r="B32" s="65"/>
      <c r="C32" s="65"/>
      <c r="D32" s="65"/>
      <c r="E32" s="65"/>
      <c r="F32" s="68"/>
      <c r="G32" s="65"/>
      <c r="H32" s="65"/>
      <c r="I32" s="65"/>
      <c r="J32" s="65"/>
      <c r="K32" s="65"/>
      <c r="L32" s="65"/>
      <c r="M32" s="65"/>
      <c r="N32" s="7">
        <f>SUM(B32:M32)</f>
        <v>0</v>
      </c>
      <c r="P32" s="6">
        <f>+B32*-1</f>
        <v>0</v>
      </c>
      <c r="Q32" s="6">
        <f t="shared" ref="Q32:AF33" si="5">+C32*-1</f>
        <v>0</v>
      </c>
      <c r="R32" s="6">
        <f t="shared" si="5"/>
        <v>0</v>
      </c>
      <c r="S32" s="6">
        <f t="shared" si="5"/>
        <v>0</v>
      </c>
      <c r="T32" s="6">
        <f t="shared" si="5"/>
        <v>0</v>
      </c>
      <c r="U32" s="6">
        <f t="shared" si="5"/>
        <v>0</v>
      </c>
      <c r="V32" s="6">
        <f t="shared" si="5"/>
        <v>0</v>
      </c>
      <c r="W32" s="6">
        <f t="shared" si="5"/>
        <v>0</v>
      </c>
      <c r="X32" s="6">
        <f t="shared" si="5"/>
        <v>0</v>
      </c>
      <c r="Y32" s="6">
        <f t="shared" si="5"/>
        <v>0</v>
      </c>
      <c r="Z32" s="6">
        <f t="shared" si="5"/>
        <v>0</v>
      </c>
      <c r="AA32" s="6">
        <f t="shared" si="5"/>
        <v>0</v>
      </c>
      <c r="AB32" s="6">
        <f t="shared" si="5"/>
        <v>0</v>
      </c>
      <c r="AC32" s="6">
        <f t="shared" si="5"/>
        <v>0</v>
      </c>
      <c r="AD32" s="6">
        <f t="shared" si="5"/>
        <v>0</v>
      </c>
      <c r="AE32" s="6">
        <f t="shared" si="5"/>
        <v>0</v>
      </c>
      <c r="AF32" s="6">
        <f t="shared" si="5"/>
        <v>0</v>
      </c>
      <c r="AG32" s="6">
        <f t="shared" ref="AG32:AR33" si="6">+S32*-1</f>
        <v>0</v>
      </c>
      <c r="AH32" s="6">
        <f t="shared" si="6"/>
        <v>0</v>
      </c>
      <c r="AI32" s="6">
        <f t="shared" si="6"/>
        <v>0</v>
      </c>
      <c r="AJ32" s="6">
        <f t="shared" si="6"/>
        <v>0</v>
      </c>
      <c r="AK32" s="6">
        <f t="shared" si="6"/>
        <v>0</v>
      </c>
      <c r="AL32" s="6">
        <f t="shared" si="6"/>
        <v>0</v>
      </c>
      <c r="AM32" s="6">
        <f t="shared" si="6"/>
        <v>0</v>
      </c>
      <c r="AN32" s="6">
        <f t="shared" si="6"/>
        <v>0</v>
      </c>
      <c r="AO32" s="6">
        <f t="shared" si="6"/>
        <v>0</v>
      </c>
      <c r="AP32" s="6">
        <f t="shared" si="6"/>
        <v>0</v>
      </c>
      <c r="AQ32" s="6">
        <f t="shared" si="6"/>
        <v>0</v>
      </c>
      <c r="AR32" s="6">
        <f t="shared" si="6"/>
        <v>0</v>
      </c>
    </row>
    <row r="33" spans="1:44" s="6" customFormat="1" hidden="1">
      <c r="B33" s="15"/>
      <c r="C33" s="15"/>
      <c r="D33" s="15"/>
      <c r="E33" s="15"/>
      <c r="F33" s="15"/>
      <c r="G33" s="15"/>
      <c r="H33" s="15"/>
      <c r="I33" s="15"/>
      <c r="J33" s="15"/>
      <c r="K33" s="15"/>
      <c r="L33" s="15"/>
      <c r="M33" s="15"/>
      <c r="N33" s="15">
        <f>SUM(B33:M33)</f>
        <v>0</v>
      </c>
      <c r="Q33" s="6">
        <f t="shared" si="5"/>
        <v>0</v>
      </c>
      <c r="R33" s="6">
        <f t="shared" si="5"/>
        <v>0</v>
      </c>
      <c r="S33" s="6">
        <f t="shared" si="5"/>
        <v>0</v>
      </c>
      <c r="T33" s="6">
        <f t="shared" si="5"/>
        <v>0</v>
      </c>
      <c r="U33" s="6">
        <f t="shared" si="5"/>
        <v>0</v>
      </c>
      <c r="V33" s="6">
        <f t="shared" si="5"/>
        <v>0</v>
      </c>
      <c r="W33" s="6">
        <f t="shared" si="5"/>
        <v>0</v>
      </c>
      <c r="X33" s="6">
        <f t="shared" si="5"/>
        <v>0</v>
      </c>
      <c r="Y33" s="6">
        <f t="shared" si="5"/>
        <v>0</v>
      </c>
      <c r="Z33" s="6">
        <f t="shared" si="5"/>
        <v>0</v>
      </c>
      <c r="AA33" s="6">
        <f t="shared" si="5"/>
        <v>0</v>
      </c>
      <c r="AB33" s="6">
        <f t="shared" si="5"/>
        <v>0</v>
      </c>
      <c r="AC33" s="6">
        <f t="shared" si="5"/>
        <v>0</v>
      </c>
      <c r="AD33" s="6">
        <f t="shared" si="5"/>
        <v>0</v>
      </c>
      <c r="AE33" s="6">
        <f t="shared" si="5"/>
        <v>0</v>
      </c>
      <c r="AF33" s="6">
        <f t="shared" si="5"/>
        <v>0</v>
      </c>
      <c r="AG33" s="6">
        <f t="shared" si="6"/>
        <v>0</v>
      </c>
      <c r="AH33" s="6">
        <f t="shared" si="6"/>
        <v>0</v>
      </c>
      <c r="AI33" s="6">
        <f t="shared" si="6"/>
        <v>0</v>
      </c>
      <c r="AJ33" s="6">
        <f t="shared" si="6"/>
        <v>0</v>
      </c>
      <c r="AK33" s="6">
        <f t="shared" si="6"/>
        <v>0</v>
      </c>
      <c r="AL33" s="6">
        <f t="shared" si="6"/>
        <v>0</v>
      </c>
      <c r="AM33" s="6">
        <f t="shared" si="6"/>
        <v>0</v>
      </c>
      <c r="AN33" s="6">
        <f t="shared" si="6"/>
        <v>0</v>
      </c>
      <c r="AO33" s="6">
        <f t="shared" si="6"/>
        <v>0</v>
      </c>
      <c r="AP33" s="6">
        <f t="shared" si="6"/>
        <v>0</v>
      </c>
      <c r="AQ33" s="6">
        <f t="shared" si="6"/>
        <v>0</v>
      </c>
      <c r="AR33" s="6">
        <f t="shared" si="6"/>
        <v>0</v>
      </c>
    </row>
    <row r="34" spans="1:44" s="6" customFormat="1">
      <c r="A34" s="13" t="s">
        <v>43</v>
      </c>
      <c r="B34" s="12">
        <f t="shared" ref="B34:N34" si="7">SUM(B30:B33)</f>
        <v>609067</v>
      </c>
      <c r="C34" s="12">
        <f t="shared" si="7"/>
        <v>749544</v>
      </c>
      <c r="D34" s="12">
        <f t="shared" si="7"/>
        <v>896503</v>
      </c>
      <c r="E34" s="12">
        <f t="shared" si="7"/>
        <v>1019240</v>
      </c>
      <c r="F34" s="12">
        <f t="shared" si="7"/>
        <v>771321</v>
      </c>
      <c r="G34" s="12">
        <f t="shared" si="7"/>
        <v>763873.44007889798</v>
      </c>
      <c r="H34" s="12">
        <f t="shared" si="7"/>
        <v>821363.6349260211</v>
      </c>
      <c r="I34" s="12">
        <f t="shared" si="7"/>
        <v>865742.93498899299</v>
      </c>
      <c r="J34" s="12">
        <f t="shared" si="7"/>
        <v>854557.64368810703</v>
      </c>
      <c r="K34" s="12">
        <f t="shared" si="7"/>
        <v>951180.70933962893</v>
      </c>
      <c r="L34" s="12">
        <f t="shared" si="7"/>
        <v>811770.33569646196</v>
      </c>
      <c r="M34" s="12">
        <f t="shared" si="7"/>
        <v>647553.72145282303</v>
      </c>
      <c r="N34" s="12">
        <f t="shared" si="7"/>
        <v>9761717.420170933</v>
      </c>
      <c r="O34" s="7"/>
    </row>
    <row r="35" spans="1:44" s="6" customFormat="1">
      <c r="B35" s="7"/>
      <c r="C35" s="7"/>
      <c r="D35" s="7"/>
      <c r="E35" s="7"/>
      <c r="F35" s="7"/>
      <c r="G35" s="7"/>
      <c r="H35" s="7"/>
      <c r="I35" s="7"/>
      <c r="J35" s="7"/>
      <c r="K35" s="7"/>
      <c r="L35" s="7"/>
      <c r="M35" s="7"/>
    </row>
    <row r="36" spans="1:44" s="6" customFormat="1">
      <c r="A36" s="13" t="s">
        <v>44</v>
      </c>
      <c r="B36" s="7"/>
      <c r="C36" s="7"/>
      <c r="D36" s="7"/>
      <c r="E36" s="7"/>
      <c r="F36" s="7"/>
      <c r="G36" s="7"/>
      <c r="H36" s="7"/>
      <c r="I36" s="7"/>
      <c r="J36" s="7"/>
      <c r="K36" s="7"/>
      <c r="L36" s="7"/>
      <c r="M36" s="7"/>
    </row>
    <row r="37" spans="1:44" s="6" customFormat="1">
      <c r="A37" s="6" t="s">
        <v>45</v>
      </c>
      <c r="B37" s="53">
        <v>957334</v>
      </c>
      <c r="C37" s="53">
        <v>1284431</v>
      </c>
      <c r="D37" s="53">
        <v>1445140</v>
      </c>
      <c r="E37" s="53">
        <v>1605674</v>
      </c>
      <c r="F37" s="53">
        <v>1524417</v>
      </c>
      <c r="G37" s="66">
        <v>1381899.2128031002</v>
      </c>
      <c r="H37" s="66">
        <v>1338862.8735315695</v>
      </c>
      <c r="I37" s="66">
        <v>1447399.3372471465</v>
      </c>
      <c r="J37" s="66">
        <v>1483783.6270001915</v>
      </c>
      <c r="K37" s="53">
        <v>1521178.5687367001</v>
      </c>
      <c r="L37" s="53">
        <v>1366856.0727674812</v>
      </c>
      <c r="M37" s="53">
        <v>1089068.663147087</v>
      </c>
      <c r="N37" s="7">
        <f>SUM(B37:M37)</f>
        <v>16446044.355233276</v>
      </c>
      <c r="O37" s="53"/>
      <c r="P37" s="62"/>
    </row>
    <row r="38" spans="1:44" s="6" customFormat="1">
      <c r="A38" s="6" t="s">
        <v>46</v>
      </c>
      <c r="B38" s="7">
        <f>-B34</f>
        <v>-609067</v>
      </c>
      <c r="C38" s="7">
        <f t="shared" ref="C38:M38" si="8">-C34</f>
        <v>-749544</v>
      </c>
      <c r="D38" s="7">
        <f t="shared" si="8"/>
        <v>-896503</v>
      </c>
      <c r="E38" s="7">
        <f t="shared" si="8"/>
        <v>-1019240</v>
      </c>
      <c r="F38" s="7">
        <f t="shared" si="8"/>
        <v>-771321</v>
      </c>
      <c r="G38" s="7">
        <f t="shared" si="8"/>
        <v>-763873.44007889798</v>
      </c>
      <c r="H38" s="7">
        <f t="shared" si="8"/>
        <v>-821363.6349260211</v>
      </c>
      <c r="I38" s="7">
        <f t="shared" si="8"/>
        <v>-865742.93498899299</v>
      </c>
      <c r="J38" s="7">
        <f t="shared" si="8"/>
        <v>-854557.64368810703</v>
      </c>
      <c r="K38" s="7">
        <f t="shared" si="8"/>
        <v>-951180.70933962893</v>
      </c>
      <c r="L38" s="7">
        <f t="shared" si="8"/>
        <v>-811770.33569646196</v>
      </c>
      <c r="M38" s="7">
        <f t="shared" si="8"/>
        <v>-647553.72145282303</v>
      </c>
      <c r="N38" s="7">
        <f>SUM(B38:M38)</f>
        <v>-9761717.420170933</v>
      </c>
    </row>
    <row r="39" spans="1:44" s="6" customFormat="1">
      <c r="A39" s="6" t="s">
        <v>47</v>
      </c>
      <c r="B39" s="53">
        <v>-73369</v>
      </c>
      <c r="C39" s="53">
        <v>-72678</v>
      </c>
      <c r="D39" s="53">
        <v>-71948</v>
      </c>
      <c r="E39" s="53">
        <v>-72678</v>
      </c>
      <c r="F39" s="53">
        <v>-72867</v>
      </c>
      <c r="G39" s="53">
        <v>-84858.961666666597</v>
      </c>
      <c r="H39" s="53">
        <v>-82257.801666666594</v>
      </c>
      <c r="I39" s="53">
        <v>-82098.931666666598</v>
      </c>
      <c r="J39" s="53">
        <v>-82065.061666666603</v>
      </c>
      <c r="K39" s="53">
        <v>-81467.421666666603</v>
      </c>
      <c r="L39" s="53">
        <v>-81449.971666666606</v>
      </c>
      <c r="M39" s="53">
        <v>-80077.631666666595</v>
      </c>
      <c r="N39" s="7">
        <v>-971805.1199999993</v>
      </c>
    </row>
    <row r="40" spans="1:44" s="6" customFormat="1">
      <c r="A40" s="6" t="s">
        <v>78</v>
      </c>
      <c r="B40" s="53"/>
      <c r="C40" s="53"/>
      <c r="D40" s="53"/>
      <c r="E40" s="53"/>
      <c r="F40" s="53"/>
      <c r="G40" s="53"/>
      <c r="H40" s="53"/>
      <c r="I40" s="53"/>
      <c r="J40" s="53"/>
      <c r="K40" s="53"/>
      <c r="L40" s="53"/>
      <c r="M40" s="53"/>
      <c r="N40" s="7">
        <f>SUM(B40:M40)</f>
        <v>0</v>
      </c>
    </row>
    <row r="41" spans="1:44" s="6" customFormat="1">
      <c r="A41" s="6" t="s">
        <v>48</v>
      </c>
      <c r="B41" s="60">
        <v>-10663.666666666701</v>
      </c>
      <c r="C41" s="60">
        <v>-10663.666666666701</v>
      </c>
      <c r="D41" s="60">
        <v>-10663.666666666701</v>
      </c>
      <c r="E41" s="60">
        <v>-10663.666666666701</v>
      </c>
      <c r="F41" s="60">
        <v>-10663.666666666701</v>
      </c>
      <c r="G41" s="60">
        <v>-10663.666666666701</v>
      </c>
      <c r="H41" s="60">
        <v>-10663.666666666701</v>
      </c>
      <c r="I41" s="60">
        <v>-10663.666666666701</v>
      </c>
      <c r="J41" s="60">
        <v>-10964</v>
      </c>
      <c r="K41" s="60">
        <v>-10864</v>
      </c>
      <c r="L41" s="60">
        <v>-10964</v>
      </c>
      <c r="M41" s="60">
        <v>-10664</v>
      </c>
      <c r="N41" s="15">
        <f>SUM(B41:M41)</f>
        <v>-128765.3333333336</v>
      </c>
    </row>
    <row r="42" spans="1:44" s="6" customFormat="1">
      <c r="A42" s="13" t="s">
        <v>49</v>
      </c>
      <c r="B42" s="12">
        <f t="shared" ref="B42:N42" si="9">SUM(B37:B41)</f>
        <v>264234.33333333331</v>
      </c>
      <c r="C42" s="12">
        <f t="shared" si="9"/>
        <v>451545.33333333331</v>
      </c>
      <c r="D42" s="12">
        <f t="shared" si="9"/>
        <v>466025.33333333331</v>
      </c>
      <c r="E42" s="12">
        <f t="shared" si="9"/>
        <v>503092.33333333331</v>
      </c>
      <c r="F42" s="12">
        <f t="shared" si="9"/>
        <v>669565.33333333326</v>
      </c>
      <c r="G42" s="12">
        <f t="shared" si="9"/>
        <v>522503.14439086901</v>
      </c>
      <c r="H42" s="12">
        <f t="shared" si="9"/>
        <v>424577.77027221513</v>
      </c>
      <c r="I42" s="12">
        <f t="shared" si="9"/>
        <v>488893.80392482027</v>
      </c>
      <c r="J42" s="12">
        <f t="shared" si="9"/>
        <v>536196.92164541781</v>
      </c>
      <c r="K42" s="12">
        <f t="shared" si="9"/>
        <v>477666.43773040455</v>
      </c>
      <c r="L42" s="12">
        <f t="shared" si="9"/>
        <v>462671.76540435263</v>
      </c>
      <c r="M42" s="12">
        <f t="shared" si="9"/>
        <v>350773.31002759736</v>
      </c>
      <c r="N42" s="12">
        <f t="shared" si="9"/>
        <v>5583756.4817290101</v>
      </c>
    </row>
    <row r="43" spans="1:44">
      <c r="A43" s="1"/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2"/>
      <c r="N43" s="12"/>
      <c r="O43" s="6"/>
    </row>
    <row r="44" spans="1:44" hidden="1">
      <c r="A44" s="13" t="s">
        <v>50</v>
      </c>
      <c r="B44" s="53">
        <v>275362</v>
      </c>
      <c r="C44" s="53">
        <v>282653</v>
      </c>
      <c r="D44" s="53">
        <v>316557</v>
      </c>
      <c r="E44" s="53">
        <v>459677</v>
      </c>
      <c r="F44" s="53">
        <v>293116</v>
      </c>
      <c r="G44" s="53">
        <v>418573.73264446814</v>
      </c>
      <c r="H44" s="59">
        <v>320964.16545716883</v>
      </c>
      <c r="I44" s="53">
        <v>283542.94633946812</v>
      </c>
      <c r="J44" s="53">
        <v>318115.5463394681</v>
      </c>
      <c r="K44" s="53">
        <v>331200.75545716879</v>
      </c>
      <c r="L44" s="53">
        <v>295624.06633946812</v>
      </c>
      <c r="M44" s="53">
        <v>637691.65717914759</v>
      </c>
      <c r="N44" s="12">
        <f>SUM(B44:M44)</f>
        <v>4233077.8697563577</v>
      </c>
      <c r="O44" s="6"/>
    </row>
    <row r="45" spans="1:44" hidden="1">
      <c r="A45" s="6" t="s">
        <v>51</v>
      </c>
      <c r="B45" s="22">
        <v>0</v>
      </c>
      <c r="C45" s="22">
        <v>-10000</v>
      </c>
      <c r="D45" s="22">
        <v>-10000</v>
      </c>
      <c r="E45" s="22">
        <v>-10000</v>
      </c>
      <c r="F45" s="22">
        <v>-10000</v>
      </c>
      <c r="G45" s="22">
        <v>-5000</v>
      </c>
      <c r="H45" s="22">
        <v>-5000</v>
      </c>
      <c r="I45" s="22">
        <v>-5000</v>
      </c>
      <c r="J45" s="22">
        <v>-5000</v>
      </c>
      <c r="K45" s="22">
        <v>-5000</v>
      </c>
      <c r="L45" s="22">
        <v>-5000</v>
      </c>
      <c r="M45" s="22">
        <v>-5000</v>
      </c>
      <c r="N45" s="22">
        <f>SUM(B45:M45)</f>
        <v>-75000</v>
      </c>
      <c r="O45" s="6"/>
    </row>
    <row r="46" spans="1:44">
      <c r="A46" s="1" t="s">
        <v>50</v>
      </c>
      <c r="B46" s="12">
        <f>SUM(B44:B45)</f>
        <v>275362</v>
      </c>
      <c r="C46" s="12">
        <f>SUM(C44:C45)</f>
        <v>272653</v>
      </c>
      <c r="D46" s="12">
        <f t="shared" ref="D46:N46" si="10">SUM(D44:D45)</f>
        <v>306557</v>
      </c>
      <c r="E46" s="12">
        <f t="shared" si="10"/>
        <v>449677</v>
      </c>
      <c r="F46" s="12">
        <f t="shared" si="10"/>
        <v>283116</v>
      </c>
      <c r="G46" s="12">
        <f t="shared" si="10"/>
        <v>413573.73264446814</v>
      </c>
      <c r="H46" s="12">
        <f t="shared" si="10"/>
        <v>315964.16545716883</v>
      </c>
      <c r="I46" s="12">
        <f t="shared" si="10"/>
        <v>278542.94633946812</v>
      </c>
      <c r="J46" s="12">
        <f t="shared" si="10"/>
        <v>313115.5463394681</v>
      </c>
      <c r="K46" s="12">
        <f t="shared" si="10"/>
        <v>326200.75545716879</v>
      </c>
      <c r="L46" s="12">
        <f t="shared" si="10"/>
        <v>290624.06633946812</v>
      </c>
      <c r="M46" s="12">
        <f t="shared" si="10"/>
        <v>632691.65717914759</v>
      </c>
      <c r="N46" s="12">
        <f t="shared" si="10"/>
        <v>4158077.8697563577</v>
      </c>
      <c r="O46" s="6"/>
    </row>
    <row r="47" spans="1:44">
      <c r="B47" s="7"/>
      <c r="C47" s="7"/>
      <c r="D47" s="7"/>
      <c r="E47" s="7"/>
      <c r="F47" s="7"/>
      <c r="G47" s="7"/>
      <c r="H47" s="7"/>
      <c r="I47" s="7"/>
      <c r="J47" s="7"/>
      <c r="K47" s="6"/>
      <c r="L47" s="6"/>
      <c r="M47" s="6"/>
      <c r="N47" s="6"/>
      <c r="O47" s="6"/>
    </row>
    <row r="48" spans="1:44">
      <c r="A48" s="13" t="s">
        <v>52</v>
      </c>
      <c r="B48" s="19">
        <f t="shared" ref="B48:N48" si="11">+B20+B34+B42+B46</f>
        <v>1768948.3333333333</v>
      </c>
      <c r="C48" s="19">
        <f t="shared" si="11"/>
        <v>4442285.333333334</v>
      </c>
      <c r="D48" s="19">
        <f t="shared" si="11"/>
        <v>3296170.3333333335</v>
      </c>
      <c r="E48" s="19">
        <f t="shared" si="11"/>
        <v>3311258.3333333335</v>
      </c>
      <c r="F48" s="19">
        <f t="shared" si="11"/>
        <v>2590634.333333333</v>
      </c>
      <c r="G48" s="19">
        <f t="shared" si="11"/>
        <v>2694465.9449283639</v>
      </c>
      <c r="H48" s="19">
        <f t="shared" si="11"/>
        <v>4286104.1381694749</v>
      </c>
      <c r="I48" s="19">
        <f t="shared" si="11"/>
        <v>2942677.8467976716</v>
      </c>
      <c r="J48" s="19">
        <f t="shared" si="11"/>
        <v>2850298.022130433</v>
      </c>
      <c r="K48" s="19">
        <f t="shared" si="11"/>
        <v>2769505.7272803225</v>
      </c>
      <c r="L48" s="19">
        <f t="shared" si="11"/>
        <v>2767912.4922030023</v>
      </c>
      <c r="M48" s="19">
        <f t="shared" si="11"/>
        <v>2439604.0126127731</v>
      </c>
      <c r="N48" s="19">
        <f t="shared" si="11"/>
        <v>36125875.512455374</v>
      </c>
      <c r="O48" s="6"/>
    </row>
    <row r="49" spans="1:17">
      <c r="B49" s="7"/>
      <c r="C49" s="7"/>
      <c r="D49" s="7"/>
      <c r="E49" s="7"/>
      <c r="F49" s="7"/>
      <c r="G49" s="7"/>
      <c r="H49" s="7"/>
      <c r="I49" s="7"/>
      <c r="J49" s="7"/>
      <c r="K49" s="6"/>
      <c r="L49" s="6"/>
      <c r="M49" s="6"/>
      <c r="N49" s="6"/>
      <c r="O49" s="6"/>
    </row>
    <row r="50" spans="1:17">
      <c r="A50" s="1" t="s">
        <v>53</v>
      </c>
      <c r="B50" s="12">
        <f t="shared" ref="B50:M50" si="12">+B13-B48</f>
        <v>-507699.33333333326</v>
      </c>
      <c r="C50" s="12">
        <f t="shared" si="12"/>
        <v>439569.66666666605</v>
      </c>
      <c r="D50" s="12">
        <f t="shared" si="12"/>
        <v>507414.66666666651</v>
      </c>
      <c r="E50" s="12">
        <f t="shared" si="12"/>
        <v>235158.66666666651</v>
      </c>
      <c r="F50" s="12">
        <f t="shared" si="12"/>
        <v>44751.666666666977</v>
      </c>
      <c r="G50" s="12">
        <f t="shared" si="12"/>
        <v>-170702.61557580205</v>
      </c>
      <c r="H50" s="12">
        <f t="shared" si="12"/>
        <v>199639.09162974637</v>
      </c>
      <c r="I50" s="12">
        <f t="shared" si="12"/>
        <v>362880.59546278836</v>
      </c>
      <c r="J50" s="12">
        <f t="shared" si="12"/>
        <v>445916.27537100855</v>
      </c>
      <c r="K50" s="12">
        <f t="shared" si="12"/>
        <v>199559.11018969351</v>
      </c>
      <c r="L50" s="12">
        <f t="shared" si="12"/>
        <v>420347.78970141569</v>
      </c>
      <c r="M50" s="12">
        <f t="shared" si="12"/>
        <v>-856664.33360203309</v>
      </c>
      <c r="N50" s="12">
        <f>SUM(B50:M50)</f>
        <v>1320171.2465101504</v>
      </c>
      <c r="O50" s="6"/>
      <c r="P50" s="25"/>
    </row>
    <row r="51" spans="1:17" ht="7.5" customHeight="1">
      <c r="B51" s="7"/>
      <c r="C51" s="7"/>
      <c r="D51" s="7"/>
      <c r="E51" s="7"/>
      <c r="F51" s="7"/>
      <c r="G51" s="7"/>
      <c r="H51" s="7"/>
      <c r="I51" s="7"/>
      <c r="J51" s="7"/>
      <c r="K51" s="6"/>
      <c r="L51" s="6"/>
      <c r="M51" s="6"/>
      <c r="N51" s="6"/>
      <c r="O51" s="6"/>
    </row>
    <row r="52" spans="1:17">
      <c r="A52" s="1" t="s">
        <v>54</v>
      </c>
      <c r="B52" s="7"/>
      <c r="C52" s="7"/>
      <c r="D52" s="7"/>
      <c r="E52" s="7"/>
      <c r="F52" s="7"/>
      <c r="G52" s="7"/>
      <c r="H52" s="7"/>
      <c r="I52" s="7"/>
      <c r="J52" s="7"/>
      <c r="K52" s="6"/>
      <c r="L52" s="6"/>
      <c r="M52" s="6"/>
      <c r="N52" s="6"/>
      <c r="O52" s="6"/>
    </row>
    <row r="53" spans="1:17" s="6" customFormat="1">
      <c r="A53" s="6" t="s">
        <v>55</v>
      </c>
      <c r="B53" s="10">
        <v>24982</v>
      </c>
      <c r="C53" s="10">
        <v>358462</v>
      </c>
      <c r="D53" s="10">
        <v>50664</v>
      </c>
      <c r="E53" s="10">
        <v>150552</v>
      </c>
      <c r="F53" s="10">
        <v>810</v>
      </c>
      <c r="G53" s="10">
        <v>202000</v>
      </c>
      <c r="H53" s="23">
        <v>197000</v>
      </c>
      <c r="I53" s="10">
        <v>142000</v>
      </c>
      <c r="J53" s="10">
        <v>119000</v>
      </c>
      <c r="K53" s="10">
        <v>0</v>
      </c>
      <c r="L53" s="10">
        <v>0</v>
      </c>
      <c r="M53" s="10">
        <v>455000</v>
      </c>
      <c r="N53" s="10">
        <f>SUM(B53:M53)</f>
        <v>1700470</v>
      </c>
      <c r="P53" s="40"/>
    </row>
    <row r="54" spans="1:17" s="6" customFormat="1">
      <c r="A54" s="6" t="s">
        <v>56</v>
      </c>
      <c r="B54" s="10"/>
      <c r="C54" s="10"/>
      <c r="D54" s="47">
        <v>-520000</v>
      </c>
      <c r="E54" s="10"/>
      <c r="F54" s="10">
        <v>85000</v>
      </c>
      <c r="G54" s="10"/>
      <c r="H54" s="10"/>
      <c r="I54" s="10"/>
      <c r="J54" s="10"/>
      <c r="K54" s="10"/>
      <c r="L54" s="10"/>
      <c r="M54" s="10"/>
      <c r="N54" s="10">
        <f>SUM(B54:M54)</f>
        <v>-435000</v>
      </c>
      <c r="P54" s="7"/>
      <c r="Q54" s="6">
        <v>0</v>
      </c>
    </row>
    <row r="55" spans="1:17" s="6" customFormat="1">
      <c r="A55" s="6" t="s">
        <v>57</v>
      </c>
      <c r="B55" s="10">
        <f>50000+228312</f>
        <v>278312</v>
      </c>
      <c r="C55" s="10">
        <v>50000</v>
      </c>
      <c r="D55" s="10">
        <v>50000</v>
      </c>
      <c r="E55" s="10">
        <v>50000</v>
      </c>
      <c r="F55" s="10">
        <v>50000</v>
      </c>
      <c r="G55" s="10">
        <v>50000</v>
      </c>
      <c r="H55" s="10">
        <v>50000</v>
      </c>
      <c r="I55" s="10">
        <v>50000</v>
      </c>
      <c r="J55" s="10">
        <v>50000</v>
      </c>
      <c r="K55" s="10">
        <v>50000</v>
      </c>
      <c r="L55" s="10"/>
      <c r="M55" s="10"/>
      <c r="N55" s="10">
        <f>SUM(B55:M55)</f>
        <v>728312</v>
      </c>
      <c r="P55" s="7"/>
    </row>
    <row r="56" spans="1:17" s="6" customFormat="1">
      <c r="A56" s="37" t="s">
        <v>58</v>
      </c>
      <c r="B56" s="7">
        <v>-26129</v>
      </c>
      <c r="C56" s="7">
        <f>-44-9248</f>
        <v>-9292</v>
      </c>
      <c r="D56" s="7">
        <f>-15614+D11</f>
        <v>-9032</v>
      </c>
      <c r="E56" s="7">
        <f>-5908-140</f>
        <v>-6048</v>
      </c>
      <c r="F56" s="7">
        <f>-5524.48-161.91</f>
        <v>-5686.3899999999994</v>
      </c>
      <c r="G56" s="7">
        <v>-8000</v>
      </c>
      <c r="H56" s="7">
        <v>-8000</v>
      </c>
      <c r="I56" s="7">
        <v>-8000</v>
      </c>
      <c r="J56" s="7">
        <v>-9000</v>
      </c>
      <c r="K56" s="7">
        <v>-9000</v>
      </c>
      <c r="L56" s="7">
        <v>-9000</v>
      </c>
      <c r="M56" s="7">
        <v>-9000</v>
      </c>
      <c r="N56" s="7">
        <f>SUM(B56:M56)</f>
        <v>-116187.39</v>
      </c>
      <c r="P56" s="56"/>
    </row>
    <row r="57" spans="1:17" s="6" customFormat="1">
      <c r="A57" s="6" t="s">
        <v>59</v>
      </c>
      <c r="B57" s="22">
        <v>-262370</v>
      </c>
      <c r="C57" s="22">
        <v>-26645</v>
      </c>
      <c r="D57" s="22">
        <v>-47784</v>
      </c>
      <c r="E57" s="22">
        <v>155784</v>
      </c>
      <c r="F57" s="22">
        <f>4377.86-5778.42</f>
        <v>-1400.5600000000004</v>
      </c>
      <c r="G57" s="22">
        <v>-25000</v>
      </c>
      <c r="H57" s="22">
        <v>-25000</v>
      </c>
      <c r="I57" s="22">
        <v>-25000</v>
      </c>
      <c r="J57" s="22">
        <v>-25000</v>
      </c>
      <c r="K57" s="22">
        <v>-25000</v>
      </c>
      <c r="L57" s="22">
        <v>-25000</v>
      </c>
      <c r="M57" s="22">
        <v>-25000</v>
      </c>
      <c r="N57" s="22">
        <f>SUM(B57:M57)</f>
        <v>-357415.56</v>
      </c>
      <c r="P57" s="7"/>
    </row>
    <row r="58" spans="1:17" s="6" customFormat="1">
      <c r="A58" s="13" t="s">
        <v>60</v>
      </c>
      <c r="B58" s="19">
        <f t="shared" ref="B58:N58" si="13">SUM(B53:B57)</f>
        <v>14795</v>
      </c>
      <c r="C58" s="19">
        <f t="shared" si="13"/>
        <v>372525</v>
      </c>
      <c r="D58" s="19">
        <f t="shared" si="13"/>
        <v>-476152</v>
      </c>
      <c r="E58" s="19">
        <f t="shared" si="13"/>
        <v>350288</v>
      </c>
      <c r="F58" s="19">
        <f t="shared" si="13"/>
        <v>128723.05</v>
      </c>
      <c r="G58" s="19">
        <f t="shared" si="13"/>
        <v>219000</v>
      </c>
      <c r="H58" s="19">
        <f t="shared" si="13"/>
        <v>214000</v>
      </c>
      <c r="I58" s="19">
        <f t="shared" si="13"/>
        <v>159000</v>
      </c>
      <c r="J58" s="19">
        <f t="shared" si="13"/>
        <v>135000</v>
      </c>
      <c r="K58" s="19">
        <f t="shared" si="13"/>
        <v>16000</v>
      </c>
      <c r="L58" s="19">
        <f t="shared" si="13"/>
        <v>-34000</v>
      </c>
      <c r="M58" s="19">
        <f t="shared" si="13"/>
        <v>421000</v>
      </c>
      <c r="N58" s="19">
        <f t="shared" si="13"/>
        <v>1520179.05</v>
      </c>
    </row>
    <row r="59" spans="1:17">
      <c r="B59" s="7"/>
      <c r="C59" s="7"/>
      <c r="D59" s="7"/>
      <c r="E59" s="7"/>
      <c r="F59" s="7"/>
      <c r="G59" s="7"/>
      <c r="H59" s="7"/>
      <c r="I59" s="7"/>
      <c r="J59" s="7"/>
      <c r="K59" s="7"/>
      <c r="L59" s="7"/>
      <c r="M59" s="7"/>
      <c r="N59" s="7"/>
      <c r="O59" s="6"/>
    </row>
    <row r="60" spans="1:17">
      <c r="A60" s="1" t="s">
        <v>61</v>
      </c>
      <c r="B60" s="12">
        <v>10990495</v>
      </c>
      <c r="C60" s="7"/>
      <c r="D60" s="7"/>
      <c r="E60" s="7"/>
      <c r="F60" s="7"/>
      <c r="G60" s="7"/>
      <c r="H60" s="7" t="s">
        <v>38</v>
      </c>
      <c r="I60" s="7"/>
      <c r="J60" s="7"/>
      <c r="K60" s="6"/>
      <c r="L60" s="6"/>
      <c r="M60" s="6"/>
      <c r="N60" s="6"/>
      <c r="O60" s="6"/>
    </row>
    <row r="61" spans="1:17">
      <c r="A61" s="13" t="s">
        <v>62</v>
      </c>
      <c r="B61" s="19">
        <f t="shared" ref="B61:N61" si="14">+B58+B48</f>
        <v>1783743.3333333333</v>
      </c>
      <c r="C61" s="19">
        <f t="shared" si="14"/>
        <v>4814810.333333334</v>
      </c>
      <c r="D61" s="19">
        <f t="shared" si="14"/>
        <v>2820018.3333333335</v>
      </c>
      <c r="E61" s="19">
        <f t="shared" si="14"/>
        <v>3661546.3333333335</v>
      </c>
      <c r="F61" s="19">
        <f t="shared" si="14"/>
        <v>2719357.3833333328</v>
      </c>
      <c r="G61" s="19">
        <f t="shared" si="14"/>
        <v>2913465.9449283639</v>
      </c>
      <c r="H61" s="19">
        <f t="shared" si="14"/>
        <v>4500104.1381694749</v>
      </c>
      <c r="I61" s="19">
        <f t="shared" si="14"/>
        <v>3101677.8467976716</v>
      </c>
      <c r="J61" s="19">
        <f t="shared" si="14"/>
        <v>2985298.022130433</v>
      </c>
      <c r="K61" s="19">
        <f t="shared" si="14"/>
        <v>2785505.7272803225</v>
      </c>
      <c r="L61" s="19">
        <f t="shared" si="14"/>
        <v>2733912.4922030023</v>
      </c>
      <c r="M61" s="19">
        <f t="shared" si="14"/>
        <v>2860604.0126127731</v>
      </c>
      <c r="N61" s="19">
        <f t="shared" si="14"/>
        <v>37646054.562455371</v>
      </c>
      <c r="O61" s="6"/>
    </row>
    <row r="62" spans="1:17" ht="13.5" thickBot="1">
      <c r="A62" s="13" t="s">
        <v>63</v>
      </c>
      <c r="B62" s="30">
        <f t="shared" ref="B62:N62" si="15">+B13-B61</f>
        <v>-522494.33333333326</v>
      </c>
      <c r="C62" s="30">
        <f t="shared" si="15"/>
        <v>67044.666666666046</v>
      </c>
      <c r="D62" s="30">
        <f t="shared" si="15"/>
        <v>983566.66666666651</v>
      </c>
      <c r="E62" s="30">
        <f t="shared" si="15"/>
        <v>-115129.33333333349</v>
      </c>
      <c r="F62" s="30">
        <f t="shared" si="15"/>
        <v>-83971.383333332837</v>
      </c>
      <c r="G62" s="14">
        <f t="shared" si="15"/>
        <v>-389702.61557580205</v>
      </c>
      <c r="H62" s="14">
        <f t="shared" si="15"/>
        <v>-14360.90837025363</v>
      </c>
      <c r="I62" s="14">
        <f t="shared" si="15"/>
        <v>203880.59546278836</v>
      </c>
      <c r="J62" s="14">
        <f t="shared" si="15"/>
        <v>310916.27537100855</v>
      </c>
      <c r="K62" s="14">
        <f t="shared" si="15"/>
        <v>183559.11018969351</v>
      </c>
      <c r="L62" s="14">
        <f t="shared" si="15"/>
        <v>454347.78970141569</v>
      </c>
      <c r="M62" s="14">
        <f t="shared" si="15"/>
        <v>-1277664.3336020331</v>
      </c>
      <c r="N62" s="14">
        <f t="shared" si="15"/>
        <v>173034.53484348953</v>
      </c>
      <c r="O62" s="6"/>
      <c r="P62" s="25"/>
    </row>
    <row r="63" spans="1:17" s="6" customFormat="1" ht="13.5" thickTop="1">
      <c r="A63" s="13" t="s">
        <v>64</v>
      </c>
      <c r="B63" s="32">
        <f>+B62</f>
        <v>-522494.33333333326</v>
      </c>
      <c r="C63" s="32">
        <f t="shared" ref="C63:M63" si="16">B63+C62</f>
        <v>-455449.66666666721</v>
      </c>
      <c r="D63" s="32">
        <f t="shared" si="16"/>
        <v>528116.9999999993</v>
      </c>
      <c r="E63" s="32">
        <f t="shared" si="16"/>
        <v>412987.66666666581</v>
      </c>
      <c r="F63" s="32">
        <f t="shared" si="16"/>
        <v>329016.28333333298</v>
      </c>
      <c r="G63" s="12">
        <f t="shared" si="16"/>
        <v>-60686.33224246907</v>
      </c>
      <c r="H63" s="12">
        <f t="shared" si="16"/>
        <v>-75047.2406127227</v>
      </c>
      <c r="I63" s="12">
        <f t="shared" si="16"/>
        <v>128833.35485006566</v>
      </c>
      <c r="J63" s="12">
        <f t="shared" si="16"/>
        <v>439749.63022107421</v>
      </c>
      <c r="K63" s="12">
        <f t="shared" si="16"/>
        <v>623308.74041076773</v>
      </c>
      <c r="L63" s="12">
        <f t="shared" si="16"/>
        <v>1077656.5301121834</v>
      </c>
      <c r="M63" s="12">
        <f t="shared" si="16"/>
        <v>-200007.80348984967</v>
      </c>
      <c r="N63" s="12"/>
    </row>
    <row r="64" spans="1:17">
      <c r="A64" s="13" t="s">
        <v>65</v>
      </c>
      <c r="B64" s="12">
        <f t="shared" ref="B64:M64" si="17">+$B$60+B63</f>
        <v>10468000.666666666</v>
      </c>
      <c r="C64" s="12">
        <f t="shared" si="17"/>
        <v>10535045.333333332</v>
      </c>
      <c r="D64" s="12">
        <f t="shared" si="17"/>
        <v>11518612</v>
      </c>
      <c r="E64" s="12">
        <f t="shared" si="17"/>
        <v>11403482.666666666</v>
      </c>
      <c r="F64" s="12">
        <f t="shared" si="17"/>
        <v>11319511.283333333</v>
      </c>
      <c r="G64" s="12">
        <f t="shared" si="17"/>
        <v>10929808.667757532</v>
      </c>
      <c r="H64" s="12">
        <f t="shared" si="17"/>
        <v>10915447.759387277</v>
      </c>
      <c r="I64" s="12">
        <f t="shared" si="17"/>
        <v>11119328.354850065</v>
      </c>
      <c r="J64" s="12">
        <f t="shared" si="17"/>
        <v>11430244.630221074</v>
      </c>
      <c r="K64" s="12">
        <f t="shared" si="17"/>
        <v>11613803.740410767</v>
      </c>
      <c r="L64" s="12">
        <f t="shared" si="17"/>
        <v>12068151.530112183</v>
      </c>
      <c r="M64" s="12">
        <f t="shared" si="17"/>
        <v>10790487.196510151</v>
      </c>
      <c r="N64" s="12"/>
      <c r="O64" s="6"/>
      <c r="P64" s="29"/>
    </row>
    <row r="65" spans="1:16">
      <c r="A65" s="6"/>
      <c r="B65" s="7"/>
      <c r="C65" s="7"/>
      <c r="D65" s="7"/>
      <c r="E65" s="7"/>
      <c r="F65" s="7"/>
      <c r="G65" s="7"/>
      <c r="H65" s="7"/>
      <c r="I65" s="7"/>
      <c r="J65" s="7"/>
      <c r="K65" s="6"/>
      <c r="L65" s="6"/>
      <c r="M65" s="6"/>
      <c r="N65" s="6"/>
      <c r="O65" s="6"/>
    </row>
    <row r="66" spans="1:16" s="6" customFormat="1">
      <c r="A66" s="17" t="s">
        <v>79</v>
      </c>
      <c r="B66" s="18"/>
      <c r="C66" s="18"/>
      <c r="D66" s="18"/>
      <c r="E66" s="18"/>
      <c r="F66" s="18"/>
      <c r="G66" s="18"/>
      <c r="H66" s="18"/>
      <c r="I66" s="18"/>
      <c r="J66" s="18"/>
      <c r="K66" s="18"/>
      <c r="L66" s="18"/>
      <c r="M66" s="18"/>
      <c r="N66" s="18"/>
    </row>
    <row r="67" spans="1:16" ht="13.5" thickBot="1">
      <c r="A67" s="13" t="s">
        <v>67</v>
      </c>
      <c r="B67" s="30">
        <v>-923707.19930042047</v>
      </c>
      <c r="C67" s="30">
        <v>408098.02642089035</v>
      </c>
      <c r="D67" s="30">
        <v>1071842.6402638261</v>
      </c>
      <c r="E67" s="30">
        <v>445993.46125483606</v>
      </c>
      <c r="F67" s="30">
        <v>-265749.60705118906</v>
      </c>
      <c r="G67" s="30">
        <v>-389702.61557580205</v>
      </c>
      <c r="H67" s="30">
        <v>-14360.90837025363</v>
      </c>
      <c r="I67" s="30">
        <v>203880.59546278836</v>
      </c>
      <c r="J67" s="30">
        <v>310916.27537100855</v>
      </c>
      <c r="K67" s="30">
        <v>183559.11018969351</v>
      </c>
      <c r="L67" s="30">
        <v>454347.78970141569</v>
      </c>
      <c r="M67" s="30">
        <v>-1277664.3336020331</v>
      </c>
      <c r="N67" s="16"/>
      <c r="O67" s="6"/>
    </row>
    <row r="68" spans="1:16" ht="13.5" thickTop="1">
      <c r="A68" s="13" t="s">
        <v>64</v>
      </c>
      <c r="B68" s="32">
        <v>-923707.19930042047</v>
      </c>
      <c r="C68" s="32">
        <v>-515609.17287953012</v>
      </c>
      <c r="D68" s="32">
        <v>556233.467384296</v>
      </c>
      <c r="E68" s="32">
        <v>1002226.9286391321</v>
      </c>
      <c r="F68" s="32">
        <v>736477.32158794301</v>
      </c>
      <c r="G68" s="32">
        <v>346774.70601214096</v>
      </c>
      <c r="H68" s="32">
        <v>332413.79764188733</v>
      </c>
      <c r="I68" s="32">
        <v>536294.39310467569</v>
      </c>
      <c r="J68" s="32">
        <v>847210.66847568424</v>
      </c>
      <c r="K68" s="32">
        <v>1030769.7786653778</v>
      </c>
      <c r="L68" s="32">
        <v>1485117.5683667934</v>
      </c>
      <c r="M68" s="32">
        <v>207453.23476476036</v>
      </c>
      <c r="N68" s="16"/>
      <c r="O68" s="6"/>
    </row>
    <row r="69" spans="1:16">
      <c r="A69" s="13" t="s">
        <v>65</v>
      </c>
      <c r="B69" s="12">
        <v>10066787.80069958</v>
      </c>
      <c r="C69" s="12">
        <v>10474885.82712047</v>
      </c>
      <c r="D69" s="12">
        <v>11546728.467384296</v>
      </c>
      <c r="E69" s="12">
        <v>11992721.928639133</v>
      </c>
      <c r="F69" s="12">
        <v>11726972.321587943</v>
      </c>
      <c r="G69" s="12">
        <v>11337269.706012141</v>
      </c>
      <c r="H69" s="12">
        <v>11322908.797641888</v>
      </c>
      <c r="I69" s="12">
        <v>11526789.393104676</v>
      </c>
      <c r="J69" s="12">
        <v>11837705.668475684</v>
      </c>
      <c r="K69" s="12">
        <v>12021264.778665379</v>
      </c>
      <c r="L69" s="12">
        <v>12475612.568366794</v>
      </c>
      <c r="M69" s="12">
        <v>11197948.23476476</v>
      </c>
      <c r="N69" s="12"/>
      <c r="O69" s="6"/>
    </row>
    <row r="70" spans="1:16">
      <c r="A70" s="6"/>
      <c r="B70" s="6"/>
      <c r="C70" s="6"/>
      <c r="D70" s="6"/>
      <c r="E70" s="6"/>
      <c r="F70" s="6"/>
      <c r="H70" s="6"/>
      <c r="I70" s="6"/>
      <c r="J70" s="6"/>
      <c r="K70" s="6"/>
      <c r="L70" s="6"/>
      <c r="M70" s="6"/>
      <c r="N70" s="6"/>
      <c r="O70" s="6"/>
    </row>
    <row r="71" spans="1:16">
      <c r="A71" s="24" t="s">
        <v>68</v>
      </c>
      <c r="B71" s="18"/>
      <c r="C71" s="18"/>
      <c r="D71" s="18"/>
      <c r="E71" s="18"/>
      <c r="F71" s="18"/>
      <c r="G71" s="18"/>
      <c r="H71" s="18"/>
      <c r="I71" s="18"/>
      <c r="J71" s="18"/>
      <c r="K71" s="18"/>
      <c r="L71" s="18"/>
      <c r="M71" s="18"/>
      <c r="N71" s="18"/>
      <c r="O71" s="6"/>
    </row>
    <row r="72" spans="1:16">
      <c r="A72" s="13" t="s">
        <v>63</v>
      </c>
      <c r="B72" s="16">
        <f t="shared" ref="B72:N74" si="18">+B62-B67</f>
        <v>401212.86596708721</v>
      </c>
      <c r="C72" s="16">
        <f t="shared" si="18"/>
        <v>-341053.35975422431</v>
      </c>
      <c r="D72" s="16">
        <f t="shared" si="18"/>
        <v>-88275.973597159609</v>
      </c>
      <c r="E72" s="16">
        <f t="shared" si="18"/>
        <v>-561122.79458816955</v>
      </c>
      <c r="F72" s="16">
        <f t="shared" si="18"/>
        <v>181778.22371785622</v>
      </c>
      <c r="G72" s="16">
        <f t="shared" si="18"/>
        <v>0</v>
      </c>
      <c r="H72" s="16">
        <f t="shared" si="18"/>
        <v>0</v>
      </c>
      <c r="I72" s="16">
        <f t="shared" si="18"/>
        <v>0</v>
      </c>
      <c r="J72" s="16">
        <f t="shared" si="18"/>
        <v>0</v>
      </c>
      <c r="K72" s="16">
        <f t="shared" si="18"/>
        <v>0</v>
      </c>
      <c r="L72" s="16">
        <f t="shared" si="18"/>
        <v>0</v>
      </c>
      <c r="M72" s="16">
        <f t="shared" si="18"/>
        <v>0</v>
      </c>
      <c r="N72" s="6"/>
      <c r="O72" s="6"/>
      <c r="P72" s="16">
        <f>+N62-N67</f>
        <v>173034.53484348953</v>
      </c>
    </row>
    <row r="73" spans="1:16" s="6" customFormat="1">
      <c r="A73" s="13" t="s">
        <v>64</v>
      </c>
      <c r="B73" s="16">
        <f t="shared" si="18"/>
        <v>401212.86596708721</v>
      </c>
      <c r="C73" s="16">
        <f t="shared" si="18"/>
        <v>60159.506212862907</v>
      </c>
      <c r="D73" s="16">
        <f t="shared" si="18"/>
        <v>-28116.467384296702</v>
      </c>
      <c r="E73" s="16">
        <f t="shared" si="18"/>
        <v>-589239.26197246625</v>
      </c>
      <c r="F73" s="16">
        <f t="shared" si="18"/>
        <v>-407461.03825461003</v>
      </c>
      <c r="G73" s="16">
        <f t="shared" si="18"/>
        <v>-407461.03825461003</v>
      </c>
      <c r="H73" s="16">
        <f t="shared" si="18"/>
        <v>-407461.03825461003</v>
      </c>
      <c r="I73" s="16">
        <f t="shared" si="18"/>
        <v>-407461.03825461003</v>
      </c>
      <c r="J73" s="16">
        <f t="shared" si="18"/>
        <v>-407461.03825461003</v>
      </c>
      <c r="K73" s="16">
        <f t="shared" si="18"/>
        <v>-407461.03825461003</v>
      </c>
      <c r="L73" s="16">
        <f t="shared" si="18"/>
        <v>-407461.03825461003</v>
      </c>
      <c r="M73" s="16">
        <f t="shared" si="18"/>
        <v>-407461.03825461003</v>
      </c>
      <c r="N73" s="16">
        <f t="shared" si="18"/>
        <v>0</v>
      </c>
    </row>
    <row r="74" spans="1:16">
      <c r="A74" s="1" t="s">
        <v>65</v>
      </c>
      <c r="B74" s="16">
        <f t="shared" si="18"/>
        <v>401212.86596708558</v>
      </c>
      <c r="C74" s="16">
        <f t="shared" si="18"/>
        <v>60159.506212862208</v>
      </c>
      <c r="D74" s="16">
        <f t="shared" si="18"/>
        <v>-28116.467384295538</v>
      </c>
      <c r="E74" s="16">
        <f t="shared" si="18"/>
        <v>-589239.26197246648</v>
      </c>
      <c r="F74" s="16">
        <f t="shared" si="18"/>
        <v>-407461.03825460933</v>
      </c>
      <c r="G74" s="16">
        <f t="shared" si="18"/>
        <v>-407461.03825460933</v>
      </c>
      <c r="H74" s="16">
        <f t="shared" si="18"/>
        <v>-407461.03825461119</v>
      </c>
      <c r="I74" s="16">
        <f t="shared" si="18"/>
        <v>-407461.03825461119</v>
      </c>
      <c r="J74" s="16">
        <f t="shared" si="18"/>
        <v>-407461.03825460933</v>
      </c>
      <c r="K74" s="16">
        <f t="shared" si="18"/>
        <v>-407461.03825461119</v>
      </c>
      <c r="L74" s="16">
        <f t="shared" si="18"/>
        <v>-407461.03825461119</v>
      </c>
      <c r="M74" s="16">
        <f t="shared" si="18"/>
        <v>-407461.03825460933</v>
      </c>
      <c r="N74" s="16"/>
      <c r="O74" s="6"/>
    </row>
    <row r="75" spans="1:16">
      <c r="B75" s="6"/>
      <c r="C75" s="6"/>
      <c r="D75" s="6"/>
      <c r="E75" s="6"/>
      <c r="F75" s="6"/>
      <c r="H75" s="6"/>
      <c r="I75" s="6"/>
      <c r="J75" s="6"/>
      <c r="K75" s="6"/>
      <c r="L75" s="6"/>
      <c r="M75" s="6"/>
      <c r="N75" s="6"/>
    </row>
    <row r="76" spans="1:16">
      <c r="A76" s="1"/>
      <c r="B76" s="4"/>
      <c r="C76" s="8"/>
      <c r="D76" s="8"/>
      <c r="E76" s="8"/>
      <c r="F76" s="8"/>
      <c r="H76" s="20"/>
      <c r="J76" s="6"/>
      <c r="K76" s="6"/>
    </row>
    <row r="77" spans="1:16">
      <c r="A77" s="1"/>
      <c r="B77" s="4"/>
      <c r="C77" s="8"/>
      <c r="D77" s="8"/>
      <c r="E77" s="8"/>
      <c r="F77" s="8"/>
      <c r="H77" s="20"/>
      <c r="J77" s="6"/>
    </row>
    <row r="78" spans="1:16">
      <c r="A78" s="1"/>
      <c r="B78" s="4"/>
      <c r="D78" s="8"/>
      <c r="E78" s="8"/>
      <c r="F78" s="8"/>
      <c r="H78" s="61"/>
      <c r="J78" s="6"/>
    </row>
    <row r="79" spans="1:16">
      <c r="E79" s="6"/>
      <c r="H79" s="20"/>
      <c r="J79" s="6"/>
      <c r="N79" s="25"/>
    </row>
    <row r="80" spans="1:16">
      <c r="A80" t="s">
        <v>69</v>
      </c>
      <c r="B80" t="s">
        <v>69</v>
      </c>
      <c r="C80" t="s">
        <v>69</v>
      </c>
      <c r="D80" t="s">
        <v>69</v>
      </c>
      <c r="E80" s="6" t="s">
        <v>69</v>
      </c>
      <c r="F80" t="s">
        <v>69</v>
      </c>
      <c r="G80" s="6" t="s">
        <v>69</v>
      </c>
      <c r="H80" t="s">
        <v>69</v>
      </c>
      <c r="I80" t="s">
        <v>69</v>
      </c>
      <c r="J80" s="6" t="s">
        <v>69</v>
      </c>
      <c r="K80" t="s">
        <v>69</v>
      </c>
      <c r="L80" t="s">
        <v>69</v>
      </c>
      <c r="M80" t="s">
        <v>69</v>
      </c>
      <c r="N80" t="s">
        <v>69</v>
      </c>
    </row>
    <row r="81" spans="1:14">
      <c r="E81" s="6"/>
      <c r="J81" s="6"/>
    </row>
    <row r="82" spans="1:14">
      <c r="A82" s="33" t="s">
        <v>70</v>
      </c>
      <c r="B82" s="47">
        <v>52000</v>
      </c>
      <c r="C82" s="47">
        <v>20000</v>
      </c>
      <c r="D82" s="47">
        <v>10000</v>
      </c>
      <c r="E82" s="47">
        <v>44355</v>
      </c>
      <c r="F82" s="47">
        <v>186840</v>
      </c>
      <c r="G82" s="10">
        <v>202000</v>
      </c>
      <c r="H82" s="54">
        <v>197000</v>
      </c>
      <c r="I82" s="47">
        <v>142000</v>
      </c>
      <c r="J82" s="47">
        <v>119000</v>
      </c>
      <c r="K82" s="47">
        <v>0</v>
      </c>
      <c r="L82" s="47">
        <v>0</v>
      </c>
      <c r="M82" s="47">
        <v>455000</v>
      </c>
      <c r="N82" s="7">
        <v>1428195</v>
      </c>
    </row>
    <row r="83" spans="1:14">
      <c r="A83" s="33" t="s">
        <v>71</v>
      </c>
      <c r="B83" s="2">
        <f>+B82</f>
        <v>52000</v>
      </c>
      <c r="C83" s="2">
        <f>+B83+C82</f>
        <v>72000</v>
      </c>
      <c r="D83" s="2">
        <f t="shared" ref="D83:M83" si="19">+C83+D82</f>
        <v>82000</v>
      </c>
      <c r="E83" s="7">
        <f t="shared" si="19"/>
        <v>126355</v>
      </c>
      <c r="F83" s="2">
        <f t="shared" si="19"/>
        <v>313195</v>
      </c>
      <c r="G83" s="7">
        <f t="shared" si="19"/>
        <v>515195</v>
      </c>
      <c r="H83" s="2">
        <f t="shared" si="19"/>
        <v>712195</v>
      </c>
      <c r="I83" s="2">
        <f t="shared" si="19"/>
        <v>854195</v>
      </c>
      <c r="J83" s="7">
        <f t="shared" si="19"/>
        <v>973195</v>
      </c>
      <c r="K83" s="2">
        <f t="shared" si="19"/>
        <v>973195</v>
      </c>
      <c r="L83" s="2">
        <f t="shared" si="19"/>
        <v>973195</v>
      </c>
      <c r="M83" s="2">
        <f t="shared" si="19"/>
        <v>1428195</v>
      </c>
    </row>
    <row r="84" spans="1:14">
      <c r="A84" s="33" t="s">
        <v>72</v>
      </c>
      <c r="B84" s="7">
        <f>+B53</f>
        <v>24982</v>
      </c>
      <c r="C84" s="7">
        <f>SUM($B53:C53)</f>
        <v>383444</v>
      </c>
      <c r="D84" s="7">
        <f>SUM($B53:D53)</f>
        <v>434108</v>
      </c>
      <c r="E84" s="7">
        <f>SUM($B53:E53)</f>
        <v>584660</v>
      </c>
      <c r="F84" s="7">
        <f>SUM($B53:F53)</f>
        <v>585470</v>
      </c>
      <c r="G84" s="7">
        <f>SUM($B53:G53)</f>
        <v>787470</v>
      </c>
      <c r="H84" s="7">
        <f>SUM(B53:H53)</f>
        <v>984470</v>
      </c>
      <c r="I84" s="7">
        <f>SUM(B53:I53)</f>
        <v>1126470</v>
      </c>
      <c r="J84" s="7">
        <f>SUM(B53:J53)</f>
        <v>1245470</v>
      </c>
      <c r="K84" s="7">
        <f>SUM(B53:K53)</f>
        <v>1245470</v>
      </c>
      <c r="L84" s="7">
        <f>SUM(B53:L53)</f>
        <v>1245470</v>
      </c>
      <c r="M84" s="7">
        <f>SUM(B53:M53)</f>
        <v>1700470</v>
      </c>
    </row>
    <row r="85" spans="1:14">
      <c r="A85" s="33" t="s">
        <v>73</v>
      </c>
      <c r="B85" s="7">
        <f t="shared" ref="B85:G85" si="20">+B83-B84</f>
        <v>27018</v>
      </c>
      <c r="C85" s="7">
        <f t="shared" si="20"/>
        <v>-311444</v>
      </c>
      <c r="D85" s="7">
        <f t="shared" si="20"/>
        <v>-352108</v>
      </c>
      <c r="E85" s="7">
        <f t="shared" si="20"/>
        <v>-458305</v>
      </c>
      <c r="F85" s="7">
        <f t="shared" si="20"/>
        <v>-272275</v>
      </c>
      <c r="G85" s="7">
        <f t="shared" si="20"/>
        <v>-272275</v>
      </c>
      <c r="H85" s="7">
        <f t="shared" ref="H85:M85" si="21">+H83-H84</f>
        <v>-272275</v>
      </c>
      <c r="I85" s="7">
        <f t="shared" si="21"/>
        <v>-272275</v>
      </c>
      <c r="J85" s="7">
        <f t="shared" si="21"/>
        <v>-272275</v>
      </c>
      <c r="K85" s="7">
        <f t="shared" si="21"/>
        <v>-272275</v>
      </c>
      <c r="L85" s="7">
        <f t="shared" si="21"/>
        <v>-272275</v>
      </c>
      <c r="M85" s="7">
        <f t="shared" si="21"/>
        <v>-272275</v>
      </c>
    </row>
    <row r="86" spans="1:14">
      <c r="J86" s="6"/>
      <c r="K86" s="6"/>
    </row>
    <row r="87" spans="1:14">
      <c r="A87" t="s">
        <v>74</v>
      </c>
      <c r="B87" s="35">
        <f>-B56-B57</f>
        <v>288499</v>
      </c>
      <c r="C87" s="35">
        <f t="shared" ref="C87:N87" si="22">-C56-C57</f>
        <v>35937</v>
      </c>
      <c r="D87" s="35">
        <f t="shared" si="22"/>
        <v>56816</v>
      </c>
      <c r="E87" s="35">
        <f t="shared" si="22"/>
        <v>-149736</v>
      </c>
      <c r="F87" s="35">
        <f t="shared" si="22"/>
        <v>7086.95</v>
      </c>
      <c r="G87" s="40">
        <f t="shared" si="22"/>
        <v>33000</v>
      </c>
      <c r="H87" s="35">
        <f t="shared" si="22"/>
        <v>33000</v>
      </c>
      <c r="I87" s="35">
        <f t="shared" si="22"/>
        <v>33000</v>
      </c>
      <c r="J87" s="35">
        <f t="shared" si="22"/>
        <v>34000</v>
      </c>
      <c r="K87" s="40">
        <f t="shared" si="22"/>
        <v>34000</v>
      </c>
      <c r="L87" s="35">
        <f t="shared" si="22"/>
        <v>34000</v>
      </c>
      <c r="M87" s="35">
        <f t="shared" si="22"/>
        <v>34000</v>
      </c>
      <c r="N87" s="35">
        <f t="shared" si="22"/>
        <v>473602.95</v>
      </c>
    </row>
    <row r="88" spans="1:14">
      <c r="C88" s="35">
        <f>+B87+C87</f>
        <v>324436</v>
      </c>
      <c r="D88" s="35">
        <f>+C88+D87</f>
        <v>381252</v>
      </c>
      <c r="E88" s="35">
        <f t="shared" ref="E88:M88" si="23">+D88+E87</f>
        <v>231516</v>
      </c>
      <c r="F88" s="35">
        <f t="shared" si="23"/>
        <v>238602.95</v>
      </c>
      <c r="G88" s="40">
        <f t="shared" si="23"/>
        <v>271602.95</v>
      </c>
      <c r="H88" s="35">
        <f t="shared" si="23"/>
        <v>304602.95</v>
      </c>
      <c r="I88" s="40">
        <f t="shared" si="23"/>
        <v>337602.95</v>
      </c>
      <c r="J88" s="40">
        <f t="shared" si="23"/>
        <v>371602.95</v>
      </c>
      <c r="K88" s="40">
        <f t="shared" si="23"/>
        <v>405602.95</v>
      </c>
      <c r="L88" s="35">
        <f t="shared" si="23"/>
        <v>439602.95</v>
      </c>
      <c r="M88" s="35">
        <f t="shared" si="23"/>
        <v>473602.95</v>
      </c>
    </row>
    <row r="89" spans="1:14">
      <c r="B89" s="6"/>
      <c r="C89" s="6"/>
      <c r="D89" s="6"/>
      <c r="E89" s="6"/>
    </row>
    <row r="90" spans="1:14">
      <c r="B90" s="6"/>
      <c r="C90" s="6"/>
      <c r="D90" s="21"/>
      <c r="E90" s="6"/>
    </row>
    <row r="91" spans="1:14">
      <c r="B91" s="6"/>
      <c r="C91" s="6"/>
      <c r="D91" s="6"/>
      <c r="E91" s="6"/>
    </row>
    <row r="92" spans="1:14">
      <c r="B92" s="6"/>
      <c r="C92" s="6"/>
      <c r="D92" s="6"/>
      <c r="E92" s="6"/>
    </row>
    <row r="93" spans="1:14">
      <c r="B93" s="6"/>
      <c r="C93" s="6"/>
      <c r="D93" s="6"/>
      <c r="E93" s="6"/>
    </row>
    <row r="94" spans="1:14">
      <c r="B94" s="6"/>
      <c r="C94" s="6"/>
      <c r="D94" s="34"/>
      <c r="E94" s="6"/>
    </row>
    <row r="95" spans="1:14">
      <c r="B95" s="6"/>
      <c r="C95" s="6"/>
      <c r="D95" s="6"/>
      <c r="E95" s="6"/>
    </row>
    <row r="96" spans="1:14">
      <c r="B96" s="6"/>
      <c r="C96" s="6"/>
      <c r="D96" s="6"/>
      <c r="E96" s="6"/>
    </row>
  </sheetData>
  <pageMargins left="0.28000000000000003" right="0.25" top="0.99" bottom="0.75" header="0.63" footer="0.23"/>
  <pageSetup scale="67" orientation="landscape" r:id="rId1"/>
  <headerFooter alignWithMargins="0">
    <oddHeader xml:space="preserve">&amp;C&amp;"Arial,Bold"&amp;11 49ER SHOPS, INC.
&amp;UFY2016/2017 OPERATIONAL CASH FLOW </oddHeader>
    <oddFooter>&amp;CCash Flow - FY2016/2017
November 2016</oddFooter>
  </headerFooter>
  <legacy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FF00"/>
    <pageSetUpPr fitToPage="1"/>
  </sheetPr>
  <dimension ref="A1:AR96"/>
  <sheetViews>
    <sheetView showGridLines="0" workbookViewId="0">
      <pane xSplit="1" ySplit="3" topLeftCell="B21" activePane="bottomRight" state="frozen"/>
      <selection pane="topRight" activeCell="B72" sqref="B72"/>
      <selection pane="bottomLeft" activeCell="B72" sqref="B72"/>
      <selection pane="bottomRight" activeCell="A2" sqref="A2:G64"/>
    </sheetView>
  </sheetViews>
  <sheetFormatPr defaultRowHeight="12.75"/>
  <cols>
    <col min="1" max="1" width="35.42578125" customWidth="1"/>
    <col min="2" max="2" width="14" customWidth="1"/>
    <col min="3" max="3" width="12.5703125" customWidth="1"/>
    <col min="4" max="4" width="12.140625" customWidth="1"/>
    <col min="5" max="5" width="13.5703125" customWidth="1"/>
    <col min="6" max="6" width="12.85546875" customWidth="1"/>
    <col min="7" max="7" width="12.5703125" style="6" customWidth="1"/>
    <col min="8" max="9" width="12.85546875" customWidth="1"/>
    <col min="10" max="11" width="12.140625" customWidth="1"/>
    <col min="12" max="13" width="12.85546875" customWidth="1"/>
    <col min="14" max="14" width="12.85546875" bestFit="1" customWidth="1"/>
    <col min="15" max="15" width="10.140625" bestFit="1" customWidth="1"/>
    <col min="16" max="16" width="13.140625" bestFit="1" customWidth="1"/>
  </cols>
  <sheetData>
    <row r="1" spans="1:15" ht="13.5" thickBot="1">
      <c r="A1" s="46" t="s">
        <v>85</v>
      </c>
      <c r="E1" s="6"/>
      <c r="F1" s="6"/>
      <c r="J1" s="6"/>
      <c r="K1" s="6"/>
      <c r="N1" s="3"/>
    </row>
    <row r="2" spans="1:15">
      <c r="B2" s="45" t="s">
        <v>24</v>
      </c>
      <c r="C2" s="45" t="s">
        <v>24</v>
      </c>
      <c r="D2" s="45" t="s">
        <v>24</v>
      </c>
      <c r="E2" s="45" t="s">
        <v>24</v>
      </c>
      <c r="F2" s="45" t="s">
        <v>24</v>
      </c>
      <c r="G2" s="45" t="s">
        <v>24</v>
      </c>
      <c r="H2" s="45" t="s">
        <v>76</v>
      </c>
      <c r="I2" s="45" t="s">
        <v>76</v>
      </c>
      <c r="J2" s="45" t="s">
        <v>76</v>
      </c>
      <c r="K2" s="45" t="s">
        <v>76</v>
      </c>
      <c r="L2" s="45" t="s">
        <v>76</v>
      </c>
      <c r="M2" s="45" t="s">
        <v>76</v>
      </c>
      <c r="N2" s="55" t="s">
        <v>25</v>
      </c>
    </row>
    <row r="3" spans="1:15" s="5" customFormat="1">
      <c r="B3" s="11">
        <v>42553</v>
      </c>
      <c r="C3" s="11">
        <v>42584</v>
      </c>
      <c r="D3" s="11">
        <v>42615</v>
      </c>
      <c r="E3" s="11">
        <v>42645</v>
      </c>
      <c r="F3" s="11">
        <v>42676</v>
      </c>
      <c r="G3" s="11">
        <v>42706</v>
      </c>
      <c r="H3" s="11">
        <v>42737</v>
      </c>
      <c r="I3" s="11">
        <v>42768</v>
      </c>
      <c r="J3" s="11">
        <v>42796</v>
      </c>
      <c r="K3" s="11">
        <v>42827</v>
      </c>
      <c r="L3" s="11">
        <v>42857</v>
      </c>
      <c r="M3" s="11">
        <v>42888</v>
      </c>
      <c r="N3" s="57" t="s">
        <v>77</v>
      </c>
    </row>
    <row r="4" spans="1:15" hidden="1">
      <c r="A4" s="1" t="s">
        <v>27</v>
      </c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>
        <f>SUM(B4:M4)</f>
        <v>0</v>
      </c>
      <c r="O4" s="6"/>
    </row>
    <row r="5" spans="1:15" s="6" customFormat="1" hidden="1">
      <c r="A5" s="6" t="s">
        <v>28</v>
      </c>
      <c r="B5" s="53">
        <v>1199482</v>
      </c>
      <c r="C5" s="53">
        <v>4828670</v>
      </c>
      <c r="D5" s="53">
        <v>3749028</v>
      </c>
      <c r="E5" s="53">
        <v>3546355</v>
      </c>
      <c r="F5" s="53">
        <v>2585168</v>
      </c>
      <c r="G5" s="53">
        <v>2443265</v>
      </c>
      <c r="H5" s="53">
        <v>4392028.1440046299</v>
      </c>
      <c r="I5" s="53">
        <v>3229385.12840016</v>
      </c>
      <c r="J5" s="53">
        <v>3101264.61223314</v>
      </c>
      <c r="K5" s="53">
        <v>2861289.1218165602</v>
      </c>
      <c r="L5" s="53">
        <v>2884558.9345671199</v>
      </c>
      <c r="M5" s="53">
        <v>1536863.9470107399</v>
      </c>
      <c r="N5" s="12">
        <f>SUM(B5:M5)</f>
        <v>36357357.888032347</v>
      </c>
    </row>
    <row r="6" spans="1:15" s="6" customFormat="1" hidden="1">
      <c r="A6" s="6" t="s">
        <v>29</v>
      </c>
      <c r="B6" s="53">
        <v>54104</v>
      </c>
      <c r="C6" s="53">
        <v>50888</v>
      </c>
      <c r="D6" s="53">
        <v>47975</v>
      </c>
      <c r="E6" s="53">
        <v>339053</v>
      </c>
      <c r="F6" s="53">
        <v>50128</v>
      </c>
      <c r="G6" s="53">
        <v>100915</v>
      </c>
      <c r="H6" s="53">
        <v>93715.085794590996</v>
      </c>
      <c r="I6" s="53">
        <v>76173.313860300201</v>
      </c>
      <c r="J6" s="53">
        <v>194949.6852683014</v>
      </c>
      <c r="K6" s="53">
        <v>107775.7156534557</v>
      </c>
      <c r="L6" s="53">
        <v>303701.34733729798</v>
      </c>
      <c r="M6" s="53">
        <v>46075.731999999996</v>
      </c>
      <c r="N6" s="7">
        <f>SUM(B6:M6)</f>
        <v>1465453.8799139464</v>
      </c>
    </row>
    <row r="7" spans="1:15" s="6" customFormat="1" hidden="1">
      <c r="B7" s="7"/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7">
        <f>SUM(B7:M7)</f>
        <v>0</v>
      </c>
    </row>
    <row r="8" spans="1:15" s="6" customFormat="1" hidden="1">
      <c r="B8" s="15"/>
      <c r="C8" s="15"/>
      <c r="D8" s="15"/>
      <c r="E8" s="15"/>
      <c r="F8" s="15"/>
      <c r="G8" s="15"/>
      <c r="H8" s="15"/>
      <c r="I8" s="15"/>
      <c r="J8" s="15"/>
      <c r="K8" s="15"/>
      <c r="L8" s="15"/>
      <c r="M8" s="15"/>
      <c r="N8" s="15">
        <f>SUM(B8:M8)</f>
        <v>0</v>
      </c>
    </row>
    <row r="9" spans="1:15" s="6" customFormat="1">
      <c r="A9" s="13" t="s">
        <v>30</v>
      </c>
      <c r="B9" s="12">
        <f t="shared" ref="B9:N9" si="0">SUM(B5:B8)</f>
        <v>1253586</v>
      </c>
      <c r="C9" s="12">
        <f t="shared" si="0"/>
        <v>4879558</v>
      </c>
      <c r="D9" s="12">
        <f t="shared" si="0"/>
        <v>3797003</v>
      </c>
      <c r="E9" s="12">
        <v>3546355</v>
      </c>
      <c r="F9" s="12">
        <f t="shared" si="0"/>
        <v>2635296</v>
      </c>
      <c r="G9" s="12">
        <f t="shared" si="0"/>
        <v>2544180</v>
      </c>
      <c r="H9" s="12">
        <f t="shared" si="0"/>
        <v>4485743.2297992213</v>
      </c>
      <c r="I9" s="12">
        <f t="shared" si="0"/>
        <v>3305558.44226046</v>
      </c>
      <c r="J9" s="12">
        <f t="shared" si="0"/>
        <v>3296214.2975014416</v>
      </c>
      <c r="K9" s="12">
        <f t="shared" si="0"/>
        <v>2969064.837470016</v>
      </c>
      <c r="L9" s="12">
        <f t="shared" si="0"/>
        <v>3188260.281904418</v>
      </c>
      <c r="M9" s="12">
        <f t="shared" si="0"/>
        <v>1582939.67901074</v>
      </c>
      <c r="N9" s="12">
        <f t="shared" si="0"/>
        <v>37822811.767946295</v>
      </c>
    </row>
    <row r="10" spans="1:15" s="6" customFormat="1" ht="6.75" customHeight="1"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</row>
    <row r="11" spans="1:15" s="6" customFormat="1">
      <c r="A11" s="13" t="s">
        <v>31</v>
      </c>
      <c r="B11" s="7">
        <v>7663</v>
      </c>
      <c r="C11" s="7">
        <v>2297</v>
      </c>
      <c r="D11" s="7">
        <v>6582</v>
      </c>
      <c r="E11" s="7">
        <v>62</v>
      </c>
      <c r="F11" s="7">
        <f>5776-5686</f>
        <v>90</v>
      </c>
      <c r="G11" s="7">
        <v>2997</v>
      </c>
      <c r="H11" s="7"/>
      <c r="I11" s="7"/>
      <c r="J11" s="7"/>
      <c r="K11" s="7"/>
      <c r="L11" s="7"/>
      <c r="M11" s="7"/>
      <c r="N11" s="7">
        <f>SUM(B11:M11)</f>
        <v>19691</v>
      </c>
    </row>
    <row r="12" spans="1:15" s="6" customFormat="1" ht="7.5" customHeight="1">
      <c r="B12" s="7"/>
      <c r="C12" s="7"/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</row>
    <row r="13" spans="1:15" s="6" customFormat="1" ht="13.5" thickBot="1">
      <c r="A13" s="13" t="s">
        <v>32</v>
      </c>
      <c r="B13" s="14">
        <f t="shared" ref="B13:N13" si="1">B9+B11</f>
        <v>1261249</v>
      </c>
      <c r="C13" s="14">
        <f>C9+C11</f>
        <v>4881855</v>
      </c>
      <c r="D13" s="14">
        <f t="shared" si="1"/>
        <v>3803585</v>
      </c>
      <c r="E13" s="14">
        <f t="shared" si="1"/>
        <v>3546417</v>
      </c>
      <c r="F13" s="14">
        <f t="shared" si="1"/>
        <v>2635386</v>
      </c>
      <c r="G13" s="14">
        <f t="shared" si="1"/>
        <v>2547177</v>
      </c>
      <c r="H13" s="14">
        <f t="shared" si="1"/>
        <v>4485743.2297992213</v>
      </c>
      <c r="I13" s="14">
        <f t="shared" si="1"/>
        <v>3305558.44226046</v>
      </c>
      <c r="J13" s="14">
        <f t="shared" si="1"/>
        <v>3296214.2975014416</v>
      </c>
      <c r="K13" s="14">
        <f t="shared" si="1"/>
        <v>2969064.837470016</v>
      </c>
      <c r="L13" s="14">
        <f t="shared" si="1"/>
        <v>3188260.281904418</v>
      </c>
      <c r="M13" s="14">
        <f t="shared" si="1"/>
        <v>1582939.67901074</v>
      </c>
      <c r="N13" s="14">
        <f t="shared" si="1"/>
        <v>37842502.767946295</v>
      </c>
    </row>
    <row r="14" spans="1:15" s="6" customFormat="1" ht="13.5" thickTop="1">
      <c r="B14" s="7"/>
      <c r="C14" s="7"/>
      <c r="D14" s="7"/>
      <c r="E14" s="7"/>
      <c r="F14" s="7"/>
      <c r="G14" s="7"/>
      <c r="H14" s="7"/>
      <c r="I14" s="7"/>
      <c r="J14" s="7"/>
      <c r="K14" s="7"/>
      <c r="L14" s="7"/>
      <c r="M14" s="7"/>
    </row>
    <row r="15" spans="1:15" s="6" customFormat="1" hidden="1">
      <c r="A15" s="13" t="s">
        <v>33</v>
      </c>
      <c r="B15" s="7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</row>
    <row r="16" spans="1:15" s="6" customFormat="1" hidden="1">
      <c r="A16" s="6" t="s">
        <v>34</v>
      </c>
      <c r="B16" s="53">
        <v>620285</v>
      </c>
      <c r="C16" s="53">
        <v>2968543</v>
      </c>
      <c r="D16" s="53">
        <v>1627085</v>
      </c>
      <c r="E16" s="53">
        <v>1339249</v>
      </c>
      <c r="F16" s="53">
        <v>866632</v>
      </c>
      <c r="G16" s="53">
        <v>917825</v>
      </c>
      <c r="H16" s="53">
        <v>2724198.5675140698</v>
      </c>
      <c r="I16" s="53">
        <v>1309498.16154439</v>
      </c>
      <c r="J16" s="53">
        <v>1146427.91045744</v>
      </c>
      <c r="K16" s="53">
        <v>1014457.82475312</v>
      </c>
      <c r="L16" s="53">
        <v>1202846.3247627199</v>
      </c>
      <c r="M16" s="53">
        <v>808585.32395320502</v>
      </c>
      <c r="N16" s="7">
        <f>SUM(B16:M16)</f>
        <v>16545633.112984946</v>
      </c>
    </row>
    <row r="17" spans="1:44" s="6" customFormat="1" hidden="1">
      <c r="B17" s="27"/>
      <c r="C17" s="27"/>
      <c r="D17" s="27"/>
      <c r="E17" s="27"/>
      <c r="F17" s="27"/>
      <c r="G17" s="27"/>
      <c r="H17" s="27"/>
      <c r="I17" s="27"/>
      <c r="J17" s="27"/>
      <c r="K17" s="27"/>
      <c r="L17" s="27"/>
      <c r="M17" s="27"/>
      <c r="N17" s="7">
        <f>SUM(B17:M17)</f>
        <v>0</v>
      </c>
    </row>
    <row r="18" spans="1:44" s="6" customFormat="1" hidden="1">
      <c r="B18" s="7"/>
      <c r="C18" s="7"/>
      <c r="D18" s="7"/>
      <c r="E18" s="7"/>
      <c r="F18" s="7"/>
      <c r="G18" s="7"/>
      <c r="H18" s="7"/>
      <c r="I18" s="7"/>
      <c r="J18" s="7"/>
      <c r="K18" s="7"/>
      <c r="L18" s="7"/>
      <c r="M18" s="7"/>
      <c r="N18" s="7">
        <v>0</v>
      </c>
    </row>
    <row r="19" spans="1:44" s="6" customFormat="1" hidden="1">
      <c r="B19" s="15"/>
      <c r="C19" s="15"/>
      <c r="D19" s="15"/>
      <c r="E19" s="15"/>
      <c r="F19" s="15"/>
      <c r="G19" s="15"/>
      <c r="H19" s="15"/>
      <c r="I19" s="15"/>
      <c r="J19" s="15"/>
      <c r="K19" s="15"/>
      <c r="L19" s="15"/>
      <c r="M19" s="15"/>
      <c r="N19" s="15">
        <f>SUM(B19:M19)</f>
        <v>0</v>
      </c>
    </row>
    <row r="20" spans="1:44" s="6" customFormat="1">
      <c r="A20" s="13" t="s">
        <v>35</v>
      </c>
      <c r="B20" s="12">
        <f t="shared" ref="B20:N20" si="2">SUM(B16:B19)</f>
        <v>620285</v>
      </c>
      <c r="C20" s="12">
        <f t="shared" si="2"/>
        <v>2968543</v>
      </c>
      <c r="D20" s="12">
        <f t="shared" si="2"/>
        <v>1627085</v>
      </c>
      <c r="E20" s="12">
        <f t="shared" si="2"/>
        <v>1339249</v>
      </c>
      <c r="F20" s="12">
        <f t="shared" si="2"/>
        <v>866632</v>
      </c>
      <c r="G20" s="12">
        <f t="shared" si="2"/>
        <v>917825</v>
      </c>
      <c r="H20" s="12">
        <f t="shared" si="2"/>
        <v>2724198.5675140698</v>
      </c>
      <c r="I20" s="12">
        <f t="shared" si="2"/>
        <v>1309498.16154439</v>
      </c>
      <c r="J20" s="12">
        <f t="shared" si="2"/>
        <v>1146427.91045744</v>
      </c>
      <c r="K20" s="12">
        <f t="shared" si="2"/>
        <v>1014457.82475312</v>
      </c>
      <c r="L20" s="12">
        <f t="shared" si="2"/>
        <v>1202846.3247627199</v>
      </c>
      <c r="M20" s="12">
        <f t="shared" si="2"/>
        <v>808585.32395320502</v>
      </c>
      <c r="N20" s="12">
        <f t="shared" si="2"/>
        <v>16545633.112984946</v>
      </c>
    </row>
    <row r="21" spans="1:44" s="6" customFormat="1">
      <c r="B21" s="7"/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</row>
    <row r="22" spans="1:44" s="6" customFormat="1" hidden="1">
      <c r="A22" s="13" t="s">
        <v>36</v>
      </c>
      <c r="B22" s="7"/>
      <c r="C22" s="7"/>
      <c r="D22" s="7"/>
      <c r="E22" s="7"/>
      <c r="F22" s="7"/>
      <c r="G22" s="7"/>
      <c r="H22" s="7"/>
      <c r="I22" s="7"/>
      <c r="J22" s="7"/>
      <c r="K22" s="7"/>
      <c r="L22" s="7"/>
      <c r="M22" s="7"/>
    </row>
    <row r="23" spans="1:44" s="6" customFormat="1" hidden="1">
      <c r="A23" s="6" t="s">
        <v>37</v>
      </c>
      <c r="B23" s="7">
        <f t="shared" ref="B23:M26" si="3">+B5-B16</f>
        <v>579197</v>
      </c>
      <c r="C23" s="7">
        <f t="shared" si="3"/>
        <v>1860127</v>
      </c>
      <c r="D23" s="7">
        <f t="shared" si="3"/>
        <v>2121943</v>
      </c>
      <c r="E23" s="7">
        <f t="shared" si="3"/>
        <v>2207106</v>
      </c>
      <c r="F23" s="7">
        <f t="shared" si="3"/>
        <v>1718536</v>
      </c>
      <c r="G23" s="7">
        <f t="shared" si="3"/>
        <v>1525440</v>
      </c>
      <c r="H23" s="7">
        <f t="shared" si="3"/>
        <v>1667829.5764905601</v>
      </c>
      <c r="I23" s="7">
        <f t="shared" si="3"/>
        <v>1919886.96685577</v>
      </c>
      <c r="J23" s="7">
        <f t="shared" si="3"/>
        <v>1954836.7017757001</v>
      </c>
      <c r="K23" s="7">
        <f t="shared" si="3"/>
        <v>1846831.2970634401</v>
      </c>
      <c r="L23" s="7">
        <f t="shared" si="3"/>
        <v>1681712.6098044</v>
      </c>
      <c r="M23" s="7">
        <f t="shared" si="3"/>
        <v>728278.62305753492</v>
      </c>
      <c r="N23" s="7">
        <f>SUM(B23:M23)</f>
        <v>19811724.775047407</v>
      </c>
    </row>
    <row r="24" spans="1:44" s="6" customFormat="1" hidden="1">
      <c r="A24" s="6" t="s">
        <v>37</v>
      </c>
      <c r="B24" s="7">
        <f t="shared" si="3"/>
        <v>54104</v>
      </c>
      <c r="C24" s="7">
        <f t="shared" si="3"/>
        <v>50888</v>
      </c>
      <c r="D24" s="7">
        <f t="shared" si="3"/>
        <v>47975</v>
      </c>
      <c r="E24" s="7">
        <f t="shared" si="3"/>
        <v>339053</v>
      </c>
      <c r="F24" s="7">
        <f t="shared" si="3"/>
        <v>50128</v>
      </c>
      <c r="G24" s="7">
        <f t="shared" si="3"/>
        <v>100915</v>
      </c>
      <c r="H24" s="7">
        <f t="shared" si="3"/>
        <v>93715.085794590996</v>
      </c>
      <c r="I24" s="7">
        <f t="shared" si="3"/>
        <v>76173.313860300201</v>
      </c>
      <c r="J24" s="7">
        <f t="shared" si="3"/>
        <v>194949.6852683014</v>
      </c>
      <c r="K24" s="7">
        <f t="shared" si="3"/>
        <v>107775.7156534557</v>
      </c>
      <c r="L24" s="7">
        <f t="shared" si="3"/>
        <v>303701.34733729798</v>
      </c>
      <c r="M24" s="7">
        <f t="shared" si="3"/>
        <v>46075.731999999996</v>
      </c>
      <c r="N24" s="7">
        <f>SUM(B24:M24)</f>
        <v>1465453.8799139464</v>
      </c>
    </row>
    <row r="25" spans="1:44" s="6" customFormat="1" hidden="1">
      <c r="A25" s="6" t="s">
        <v>38</v>
      </c>
      <c r="B25" s="7">
        <f t="shared" si="3"/>
        <v>0</v>
      </c>
      <c r="C25" s="7">
        <f t="shared" si="3"/>
        <v>0</v>
      </c>
      <c r="D25" s="7">
        <f t="shared" si="3"/>
        <v>0</v>
      </c>
      <c r="E25" s="7">
        <f t="shared" si="3"/>
        <v>0</v>
      </c>
      <c r="F25" s="7">
        <f t="shared" si="3"/>
        <v>0</v>
      </c>
      <c r="G25" s="7">
        <f t="shared" si="3"/>
        <v>0</v>
      </c>
      <c r="H25" s="7">
        <f t="shared" si="3"/>
        <v>0</v>
      </c>
      <c r="I25" s="7">
        <f t="shared" si="3"/>
        <v>0</v>
      </c>
      <c r="J25" s="7">
        <f t="shared" si="3"/>
        <v>0</v>
      </c>
      <c r="K25" s="7">
        <f t="shared" si="3"/>
        <v>0</v>
      </c>
      <c r="L25" s="7">
        <f t="shared" si="3"/>
        <v>0</v>
      </c>
      <c r="M25" s="7">
        <f t="shared" si="3"/>
        <v>0</v>
      </c>
      <c r="N25" s="7">
        <f>SUM(B25:M25)</f>
        <v>0</v>
      </c>
    </row>
    <row r="26" spans="1:44" s="6" customFormat="1" hidden="1">
      <c r="A26" s="6" t="s">
        <v>38</v>
      </c>
      <c r="B26" s="15">
        <f t="shared" si="3"/>
        <v>0</v>
      </c>
      <c r="C26" s="15">
        <f t="shared" si="3"/>
        <v>0</v>
      </c>
      <c r="D26" s="15">
        <f t="shared" si="3"/>
        <v>0</v>
      </c>
      <c r="E26" s="15">
        <f t="shared" si="3"/>
        <v>0</v>
      </c>
      <c r="F26" s="15">
        <f t="shared" si="3"/>
        <v>0</v>
      </c>
      <c r="G26" s="15">
        <f t="shared" si="3"/>
        <v>0</v>
      </c>
      <c r="H26" s="15">
        <f t="shared" si="3"/>
        <v>0</v>
      </c>
      <c r="I26" s="15">
        <f t="shared" si="3"/>
        <v>0</v>
      </c>
      <c r="J26" s="15">
        <f t="shared" si="3"/>
        <v>0</v>
      </c>
      <c r="K26" s="15">
        <f t="shared" si="3"/>
        <v>0</v>
      </c>
      <c r="L26" s="15">
        <f t="shared" si="3"/>
        <v>0</v>
      </c>
      <c r="M26" s="15">
        <f t="shared" si="3"/>
        <v>0</v>
      </c>
      <c r="N26" s="15">
        <f>SUM(B26:M26)</f>
        <v>0</v>
      </c>
    </row>
    <row r="27" spans="1:44" s="6" customFormat="1">
      <c r="A27" s="13" t="s">
        <v>39</v>
      </c>
      <c r="B27" s="12">
        <f t="shared" ref="B27:N27" si="4">SUM(B23:B26)</f>
        <v>633301</v>
      </c>
      <c r="C27" s="12">
        <f t="shared" si="4"/>
        <v>1911015</v>
      </c>
      <c r="D27" s="12">
        <f t="shared" si="4"/>
        <v>2169918</v>
      </c>
      <c r="E27" s="12">
        <f t="shared" si="4"/>
        <v>2546159</v>
      </c>
      <c r="F27" s="12">
        <f t="shared" si="4"/>
        <v>1768664</v>
      </c>
      <c r="G27" s="12">
        <f t="shared" si="4"/>
        <v>1626355</v>
      </c>
      <c r="H27" s="12">
        <f t="shared" si="4"/>
        <v>1761544.662285151</v>
      </c>
      <c r="I27" s="12">
        <f t="shared" si="4"/>
        <v>1996060.2807160702</v>
      </c>
      <c r="J27" s="12">
        <f t="shared" si="4"/>
        <v>2149786.3870440014</v>
      </c>
      <c r="K27" s="12">
        <f t="shared" si="4"/>
        <v>1954607.0127168959</v>
      </c>
      <c r="L27" s="12">
        <f t="shared" si="4"/>
        <v>1985413.9571416979</v>
      </c>
      <c r="M27" s="12">
        <f>SUM(M23:M26)</f>
        <v>774354.35505753488</v>
      </c>
      <c r="N27" s="12">
        <f t="shared" si="4"/>
        <v>21277178.654961351</v>
      </c>
    </row>
    <row r="28" spans="1:44" s="6" customFormat="1">
      <c r="B28" s="7"/>
      <c r="C28" s="7"/>
      <c r="D28" s="7"/>
      <c r="E28" s="7"/>
      <c r="F28" s="7"/>
      <c r="G28" s="7"/>
      <c r="H28" s="7"/>
      <c r="I28" s="7"/>
      <c r="J28" s="7"/>
      <c r="K28" s="7"/>
      <c r="L28" s="7"/>
      <c r="M28" s="7"/>
    </row>
    <row r="29" spans="1:44" s="6" customFormat="1" hidden="1">
      <c r="A29" s="13" t="s">
        <v>40</v>
      </c>
      <c r="B29" s="7"/>
      <c r="C29" s="7"/>
      <c r="D29" s="7"/>
      <c r="E29" s="7"/>
      <c r="F29" s="7"/>
      <c r="G29" s="7"/>
      <c r="H29" s="7"/>
      <c r="I29" s="7"/>
      <c r="J29" s="7"/>
      <c r="K29" s="7"/>
      <c r="L29" s="7"/>
      <c r="M29" s="7"/>
    </row>
    <row r="30" spans="1:44" s="6" customFormat="1" hidden="1">
      <c r="A30" s="6" t="s">
        <v>41</v>
      </c>
      <c r="B30" s="53">
        <v>392880</v>
      </c>
      <c r="C30" s="53">
        <v>559131</v>
      </c>
      <c r="D30" s="53">
        <v>664356</v>
      </c>
      <c r="E30" s="53">
        <v>808302</v>
      </c>
      <c r="F30" s="53">
        <v>577909</v>
      </c>
      <c r="G30" s="53">
        <v>554216</v>
      </c>
      <c r="H30" s="53">
        <v>611166.92702081904</v>
      </c>
      <c r="I30" s="53">
        <v>664473.65115265595</v>
      </c>
      <c r="J30" s="53">
        <v>653848.24865265505</v>
      </c>
      <c r="K30" s="53">
        <v>727810.13162081898</v>
      </c>
      <c r="L30" s="53">
        <v>615430.25565265596</v>
      </c>
      <c r="M30" s="53">
        <v>456542.16991265502</v>
      </c>
      <c r="N30" s="7">
        <f>SUM(B30:M30)</f>
        <v>7286065.3840122595</v>
      </c>
    </row>
    <row r="31" spans="1:44" s="6" customFormat="1" hidden="1">
      <c r="A31" s="6" t="s">
        <v>42</v>
      </c>
      <c r="B31" s="53">
        <v>216187</v>
      </c>
      <c r="C31" s="53">
        <v>190413</v>
      </c>
      <c r="D31" s="53">
        <v>232147</v>
      </c>
      <c r="E31" s="53">
        <v>210938</v>
      </c>
      <c r="F31" s="53">
        <v>193412</v>
      </c>
      <c r="G31" s="53">
        <v>167260</v>
      </c>
      <c r="H31" s="53">
        <v>210196.707905202</v>
      </c>
      <c r="I31" s="53">
        <v>201269.28383633701</v>
      </c>
      <c r="J31" s="53">
        <v>200709.39503545201</v>
      </c>
      <c r="K31" s="53">
        <v>223370.57771881</v>
      </c>
      <c r="L31" s="53">
        <v>196340.080043806</v>
      </c>
      <c r="M31" s="53">
        <v>191011.551540168</v>
      </c>
      <c r="N31" s="7">
        <f>SUM(B31:M31)</f>
        <v>2433254.5960797751</v>
      </c>
    </row>
    <row r="32" spans="1:44" s="6" customFormat="1" ht="15" hidden="1">
      <c r="A32" s="6" t="s">
        <v>38</v>
      </c>
      <c r="B32" s="65"/>
      <c r="C32" s="65"/>
      <c r="D32" s="65"/>
      <c r="E32" s="65"/>
      <c r="F32" s="68"/>
      <c r="G32" s="68"/>
      <c r="H32" s="65"/>
      <c r="I32" s="65"/>
      <c r="J32" s="65"/>
      <c r="K32" s="65"/>
      <c r="L32" s="65"/>
      <c r="M32" s="65"/>
      <c r="N32" s="7">
        <f>SUM(B32:M32)</f>
        <v>0</v>
      </c>
      <c r="P32" s="6">
        <f>+B32*-1</f>
        <v>0</v>
      </c>
      <c r="Q32" s="6">
        <f t="shared" ref="Q32:AF33" si="5">+C32*-1</f>
        <v>0</v>
      </c>
      <c r="R32" s="6">
        <f t="shared" si="5"/>
        <v>0</v>
      </c>
      <c r="S32" s="6">
        <f t="shared" si="5"/>
        <v>0</v>
      </c>
      <c r="T32" s="6">
        <f t="shared" si="5"/>
        <v>0</v>
      </c>
      <c r="U32" s="6">
        <f t="shared" si="5"/>
        <v>0</v>
      </c>
      <c r="V32" s="6">
        <f t="shared" si="5"/>
        <v>0</v>
      </c>
      <c r="W32" s="6">
        <f t="shared" si="5"/>
        <v>0</v>
      </c>
      <c r="X32" s="6">
        <f t="shared" si="5"/>
        <v>0</v>
      </c>
      <c r="Y32" s="6">
        <f t="shared" si="5"/>
        <v>0</v>
      </c>
      <c r="Z32" s="6">
        <f t="shared" si="5"/>
        <v>0</v>
      </c>
      <c r="AA32" s="6">
        <f t="shared" si="5"/>
        <v>0</v>
      </c>
      <c r="AB32" s="6">
        <f t="shared" si="5"/>
        <v>0</v>
      </c>
      <c r="AC32" s="6">
        <f t="shared" si="5"/>
        <v>0</v>
      </c>
      <c r="AD32" s="6">
        <f t="shared" si="5"/>
        <v>0</v>
      </c>
      <c r="AE32" s="6">
        <f t="shared" si="5"/>
        <v>0</v>
      </c>
      <c r="AF32" s="6">
        <f t="shared" si="5"/>
        <v>0</v>
      </c>
      <c r="AG32" s="6">
        <f t="shared" ref="AG32:AR33" si="6">+S32*-1</f>
        <v>0</v>
      </c>
      <c r="AH32" s="6">
        <f t="shared" si="6"/>
        <v>0</v>
      </c>
      <c r="AI32" s="6">
        <f t="shared" si="6"/>
        <v>0</v>
      </c>
      <c r="AJ32" s="6">
        <f t="shared" si="6"/>
        <v>0</v>
      </c>
      <c r="AK32" s="6">
        <f t="shared" si="6"/>
        <v>0</v>
      </c>
      <c r="AL32" s="6">
        <f t="shared" si="6"/>
        <v>0</v>
      </c>
      <c r="AM32" s="6">
        <f t="shared" si="6"/>
        <v>0</v>
      </c>
      <c r="AN32" s="6">
        <f t="shared" si="6"/>
        <v>0</v>
      </c>
      <c r="AO32" s="6">
        <f t="shared" si="6"/>
        <v>0</v>
      </c>
      <c r="AP32" s="6">
        <f t="shared" si="6"/>
        <v>0</v>
      </c>
      <c r="AQ32" s="6">
        <f t="shared" si="6"/>
        <v>0</v>
      </c>
      <c r="AR32" s="6">
        <f t="shared" si="6"/>
        <v>0</v>
      </c>
    </row>
    <row r="33" spans="1:44" s="6" customFormat="1" hidden="1">
      <c r="B33" s="15"/>
      <c r="C33" s="15"/>
      <c r="D33" s="15"/>
      <c r="E33" s="15"/>
      <c r="F33" s="15"/>
      <c r="G33" s="15"/>
      <c r="H33" s="15"/>
      <c r="I33" s="15"/>
      <c r="J33" s="15"/>
      <c r="K33" s="15"/>
      <c r="L33" s="15"/>
      <c r="M33" s="15"/>
      <c r="N33" s="15">
        <f>SUM(B33:M33)</f>
        <v>0</v>
      </c>
      <c r="Q33" s="6">
        <f t="shared" si="5"/>
        <v>0</v>
      </c>
      <c r="R33" s="6">
        <f t="shared" si="5"/>
        <v>0</v>
      </c>
      <c r="S33" s="6">
        <f t="shared" si="5"/>
        <v>0</v>
      </c>
      <c r="T33" s="6">
        <f t="shared" si="5"/>
        <v>0</v>
      </c>
      <c r="U33" s="6">
        <f t="shared" si="5"/>
        <v>0</v>
      </c>
      <c r="V33" s="6">
        <f t="shared" si="5"/>
        <v>0</v>
      </c>
      <c r="W33" s="6">
        <f t="shared" si="5"/>
        <v>0</v>
      </c>
      <c r="X33" s="6">
        <f t="shared" si="5"/>
        <v>0</v>
      </c>
      <c r="Y33" s="6">
        <f t="shared" si="5"/>
        <v>0</v>
      </c>
      <c r="Z33" s="6">
        <f t="shared" si="5"/>
        <v>0</v>
      </c>
      <c r="AA33" s="6">
        <f t="shared" si="5"/>
        <v>0</v>
      </c>
      <c r="AB33" s="6">
        <f t="shared" si="5"/>
        <v>0</v>
      </c>
      <c r="AC33" s="6">
        <f t="shared" si="5"/>
        <v>0</v>
      </c>
      <c r="AD33" s="6">
        <f t="shared" si="5"/>
        <v>0</v>
      </c>
      <c r="AE33" s="6">
        <f t="shared" si="5"/>
        <v>0</v>
      </c>
      <c r="AF33" s="6">
        <f t="shared" si="5"/>
        <v>0</v>
      </c>
      <c r="AG33" s="6">
        <f t="shared" si="6"/>
        <v>0</v>
      </c>
      <c r="AH33" s="6">
        <f t="shared" si="6"/>
        <v>0</v>
      </c>
      <c r="AI33" s="6">
        <f t="shared" si="6"/>
        <v>0</v>
      </c>
      <c r="AJ33" s="6">
        <f t="shared" si="6"/>
        <v>0</v>
      </c>
      <c r="AK33" s="6">
        <f t="shared" si="6"/>
        <v>0</v>
      </c>
      <c r="AL33" s="6">
        <f t="shared" si="6"/>
        <v>0</v>
      </c>
      <c r="AM33" s="6">
        <f t="shared" si="6"/>
        <v>0</v>
      </c>
      <c r="AN33" s="6">
        <f t="shared" si="6"/>
        <v>0</v>
      </c>
      <c r="AO33" s="6">
        <f t="shared" si="6"/>
        <v>0</v>
      </c>
      <c r="AP33" s="6">
        <f t="shared" si="6"/>
        <v>0</v>
      </c>
      <c r="AQ33" s="6">
        <f t="shared" si="6"/>
        <v>0</v>
      </c>
      <c r="AR33" s="6">
        <f t="shared" si="6"/>
        <v>0</v>
      </c>
    </row>
    <row r="34" spans="1:44" s="6" customFormat="1">
      <c r="A34" s="13" t="s">
        <v>43</v>
      </c>
      <c r="B34" s="12">
        <f t="shared" ref="B34:N34" si="7">SUM(B30:B33)</f>
        <v>609067</v>
      </c>
      <c r="C34" s="12">
        <f t="shared" si="7"/>
        <v>749544</v>
      </c>
      <c r="D34" s="12">
        <f t="shared" si="7"/>
        <v>896503</v>
      </c>
      <c r="E34" s="12">
        <f t="shared" si="7"/>
        <v>1019240</v>
      </c>
      <c r="F34" s="12">
        <f t="shared" si="7"/>
        <v>771321</v>
      </c>
      <c r="G34" s="12">
        <f t="shared" si="7"/>
        <v>721476</v>
      </c>
      <c r="H34" s="12">
        <f t="shared" si="7"/>
        <v>821363.6349260211</v>
      </c>
      <c r="I34" s="12">
        <f t="shared" si="7"/>
        <v>865742.93498899299</v>
      </c>
      <c r="J34" s="12">
        <f t="shared" si="7"/>
        <v>854557.64368810703</v>
      </c>
      <c r="K34" s="12">
        <f t="shared" si="7"/>
        <v>951180.70933962893</v>
      </c>
      <c r="L34" s="12">
        <f t="shared" si="7"/>
        <v>811770.33569646196</v>
      </c>
      <c r="M34" s="12">
        <f t="shared" si="7"/>
        <v>647553.72145282303</v>
      </c>
      <c r="N34" s="12">
        <f t="shared" si="7"/>
        <v>9719319.9800920337</v>
      </c>
      <c r="O34" s="7"/>
    </row>
    <row r="35" spans="1:44" s="6" customFormat="1">
      <c r="B35" s="7"/>
      <c r="C35" s="7"/>
      <c r="D35" s="7"/>
      <c r="E35" s="7"/>
      <c r="F35" s="7"/>
      <c r="G35" s="7"/>
      <c r="H35" s="7"/>
      <c r="I35" s="7"/>
      <c r="J35" s="7"/>
      <c r="K35" s="7"/>
      <c r="L35" s="7"/>
      <c r="M35" s="7"/>
    </row>
    <row r="36" spans="1:44" s="6" customFormat="1" hidden="1">
      <c r="A36" s="13" t="s">
        <v>44</v>
      </c>
      <c r="B36" s="7"/>
      <c r="C36" s="7"/>
      <c r="D36" s="7"/>
      <c r="E36" s="7"/>
      <c r="F36" s="7"/>
      <c r="G36" s="7"/>
      <c r="H36" s="7"/>
      <c r="I36" s="7"/>
      <c r="J36" s="7"/>
      <c r="K36" s="7"/>
      <c r="L36" s="7"/>
      <c r="M36" s="7"/>
    </row>
    <row r="37" spans="1:44" s="6" customFormat="1" hidden="1">
      <c r="A37" s="6" t="s">
        <v>45</v>
      </c>
      <c r="B37" s="53">
        <v>957334</v>
      </c>
      <c r="C37" s="53">
        <v>1284431</v>
      </c>
      <c r="D37" s="53">
        <v>1445140</v>
      </c>
      <c r="E37" s="53">
        <v>1605674</v>
      </c>
      <c r="F37" s="53">
        <v>1524417</v>
      </c>
      <c r="G37" s="66">
        <v>1260096</v>
      </c>
      <c r="H37" s="66">
        <v>1338862.8735315695</v>
      </c>
      <c r="I37" s="66">
        <v>1447399.3372471465</v>
      </c>
      <c r="J37" s="66">
        <v>1483783.6270001915</v>
      </c>
      <c r="K37" s="53">
        <v>1521178.5687367001</v>
      </c>
      <c r="L37" s="53">
        <v>1366856.0727674812</v>
      </c>
      <c r="M37" s="53">
        <v>1089068.663147087</v>
      </c>
      <c r="N37" s="7">
        <f>SUM(B37:M37)</f>
        <v>16324241.142430175</v>
      </c>
      <c r="O37" s="53"/>
      <c r="P37" s="62"/>
    </row>
    <row r="38" spans="1:44" s="6" customFormat="1" hidden="1">
      <c r="A38" s="6" t="s">
        <v>46</v>
      </c>
      <c r="B38" s="7">
        <f>-B34</f>
        <v>-609067</v>
      </c>
      <c r="C38" s="7">
        <f t="shared" ref="C38:M38" si="8">-C34</f>
        <v>-749544</v>
      </c>
      <c r="D38" s="7">
        <f t="shared" si="8"/>
        <v>-896503</v>
      </c>
      <c r="E38" s="7">
        <f t="shared" si="8"/>
        <v>-1019240</v>
      </c>
      <c r="F38" s="7">
        <f t="shared" si="8"/>
        <v>-771321</v>
      </c>
      <c r="G38" s="7">
        <f t="shared" si="8"/>
        <v>-721476</v>
      </c>
      <c r="H38" s="7">
        <f t="shared" si="8"/>
        <v>-821363.6349260211</v>
      </c>
      <c r="I38" s="7">
        <f t="shared" si="8"/>
        <v>-865742.93498899299</v>
      </c>
      <c r="J38" s="7">
        <f t="shared" si="8"/>
        <v>-854557.64368810703</v>
      </c>
      <c r="K38" s="7">
        <f t="shared" si="8"/>
        <v>-951180.70933962893</v>
      </c>
      <c r="L38" s="7">
        <f t="shared" si="8"/>
        <v>-811770.33569646196</v>
      </c>
      <c r="M38" s="7">
        <f t="shared" si="8"/>
        <v>-647553.72145282303</v>
      </c>
      <c r="N38" s="7">
        <f>SUM(B38:M38)</f>
        <v>-9719319.9800920356</v>
      </c>
    </row>
    <row r="39" spans="1:44" s="6" customFormat="1" hidden="1">
      <c r="A39" s="6" t="s">
        <v>47</v>
      </c>
      <c r="B39" s="53">
        <v>-73369</v>
      </c>
      <c r="C39" s="53">
        <v>-72678</v>
      </c>
      <c r="D39" s="53">
        <v>-71948</v>
      </c>
      <c r="E39" s="53">
        <v>-72678</v>
      </c>
      <c r="F39" s="53">
        <v>-72867</v>
      </c>
      <c r="G39" s="53">
        <v>-72836</v>
      </c>
      <c r="H39" s="53">
        <v>-82257.801666666594</v>
      </c>
      <c r="I39" s="53">
        <v>-82098.931666666598</v>
      </c>
      <c r="J39" s="53">
        <v>-82065.061666666603</v>
      </c>
      <c r="K39" s="53">
        <v>-81467.421666666603</v>
      </c>
      <c r="L39" s="53">
        <v>-81449.971666666606</v>
      </c>
      <c r="M39" s="53">
        <v>-80077.631666666595</v>
      </c>
      <c r="N39" s="7">
        <v>-971805.1199999993</v>
      </c>
    </row>
    <row r="40" spans="1:44" s="6" customFormat="1" hidden="1">
      <c r="A40" s="6" t="s">
        <v>78</v>
      </c>
      <c r="B40" s="53"/>
      <c r="C40" s="53"/>
      <c r="D40" s="53"/>
      <c r="E40" s="53"/>
      <c r="F40" s="53"/>
      <c r="G40" s="53"/>
      <c r="H40" s="53"/>
      <c r="I40" s="53"/>
      <c r="J40" s="53"/>
      <c r="K40" s="53"/>
      <c r="L40" s="53"/>
      <c r="M40" s="53"/>
      <c r="N40" s="7">
        <f>SUM(B40:M40)</f>
        <v>0</v>
      </c>
    </row>
    <row r="41" spans="1:44" s="6" customFormat="1" hidden="1">
      <c r="A41" s="6" t="s">
        <v>48</v>
      </c>
      <c r="B41" s="60">
        <v>-10663.666666666701</v>
      </c>
      <c r="C41" s="60">
        <v>-10663.666666666701</v>
      </c>
      <c r="D41" s="60">
        <v>-10663.666666666701</v>
      </c>
      <c r="E41" s="60">
        <v>-10663.666666666701</v>
      </c>
      <c r="F41" s="60">
        <v>-10663.666666666701</v>
      </c>
      <c r="G41" s="60">
        <v>-10663.666666666701</v>
      </c>
      <c r="H41" s="60">
        <v>-10663.666666666701</v>
      </c>
      <c r="I41" s="60">
        <v>-10663.666666666701</v>
      </c>
      <c r="J41" s="60">
        <v>-10964</v>
      </c>
      <c r="K41" s="60">
        <v>-10864</v>
      </c>
      <c r="L41" s="60">
        <v>-10964</v>
      </c>
      <c r="M41" s="60">
        <v>-10664</v>
      </c>
      <c r="N41" s="15">
        <f>SUM(B41:M41)</f>
        <v>-128765.3333333336</v>
      </c>
    </row>
    <row r="42" spans="1:44" s="6" customFormat="1">
      <c r="A42" s="13" t="s">
        <v>49</v>
      </c>
      <c r="B42" s="12">
        <f t="shared" ref="B42:N42" si="9">SUM(B37:B41)</f>
        <v>264234.33333333331</v>
      </c>
      <c r="C42" s="12">
        <f t="shared" si="9"/>
        <v>451545.33333333331</v>
      </c>
      <c r="D42" s="12">
        <f t="shared" si="9"/>
        <v>466025.33333333331</v>
      </c>
      <c r="E42" s="12">
        <f t="shared" si="9"/>
        <v>503092.33333333331</v>
      </c>
      <c r="F42" s="12">
        <f t="shared" si="9"/>
        <v>669565.33333333326</v>
      </c>
      <c r="G42" s="12">
        <f t="shared" si="9"/>
        <v>455120.33333333331</v>
      </c>
      <c r="H42" s="12">
        <f t="shared" si="9"/>
        <v>424577.77027221513</v>
      </c>
      <c r="I42" s="12">
        <f t="shared" si="9"/>
        <v>488893.80392482027</v>
      </c>
      <c r="J42" s="12">
        <f t="shared" si="9"/>
        <v>536196.92164541781</v>
      </c>
      <c r="K42" s="12">
        <f t="shared" si="9"/>
        <v>477666.43773040455</v>
      </c>
      <c r="L42" s="12">
        <f t="shared" si="9"/>
        <v>462671.76540435263</v>
      </c>
      <c r="M42" s="12">
        <f t="shared" si="9"/>
        <v>350773.31002759736</v>
      </c>
      <c r="N42" s="12">
        <f t="shared" si="9"/>
        <v>5504350.7090048064</v>
      </c>
    </row>
    <row r="43" spans="1:44">
      <c r="A43" s="1"/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2"/>
      <c r="N43" s="12"/>
      <c r="O43" s="6"/>
    </row>
    <row r="44" spans="1:44" hidden="1">
      <c r="A44" s="13" t="s">
        <v>50</v>
      </c>
      <c r="B44" s="53">
        <v>275362</v>
      </c>
      <c r="C44" s="53">
        <v>282653</v>
      </c>
      <c r="D44" s="53">
        <v>316557</v>
      </c>
      <c r="E44" s="53">
        <v>459677</v>
      </c>
      <c r="F44" s="53">
        <v>293116</v>
      </c>
      <c r="G44" s="53">
        <v>257165</v>
      </c>
      <c r="H44" s="59">
        <v>320964.16545716883</v>
      </c>
      <c r="I44" s="53">
        <v>283542.94633946812</v>
      </c>
      <c r="J44" s="53">
        <v>318115.5463394681</v>
      </c>
      <c r="K44" s="53">
        <v>331200.75545716879</v>
      </c>
      <c r="L44" s="53">
        <v>295624.06633946812</v>
      </c>
      <c r="M44" s="53">
        <v>637691.65717914759</v>
      </c>
      <c r="N44" s="12">
        <f>SUM(B44:M44)</f>
        <v>4071669.1371118892</v>
      </c>
      <c r="O44" s="6"/>
    </row>
    <row r="45" spans="1:44" hidden="1">
      <c r="A45" s="6" t="s">
        <v>51</v>
      </c>
      <c r="B45" s="22">
        <v>0</v>
      </c>
      <c r="C45" s="22">
        <v>-10000</v>
      </c>
      <c r="D45" s="22">
        <v>-10000</v>
      </c>
      <c r="E45" s="22">
        <v>-10000</v>
      </c>
      <c r="F45" s="22">
        <v>-10000</v>
      </c>
      <c r="G45" s="22">
        <v>-10000</v>
      </c>
      <c r="H45" s="22">
        <v>-5000</v>
      </c>
      <c r="I45" s="22">
        <v>-5000</v>
      </c>
      <c r="J45" s="22">
        <v>-5000</v>
      </c>
      <c r="K45" s="22">
        <v>-5000</v>
      </c>
      <c r="L45" s="22">
        <v>-5000</v>
      </c>
      <c r="M45" s="22">
        <v>-5000</v>
      </c>
      <c r="N45" s="22">
        <f>SUM(B45:M45)</f>
        <v>-80000</v>
      </c>
      <c r="O45" s="6"/>
    </row>
    <row r="46" spans="1:44">
      <c r="A46" s="1" t="s">
        <v>50</v>
      </c>
      <c r="B46" s="12">
        <f>SUM(B44:B45)</f>
        <v>275362</v>
      </c>
      <c r="C46" s="12">
        <f>SUM(C44:C45)</f>
        <v>272653</v>
      </c>
      <c r="D46" s="12">
        <f t="shared" ref="D46:N46" si="10">SUM(D44:D45)</f>
        <v>306557</v>
      </c>
      <c r="E46" s="12">
        <f t="shared" si="10"/>
        <v>449677</v>
      </c>
      <c r="F46" s="12">
        <f t="shared" si="10"/>
        <v>283116</v>
      </c>
      <c r="G46" s="12">
        <f t="shared" si="10"/>
        <v>247165</v>
      </c>
      <c r="H46" s="12">
        <f t="shared" si="10"/>
        <v>315964.16545716883</v>
      </c>
      <c r="I46" s="12">
        <f t="shared" si="10"/>
        <v>278542.94633946812</v>
      </c>
      <c r="J46" s="12">
        <f t="shared" si="10"/>
        <v>313115.5463394681</v>
      </c>
      <c r="K46" s="12">
        <f t="shared" si="10"/>
        <v>326200.75545716879</v>
      </c>
      <c r="L46" s="12">
        <f t="shared" si="10"/>
        <v>290624.06633946812</v>
      </c>
      <c r="M46" s="12">
        <f t="shared" si="10"/>
        <v>632691.65717914759</v>
      </c>
      <c r="N46" s="12">
        <f t="shared" si="10"/>
        <v>3991669.1371118892</v>
      </c>
      <c r="O46" s="6"/>
    </row>
    <row r="47" spans="1:44">
      <c r="B47" s="7"/>
      <c r="C47" s="7"/>
      <c r="D47" s="7"/>
      <c r="E47" s="7"/>
      <c r="F47" s="7"/>
      <c r="G47" s="7"/>
      <c r="H47" s="7"/>
      <c r="I47" s="7"/>
      <c r="J47" s="7"/>
      <c r="K47" s="6"/>
      <c r="L47" s="6"/>
      <c r="M47" s="6"/>
      <c r="N47" s="6"/>
      <c r="O47" s="6"/>
    </row>
    <row r="48" spans="1:44">
      <c r="A48" s="13" t="s">
        <v>52</v>
      </c>
      <c r="B48" s="19">
        <f t="shared" ref="B48:N48" si="11">+B20+B34+B42+B46</f>
        <v>1768948.3333333333</v>
      </c>
      <c r="C48" s="19">
        <f t="shared" si="11"/>
        <v>4442285.333333334</v>
      </c>
      <c r="D48" s="19">
        <f t="shared" si="11"/>
        <v>3296170.3333333335</v>
      </c>
      <c r="E48" s="19">
        <f t="shared" si="11"/>
        <v>3311258.3333333335</v>
      </c>
      <c r="F48" s="19">
        <f t="shared" si="11"/>
        <v>2590634.333333333</v>
      </c>
      <c r="G48" s="19">
        <f t="shared" si="11"/>
        <v>2341586.333333333</v>
      </c>
      <c r="H48" s="19">
        <f t="shared" si="11"/>
        <v>4286104.1381694749</v>
      </c>
      <c r="I48" s="19">
        <f t="shared" si="11"/>
        <v>2942677.8467976716</v>
      </c>
      <c r="J48" s="19">
        <f t="shared" si="11"/>
        <v>2850298.022130433</v>
      </c>
      <c r="K48" s="19">
        <f t="shared" si="11"/>
        <v>2769505.7272803225</v>
      </c>
      <c r="L48" s="19">
        <f t="shared" si="11"/>
        <v>2767912.4922030023</v>
      </c>
      <c r="M48" s="19">
        <f t="shared" si="11"/>
        <v>2439604.0126127731</v>
      </c>
      <c r="N48" s="19">
        <f t="shared" si="11"/>
        <v>35760972.939193673</v>
      </c>
      <c r="O48" s="6"/>
    </row>
    <row r="49" spans="1:17">
      <c r="B49" s="7"/>
      <c r="C49" s="7"/>
      <c r="D49" s="7"/>
      <c r="E49" s="7"/>
      <c r="F49" s="7"/>
      <c r="G49" s="7"/>
      <c r="H49" s="7"/>
      <c r="I49" s="7"/>
      <c r="J49" s="7"/>
      <c r="K49" s="6"/>
      <c r="L49" s="6"/>
      <c r="M49" s="6"/>
      <c r="N49" s="6"/>
      <c r="O49" s="6"/>
    </row>
    <row r="50" spans="1:17">
      <c r="A50" s="1" t="s">
        <v>53</v>
      </c>
      <c r="B50" s="12">
        <f t="shared" ref="B50:M50" si="12">+B13-B48</f>
        <v>-507699.33333333326</v>
      </c>
      <c r="C50" s="12">
        <f t="shared" si="12"/>
        <v>439569.66666666605</v>
      </c>
      <c r="D50" s="12">
        <f t="shared" si="12"/>
        <v>507414.66666666651</v>
      </c>
      <c r="E50" s="12">
        <f t="shared" si="12"/>
        <v>235158.66666666651</v>
      </c>
      <c r="F50" s="12">
        <f t="shared" si="12"/>
        <v>44751.666666666977</v>
      </c>
      <c r="G50" s="12">
        <f t="shared" si="12"/>
        <v>205590.66666666698</v>
      </c>
      <c r="H50" s="12">
        <f t="shared" si="12"/>
        <v>199639.09162974637</v>
      </c>
      <c r="I50" s="12">
        <f t="shared" si="12"/>
        <v>362880.59546278836</v>
      </c>
      <c r="J50" s="12">
        <f t="shared" si="12"/>
        <v>445916.27537100855</v>
      </c>
      <c r="K50" s="12">
        <f t="shared" si="12"/>
        <v>199559.11018969351</v>
      </c>
      <c r="L50" s="12">
        <f t="shared" si="12"/>
        <v>420347.78970141569</v>
      </c>
      <c r="M50" s="12">
        <f t="shared" si="12"/>
        <v>-856664.33360203309</v>
      </c>
      <c r="N50" s="12">
        <f>SUM(B50:M50)</f>
        <v>1696464.5287526194</v>
      </c>
      <c r="O50" s="6"/>
      <c r="P50" s="25"/>
    </row>
    <row r="51" spans="1:17" ht="7.5" customHeight="1">
      <c r="B51" s="7"/>
      <c r="C51" s="7"/>
      <c r="D51" s="7"/>
      <c r="E51" s="7"/>
      <c r="F51" s="7"/>
      <c r="G51" s="7"/>
      <c r="H51" s="7"/>
      <c r="I51" s="7"/>
      <c r="J51" s="7"/>
      <c r="K51" s="6"/>
      <c r="L51" s="6"/>
      <c r="M51" s="6"/>
      <c r="N51" s="6"/>
      <c r="O51" s="6"/>
    </row>
    <row r="52" spans="1:17">
      <c r="A52" s="1" t="s">
        <v>54</v>
      </c>
      <c r="B52" s="7"/>
      <c r="C52" s="7"/>
      <c r="D52" s="7"/>
      <c r="E52" s="7"/>
      <c r="F52" s="7"/>
      <c r="G52" s="7"/>
      <c r="H52" s="7"/>
      <c r="I52" s="7"/>
      <c r="J52" s="7"/>
      <c r="K52" s="6"/>
      <c r="L52" s="6"/>
      <c r="M52" s="6"/>
      <c r="N52" s="6"/>
      <c r="O52" s="6"/>
    </row>
    <row r="53" spans="1:17" s="6" customFormat="1">
      <c r="A53" s="6" t="s">
        <v>55</v>
      </c>
      <c r="B53" s="10">
        <v>24982</v>
      </c>
      <c r="C53" s="10">
        <v>358462</v>
      </c>
      <c r="D53" s="10">
        <v>50664</v>
      </c>
      <c r="E53" s="10">
        <v>150552</v>
      </c>
      <c r="F53" s="10">
        <v>810</v>
      </c>
      <c r="G53" s="10">
        <v>66952</v>
      </c>
      <c r="H53" s="23">
        <v>197000</v>
      </c>
      <c r="I53" s="10">
        <v>142000</v>
      </c>
      <c r="J53" s="10">
        <v>119000</v>
      </c>
      <c r="K53" s="10">
        <v>0</v>
      </c>
      <c r="L53" s="10">
        <v>0</v>
      </c>
      <c r="M53" s="10">
        <v>455000</v>
      </c>
      <c r="N53" s="10">
        <f>SUM(B53:M53)</f>
        <v>1565422</v>
      </c>
      <c r="P53" s="40"/>
    </row>
    <row r="54" spans="1:17" s="6" customFormat="1">
      <c r="A54" s="6" t="s">
        <v>56</v>
      </c>
      <c r="B54" s="10"/>
      <c r="C54" s="10"/>
      <c r="D54" s="47">
        <v>-520000</v>
      </c>
      <c r="E54" s="10"/>
      <c r="F54" s="10">
        <v>85000</v>
      </c>
      <c r="G54" s="10"/>
      <c r="H54" s="10"/>
      <c r="I54" s="10"/>
      <c r="J54" s="10"/>
      <c r="K54" s="10"/>
      <c r="L54" s="10"/>
      <c r="M54" s="10"/>
      <c r="N54" s="10">
        <f>SUM(B54:M54)</f>
        <v>-435000</v>
      </c>
      <c r="P54" s="7"/>
      <c r="Q54" s="6">
        <v>0</v>
      </c>
    </row>
    <row r="55" spans="1:17" s="6" customFormat="1">
      <c r="A55" s="6" t="s">
        <v>57</v>
      </c>
      <c r="B55" s="10">
        <f>50000+228312</f>
        <v>278312</v>
      </c>
      <c r="C55" s="10">
        <v>50000</v>
      </c>
      <c r="D55" s="10">
        <v>50000</v>
      </c>
      <c r="E55" s="10">
        <v>50000</v>
      </c>
      <c r="F55" s="10">
        <v>50000</v>
      </c>
      <c r="G55" s="10">
        <v>50000</v>
      </c>
      <c r="H55" s="10">
        <v>50000</v>
      </c>
      <c r="I55" s="10">
        <v>50000</v>
      </c>
      <c r="J55" s="10">
        <v>50000</v>
      </c>
      <c r="K55" s="10">
        <v>50000</v>
      </c>
      <c r="L55" s="10"/>
      <c r="M55" s="10"/>
      <c r="N55" s="10">
        <f>SUM(B55:M55)</f>
        <v>728312</v>
      </c>
      <c r="P55" s="7"/>
    </row>
    <row r="56" spans="1:17" s="6" customFormat="1">
      <c r="A56" s="37" t="s">
        <v>58</v>
      </c>
      <c r="B56" s="7">
        <v>-26129</v>
      </c>
      <c r="C56" s="7">
        <f>-44-9248</f>
        <v>-9292</v>
      </c>
      <c r="D56" s="7">
        <f>-15614+D11</f>
        <v>-9032</v>
      </c>
      <c r="E56" s="7">
        <f>-5908-140</f>
        <v>-6048</v>
      </c>
      <c r="F56" s="7">
        <f>-5524.48-161.91</f>
        <v>-5686.3899999999994</v>
      </c>
      <c r="G56" s="7">
        <v>-82140</v>
      </c>
      <c r="H56" s="7">
        <v>-8000</v>
      </c>
      <c r="I56" s="7">
        <v>-8000</v>
      </c>
      <c r="J56" s="7">
        <v>-9000</v>
      </c>
      <c r="K56" s="7">
        <v>-9000</v>
      </c>
      <c r="L56" s="7">
        <v>-9000</v>
      </c>
      <c r="M56" s="7">
        <v>-9000</v>
      </c>
      <c r="N56" s="7">
        <f>SUM(B56:M56)</f>
        <v>-190327.39</v>
      </c>
      <c r="P56" s="56"/>
    </row>
    <row r="57" spans="1:17" s="6" customFormat="1">
      <c r="A57" s="6" t="s">
        <v>59</v>
      </c>
      <c r="B57" s="22">
        <v>-262370</v>
      </c>
      <c r="C57" s="22">
        <v>-26645</v>
      </c>
      <c r="D57" s="22">
        <v>-47784</v>
      </c>
      <c r="E57" s="22">
        <v>155784</v>
      </c>
      <c r="F57" s="22">
        <f>4377.86-5778.42</f>
        <v>-1400.5600000000004</v>
      </c>
      <c r="G57" s="22">
        <v>11216</v>
      </c>
      <c r="H57" s="22">
        <v>-25000</v>
      </c>
      <c r="I57" s="22">
        <v>-25000</v>
      </c>
      <c r="J57" s="22">
        <v>-25000</v>
      </c>
      <c r="K57" s="22">
        <v>-25000</v>
      </c>
      <c r="L57" s="22">
        <v>-25000</v>
      </c>
      <c r="M57" s="22">
        <v>-25000</v>
      </c>
      <c r="N57" s="22">
        <f>SUM(B57:M57)</f>
        <v>-321199.56</v>
      </c>
      <c r="P57" s="7"/>
    </row>
    <row r="58" spans="1:17" s="6" customFormat="1">
      <c r="A58" s="13" t="s">
        <v>60</v>
      </c>
      <c r="B58" s="19">
        <f t="shared" ref="B58:N58" si="13">SUM(B53:B57)</f>
        <v>14795</v>
      </c>
      <c r="C58" s="19">
        <f t="shared" si="13"/>
        <v>372525</v>
      </c>
      <c r="D58" s="19">
        <f t="shared" si="13"/>
        <v>-476152</v>
      </c>
      <c r="E58" s="19">
        <f t="shared" si="13"/>
        <v>350288</v>
      </c>
      <c r="F58" s="19">
        <f t="shared" si="13"/>
        <v>128723.05</v>
      </c>
      <c r="G58" s="19">
        <f t="shared" si="13"/>
        <v>46028</v>
      </c>
      <c r="H58" s="19">
        <f t="shared" si="13"/>
        <v>214000</v>
      </c>
      <c r="I58" s="19">
        <f t="shared" si="13"/>
        <v>159000</v>
      </c>
      <c r="J58" s="19">
        <f t="shared" si="13"/>
        <v>135000</v>
      </c>
      <c r="K58" s="19">
        <f t="shared" si="13"/>
        <v>16000</v>
      </c>
      <c r="L58" s="19">
        <f t="shared" si="13"/>
        <v>-34000</v>
      </c>
      <c r="M58" s="19">
        <f t="shared" si="13"/>
        <v>421000</v>
      </c>
      <c r="N58" s="19">
        <f t="shared" si="13"/>
        <v>1347207.0499999998</v>
      </c>
    </row>
    <row r="59" spans="1:17">
      <c r="B59" s="7"/>
      <c r="C59" s="7"/>
      <c r="D59" s="7"/>
      <c r="E59" s="7"/>
      <c r="F59" s="7"/>
      <c r="G59" s="7"/>
      <c r="H59" s="7"/>
      <c r="I59" s="7"/>
      <c r="J59" s="7"/>
      <c r="K59" s="7"/>
      <c r="L59" s="7"/>
      <c r="M59" s="7"/>
      <c r="N59" s="7"/>
      <c r="O59" s="6"/>
    </row>
    <row r="60" spans="1:17">
      <c r="A60" s="1" t="s">
        <v>61</v>
      </c>
      <c r="B60" s="12">
        <v>10990495</v>
      </c>
      <c r="C60" s="7"/>
      <c r="D60" s="7"/>
      <c r="E60" s="7"/>
      <c r="F60" s="7"/>
      <c r="G60" s="7"/>
      <c r="H60" s="7" t="s">
        <v>38</v>
      </c>
      <c r="I60" s="7"/>
      <c r="J60" s="7"/>
      <c r="K60" s="6"/>
      <c r="L60" s="6"/>
      <c r="M60" s="6"/>
      <c r="N60" s="6"/>
      <c r="O60" s="6"/>
    </row>
    <row r="61" spans="1:17">
      <c r="A61" s="13" t="s">
        <v>62</v>
      </c>
      <c r="B61" s="19">
        <f t="shared" ref="B61:N61" si="14">+B58+B48</f>
        <v>1783743.3333333333</v>
      </c>
      <c r="C61" s="19">
        <f t="shared" si="14"/>
        <v>4814810.333333334</v>
      </c>
      <c r="D61" s="19">
        <f t="shared" si="14"/>
        <v>2820018.3333333335</v>
      </c>
      <c r="E61" s="19">
        <f t="shared" si="14"/>
        <v>3661546.3333333335</v>
      </c>
      <c r="F61" s="19">
        <f t="shared" si="14"/>
        <v>2719357.3833333328</v>
      </c>
      <c r="G61" s="19">
        <f t="shared" si="14"/>
        <v>2387614.333333333</v>
      </c>
      <c r="H61" s="19">
        <f t="shared" si="14"/>
        <v>4500104.1381694749</v>
      </c>
      <c r="I61" s="19">
        <f t="shared" si="14"/>
        <v>3101677.8467976716</v>
      </c>
      <c r="J61" s="19">
        <f t="shared" si="14"/>
        <v>2985298.022130433</v>
      </c>
      <c r="K61" s="19">
        <f t="shared" si="14"/>
        <v>2785505.7272803225</v>
      </c>
      <c r="L61" s="19">
        <f t="shared" si="14"/>
        <v>2733912.4922030023</v>
      </c>
      <c r="M61" s="19">
        <f t="shared" si="14"/>
        <v>2860604.0126127731</v>
      </c>
      <c r="N61" s="19">
        <f t="shared" si="14"/>
        <v>37108179.98919367</v>
      </c>
      <c r="O61" s="6"/>
    </row>
    <row r="62" spans="1:17" ht="13.5" thickBot="1">
      <c r="A62" s="13" t="s">
        <v>63</v>
      </c>
      <c r="B62" s="30">
        <f t="shared" ref="B62:N62" si="15">+B13-B61</f>
        <v>-522494.33333333326</v>
      </c>
      <c r="C62" s="30">
        <f t="shared" si="15"/>
        <v>67044.666666666046</v>
      </c>
      <c r="D62" s="30">
        <f t="shared" si="15"/>
        <v>983566.66666666651</v>
      </c>
      <c r="E62" s="30">
        <f t="shared" si="15"/>
        <v>-115129.33333333349</v>
      </c>
      <c r="F62" s="30">
        <f t="shared" si="15"/>
        <v>-83971.383333332837</v>
      </c>
      <c r="G62" s="30">
        <f t="shared" si="15"/>
        <v>159562.66666666698</v>
      </c>
      <c r="H62" s="14">
        <f t="shared" si="15"/>
        <v>-14360.90837025363</v>
      </c>
      <c r="I62" s="14">
        <f t="shared" si="15"/>
        <v>203880.59546278836</v>
      </c>
      <c r="J62" s="14">
        <f t="shared" si="15"/>
        <v>310916.27537100855</v>
      </c>
      <c r="K62" s="14">
        <f t="shared" si="15"/>
        <v>183559.11018969351</v>
      </c>
      <c r="L62" s="14">
        <f t="shared" si="15"/>
        <v>454347.78970141569</v>
      </c>
      <c r="M62" s="14">
        <f t="shared" si="15"/>
        <v>-1277664.3336020331</v>
      </c>
      <c r="N62" s="14">
        <f t="shared" si="15"/>
        <v>734322.77875262499</v>
      </c>
      <c r="O62" s="6"/>
      <c r="P62" s="25"/>
    </row>
    <row r="63" spans="1:17" s="6" customFormat="1" ht="13.5" thickTop="1">
      <c r="A63" s="13" t="s">
        <v>64</v>
      </c>
      <c r="B63" s="32">
        <f>+B62</f>
        <v>-522494.33333333326</v>
      </c>
      <c r="C63" s="32">
        <f t="shared" ref="C63:M63" si="16">B63+C62</f>
        <v>-455449.66666666721</v>
      </c>
      <c r="D63" s="32">
        <f t="shared" si="16"/>
        <v>528116.9999999993</v>
      </c>
      <c r="E63" s="32">
        <f t="shared" si="16"/>
        <v>412987.66666666581</v>
      </c>
      <c r="F63" s="32">
        <f t="shared" si="16"/>
        <v>329016.28333333298</v>
      </c>
      <c r="G63" s="32">
        <f t="shared" si="16"/>
        <v>488578.94999999995</v>
      </c>
      <c r="H63" s="12">
        <f t="shared" si="16"/>
        <v>474218.04162974632</v>
      </c>
      <c r="I63" s="12">
        <f t="shared" si="16"/>
        <v>678098.63709253469</v>
      </c>
      <c r="J63" s="12">
        <f t="shared" si="16"/>
        <v>989014.91246354324</v>
      </c>
      <c r="K63" s="12">
        <f t="shared" si="16"/>
        <v>1172574.0226532368</v>
      </c>
      <c r="L63" s="12">
        <f t="shared" si="16"/>
        <v>1626921.8123546524</v>
      </c>
      <c r="M63" s="12">
        <f t="shared" si="16"/>
        <v>349257.47875261935</v>
      </c>
      <c r="N63" s="12"/>
    </row>
    <row r="64" spans="1:17">
      <c r="A64" s="13" t="s">
        <v>65</v>
      </c>
      <c r="B64" s="12">
        <f t="shared" ref="B64:M64" si="17">+$B$60+B63</f>
        <v>10468000.666666666</v>
      </c>
      <c r="C64" s="12">
        <f t="shared" si="17"/>
        <v>10535045.333333332</v>
      </c>
      <c r="D64" s="12">
        <f t="shared" si="17"/>
        <v>11518612</v>
      </c>
      <c r="E64" s="12">
        <f t="shared" si="17"/>
        <v>11403482.666666666</v>
      </c>
      <c r="F64" s="12">
        <f t="shared" si="17"/>
        <v>11319511.283333333</v>
      </c>
      <c r="G64" s="12">
        <f t="shared" si="17"/>
        <v>11479073.949999999</v>
      </c>
      <c r="H64" s="12">
        <f t="shared" si="17"/>
        <v>11464713.041629747</v>
      </c>
      <c r="I64" s="12">
        <f t="shared" si="17"/>
        <v>11668593.637092534</v>
      </c>
      <c r="J64" s="12">
        <f t="shared" si="17"/>
        <v>11979509.912463544</v>
      </c>
      <c r="K64" s="12">
        <f t="shared" si="17"/>
        <v>12163069.022653237</v>
      </c>
      <c r="L64" s="12">
        <f t="shared" si="17"/>
        <v>12617416.812354652</v>
      </c>
      <c r="M64" s="12">
        <f t="shared" si="17"/>
        <v>11339752.478752619</v>
      </c>
      <c r="N64" s="12"/>
      <c r="O64" s="6"/>
      <c r="P64" s="29"/>
    </row>
    <row r="65" spans="1:16">
      <c r="A65" s="6"/>
      <c r="B65" s="7"/>
      <c r="C65" s="7"/>
      <c r="D65" s="7"/>
      <c r="E65" s="7"/>
      <c r="F65" s="7"/>
      <c r="G65" s="7"/>
      <c r="H65" s="7"/>
      <c r="I65" s="7"/>
      <c r="J65" s="7"/>
      <c r="K65" s="6"/>
      <c r="L65" s="6"/>
      <c r="M65" s="6"/>
      <c r="N65" s="6"/>
      <c r="O65" s="6"/>
    </row>
    <row r="66" spans="1:16" s="6" customFormat="1">
      <c r="A66" s="17" t="s">
        <v>79</v>
      </c>
      <c r="B66" s="18"/>
      <c r="C66" s="18"/>
      <c r="D66" s="18"/>
      <c r="E66" s="18"/>
      <c r="F66" s="18"/>
      <c r="G66" s="18"/>
      <c r="H66" s="18"/>
      <c r="I66" s="18"/>
      <c r="J66" s="18"/>
      <c r="K66" s="18"/>
      <c r="L66" s="18"/>
      <c r="M66" s="18"/>
      <c r="N66" s="18"/>
    </row>
    <row r="67" spans="1:16" ht="13.5" thickBot="1">
      <c r="A67" s="13" t="s">
        <v>67</v>
      </c>
      <c r="B67" s="30">
        <v>-923707.19930042047</v>
      </c>
      <c r="C67" s="30">
        <v>408098.02642089035</v>
      </c>
      <c r="D67" s="30">
        <v>1071842.6402638261</v>
      </c>
      <c r="E67" s="30">
        <v>445993.46125483606</v>
      </c>
      <c r="F67" s="30">
        <v>-265749.60705118906</v>
      </c>
      <c r="G67" s="30">
        <v>-389702.61557580205</v>
      </c>
      <c r="H67" s="30">
        <v>-14360.90837025363</v>
      </c>
      <c r="I67" s="30">
        <v>203880.59546278836</v>
      </c>
      <c r="J67" s="30">
        <v>310916.27537100855</v>
      </c>
      <c r="K67" s="30">
        <v>183559.11018969351</v>
      </c>
      <c r="L67" s="30">
        <v>454347.78970141569</v>
      </c>
      <c r="M67" s="30">
        <v>-1277664.3336020331</v>
      </c>
      <c r="N67" s="16"/>
      <c r="O67" s="6"/>
    </row>
    <row r="68" spans="1:16" ht="13.5" thickTop="1">
      <c r="A68" s="13" t="s">
        <v>64</v>
      </c>
      <c r="B68" s="32">
        <v>-923707.19930042047</v>
      </c>
      <c r="C68" s="32">
        <v>-515609.17287953012</v>
      </c>
      <c r="D68" s="32">
        <v>556233.467384296</v>
      </c>
      <c r="E68" s="32">
        <v>1002226.9286391321</v>
      </c>
      <c r="F68" s="32">
        <v>736477.32158794301</v>
      </c>
      <c r="G68" s="32">
        <v>346774.70601214096</v>
      </c>
      <c r="H68" s="32">
        <v>332413.79764188733</v>
      </c>
      <c r="I68" s="32">
        <v>536294.39310467569</v>
      </c>
      <c r="J68" s="32">
        <v>847210.66847568424</v>
      </c>
      <c r="K68" s="32">
        <v>1030769.7786653778</v>
      </c>
      <c r="L68" s="32">
        <v>1485117.5683667934</v>
      </c>
      <c r="M68" s="32">
        <v>207453.23476476036</v>
      </c>
      <c r="N68" s="16"/>
      <c r="O68" s="6"/>
    </row>
    <row r="69" spans="1:16">
      <c r="A69" s="13" t="s">
        <v>65</v>
      </c>
      <c r="B69" s="12">
        <v>10066787.80069958</v>
      </c>
      <c r="C69" s="12">
        <v>10474885.82712047</v>
      </c>
      <c r="D69" s="12">
        <v>11546728.467384296</v>
      </c>
      <c r="E69" s="12">
        <v>11992721.928639133</v>
      </c>
      <c r="F69" s="12">
        <v>11726972.321587943</v>
      </c>
      <c r="G69" s="12">
        <v>11337269.706012141</v>
      </c>
      <c r="H69" s="12">
        <v>11322908.797641888</v>
      </c>
      <c r="I69" s="12">
        <v>11526789.393104676</v>
      </c>
      <c r="J69" s="12">
        <v>11837705.668475684</v>
      </c>
      <c r="K69" s="12">
        <v>12021264.778665379</v>
      </c>
      <c r="L69" s="12">
        <v>12475612.568366794</v>
      </c>
      <c r="M69" s="12">
        <v>11197948.23476476</v>
      </c>
      <c r="N69" s="12"/>
      <c r="O69" s="6"/>
    </row>
    <row r="70" spans="1:16">
      <c r="A70" s="6"/>
      <c r="B70" s="6"/>
      <c r="C70" s="6"/>
      <c r="D70" s="6"/>
      <c r="E70" s="6"/>
      <c r="F70" s="6"/>
      <c r="H70" s="6"/>
      <c r="I70" s="6"/>
      <c r="J70" s="6"/>
      <c r="K70" s="6"/>
      <c r="L70" s="6"/>
      <c r="M70" s="6"/>
      <c r="N70" s="6"/>
      <c r="O70" s="6"/>
    </row>
    <row r="71" spans="1:16">
      <c r="A71" s="24" t="s">
        <v>68</v>
      </c>
      <c r="B71" s="18"/>
      <c r="C71" s="18"/>
      <c r="D71" s="18"/>
      <c r="E71" s="18"/>
      <c r="F71" s="18"/>
      <c r="G71" s="18"/>
      <c r="H71" s="18"/>
      <c r="I71" s="18"/>
      <c r="J71" s="18"/>
      <c r="K71" s="18"/>
      <c r="L71" s="18"/>
      <c r="M71" s="18"/>
      <c r="N71" s="18"/>
      <c r="O71" s="6"/>
    </row>
    <row r="72" spans="1:16">
      <c r="A72" s="13" t="s">
        <v>63</v>
      </c>
      <c r="B72" s="16">
        <f t="shared" ref="B72:N74" si="18">+B62-B67</f>
        <v>401212.86596708721</v>
      </c>
      <c r="C72" s="16">
        <f t="shared" si="18"/>
        <v>-341053.35975422431</v>
      </c>
      <c r="D72" s="16">
        <f t="shared" si="18"/>
        <v>-88275.973597159609</v>
      </c>
      <c r="E72" s="16">
        <f t="shared" si="18"/>
        <v>-561122.79458816955</v>
      </c>
      <c r="F72" s="16">
        <f t="shared" si="18"/>
        <v>181778.22371785622</v>
      </c>
      <c r="G72" s="16">
        <f t="shared" si="18"/>
        <v>549265.28224246902</v>
      </c>
      <c r="H72" s="16">
        <f t="shared" si="18"/>
        <v>0</v>
      </c>
      <c r="I72" s="16">
        <f t="shared" si="18"/>
        <v>0</v>
      </c>
      <c r="J72" s="16">
        <f t="shared" si="18"/>
        <v>0</v>
      </c>
      <c r="K72" s="16">
        <f t="shared" si="18"/>
        <v>0</v>
      </c>
      <c r="L72" s="16">
        <f t="shared" si="18"/>
        <v>0</v>
      </c>
      <c r="M72" s="16">
        <f t="shared" si="18"/>
        <v>0</v>
      </c>
      <c r="N72" s="6"/>
      <c r="O72" s="6"/>
      <c r="P72" s="16">
        <f>+N62-N67</f>
        <v>734322.77875262499</v>
      </c>
    </row>
    <row r="73" spans="1:16" s="6" customFormat="1">
      <c r="A73" s="13" t="s">
        <v>64</v>
      </c>
      <c r="B73" s="16">
        <f t="shared" si="18"/>
        <v>401212.86596708721</v>
      </c>
      <c r="C73" s="16">
        <f t="shared" si="18"/>
        <v>60159.506212862907</v>
      </c>
      <c r="D73" s="16">
        <f t="shared" si="18"/>
        <v>-28116.467384296702</v>
      </c>
      <c r="E73" s="16">
        <f t="shared" si="18"/>
        <v>-589239.26197246625</v>
      </c>
      <c r="F73" s="16">
        <f t="shared" si="18"/>
        <v>-407461.03825461003</v>
      </c>
      <c r="G73" s="16">
        <f t="shared" si="18"/>
        <v>141804.24398785899</v>
      </c>
      <c r="H73" s="16">
        <f t="shared" si="18"/>
        <v>141804.24398785899</v>
      </c>
      <c r="I73" s="16">
        <f t="shared" si="18"/>
        <v>141804.24398785899</v>
      </c>
      <c r="J73" s="16">
        <f t="shared" si="18"/>
        <v>141804.24398785899</v>
      </c>
      <c r="K73" s="16">
        <f t="shared" si="18"/>
        <v>141804.24398785899</v>
      </c>
      <c r="L73" s="16">
        <f t="shared" si="18"/>
        <v>141804.24398785899</v>
      </c>
      <c r="M73" s="16">
        <f t="shared" si="18"/>
        <v>141804.24398785899</v>
      </c>
      <c r="N73" s="16">
        <f t="shared" si="18"/>
        <v>0</v>
      </c>
    </row>
    <row r="74" spans="1:16">
      <c r="A74" s="1" t="s">
        <v>65</v>
      </c>
      <c r="B74" s="16">
        <f t="shared" si="18"/>
        <v>401212.86596708558</v>
      </c>
      <c r="C74" s="16">
        <f t="shared" si="18"/>
        <v>60159.506212862208</v>
      </c>
      <c r="D74" s="16">
        <f t="shared" si="18"/>
        <v>-28116.467384295538</v>
      </c>
      <c r="E74" s="16">
        <f t="shared" si="18"/>
        <v>-589239.26197246648</v>
      </c>
      <c r="F74" s="16">
        <f t="shared" si="18"/>
        <v>-407461.03825460933</v>
      </c>
      <c r="G74" s="16">
        <f t="shared" si="18"/>
        <v>141804.2439878583</v>
      </c>
      <c r="H74" s="16">
        <f t="shared" si="18"/>
        <v>141804.2439878583</v>
      </c>
      <c r="I74" s="16">
        <f t="shared" si="18"/>
        <v>141804.2439878583</v>
      </c>
      <c r="J74" s="16">
        <f t="shared" si="18"/>
        <v>141804.24398786016</v>
      </c>
      <c r="K74" s="16">
        <f t="shared" si="18"/>
        <v>141804.2439878583</v>
      </c>
      <c r="L74" s="16">
        <f t="shared" si="18"/>
        <v>141804.2439878583</v>
      </c>
      <c r="M74" s="16">
        <f t="shared" si="18"/>
        <v>141804.2439878583</v>
      </c>
      <c r="N74" s="16"/>
      <c r="O74" s="6"/>
    </row>
    <row r="75" spans="1:16">
      <c r="B75" s="6"/>
      <c r="C75" s="6"/>
      <c r="D75" s="6"/>
      <c r="E75" s="6"/>
      <c r="F75" s="6"/>
      <c r="H75" s="6"/>
      <c r="I75" s="6"/>
      <c r="J75" s="6"/>
      <c r="K75" s="6"/>
      <c r="L75" s="6"/>
      <c r="M75" s="6"/>
      <c r="N75" s="6"/>
    </row>
    <row r="76" spans="1:16">
      <c r="A76" s="1"/>
      <c r="B76" s="4"/>
      <c r="C76" s="8"/>
      <c r="D76" s="8"/>
      <c r="E76" s="8"/>
      <c r="F76" s="8"/>
      <c r="H76" s="20"/>
      <c r="J76" s="6"/>
      <c r="K76" s="6"/>
    </row>
    <row r="77" spans="1:16">
      <c r="A77" s="1"/>
      <c r="B77" s="4"/>
      <c r="C77" s="8"/>
      <c r="D77" s="8"/>
      <c r="E77" s="8"/>
      <c r="F77" s="8"/>
      <c r="H77" s="20"/>
      <c r="J77" s="6"/>
    </row>
    <row r="78" spans="1:16">
      <c r="A78" s="1"/>
      <c r="B78" s="4"/>
      <c r="D78" s="8"/>
      <c r="E78" s="8"/>
      <c r="F78" s="8"/>
      <c r="H78" s="61"/>
      <c r="J78" s="6"/>
    </row>
    <row r="79" spans="1:16">
      <c r="E79" s="6"/>
      <c r="H79" s="20"/>
      <c r="J79" s="6"/>
      <c r="N79" s="25"/>
    </row>
    <row r="80" spans="1:16">
      <c r="A80" t="s">
        <v>69</v>
      </c>
      <c r="B80" t="s">
        <v>69</v>
      </c>
      <c r="C80" t="s">
        <v>69</v>
      </c>
      <c r="D80" t="s">
        <v>69</v>
      </c>
      <c r="E80" s="6" t="s">
        <v>69</v>
      </c>
      <c r="F80" t="s">
        <v>69</v>
      </c>
      <c r="G80" s="6" t="s">
        <v>69</v>
      </c>
      <c r="H80" t="s">
        <v>69</v>
      </c>
      <c r="I80" t="s">
        <v>69</v>
      </c>
      <c r="J80" s="6" t="s">
        <v>69</v>
      </c>
      <c r="K80" t="s">
        <v>69</v>
      </c>
      <c r="L80" t="s">
        <v>69</v>
      </c>
      <c r="M80" t="s">
        <v>69</v>
      </c>
      <c r="N80" t="s">
        <v>69</v>
      </c>
    </row>
    <row r="81" spans="1:14">
      <c r="E81" s="6"/>
      <c r="J81" s="6"/>
    </row>
    <row r="82" spans="1:14">
      <c r="A82" s="33" t="s">
        <v>70</v>
      </c>
      <c r="B82" s="47">
        <v>52000</v>
      </c>
      <c r="C82" s="47">
        <v>20000</v>
      </c>
      <c r="D82" s="47">
        <v>10000</v>
      </c>
      <c r="E82" s="47">
        <v>44355</v>
      </c>
      <c r="F82" s="47">
        <v>186840</v>
      </c>
      <c r="G82" s="10">
        <v>202000</v>
      </c>
      <c r="H82" s="54">
        <v>197000</v>
      </c>
      <c r="I82" s="47">
        <v>142000</v>
      </c>
      <c r="J82" s="47">
        <v>119000</v>
      </c>
      <c r="K82" s="47">
        <v>0</v>
      </c>
      <c r="L82" s="47">
        <v>0</v>
      </c>
      <c r="M82" s="47">
        <v>455000</v>
      </c>
      <c r="N82" s="7">
        <v>1428195</v>
      </c>
    </row>
    <row r="83" spans="1:14">
      <c r="A83" s="33" t="s">
        <v>71</v>
      </c>
      <c r="B83" s="2">
        <f>+B82</f>
        <v>52000</v>
      </c>
      <c r="C83" s="2">
        <f>+B83+C82</f>
        <v>72000</v>
      </c>
      <c r="D83" s="2">
        <f t="shared" ref="D83:M83" si="19">+C83+D82</f>
        <v>82000</v>
      </c>
      <c r="E83" s="7">
        <f t="shared" si="19"/>
        <v>126355</v>
      </c>
      <c r="F83" s="2">
        <f t="shared" si="19"/>
        <v>313195</v>
      </c>
      <c r="G83" s="7">
        <f t="shared" si="19"/>
        <v>515195</v>
      </c>
      <c r="H83" s="2">
        <f t="shared" si="19"/>
        <v>712195</v>
      </c>
      <c r="I83" s="2">
        <f t="shared" si="19"/>
        <v>854195</v>
      </c>
      <c r="J83" s="7">
        <f t="shared" si="19"/>
        <v>973195</v>
      </c>
      <c r="K83" s="2">
        <f t="shared" si="19"/>
        <v>973195</v>
      </c>
      <c r="L83" s="2">
        <f t="shared" si="19"/>
        <v>973195</v>
      </c>
      <c r="M83" s="2">
        <f t="shared" si="19"/>
        <v>1428195</v>
      </c>
    </row>
    <row r="84" spans="1:14">
      <c r="A84" s="33" t="s">
        <v>72</v>
      </c>
      <c r="B84" s="7">
        <f>+B53</f>
        <v>24982</v>
      </c>
      <c r="C84" s="7">
        <f>SUM($B53:C53)</f>
        <v>383444</v>
      </c>
      <c r="D84" s="7">
        <f>SUM($B53:D53)</f>
        <v>434108</v>
      </c>
      <c r="E84" s="7">
        <f>SUM($B53:E53)</f>
        <v>584660</v>
      </c>
      <c r="F84" s="7">
        <f>SUM($B53:F53)</f>
        <v>585470</v>
      </c>
      <c r="G84" s="7">
        <f>SUM($B53:G53)</f>
        <v>652422</v>
      </c>
      <c r="H84" s="7">
        <f>SUM(B53:H53)</f>
        <v>849422</v>
      </c>
      <c r="I84" s="7">
        <f>SUM(B53:I53)</f>
        <v>991422</v>
      </c>
      <c r="J84" s="7">
        <f>SUM(B53:J53)</f>
        <v>1110422</v>
      </c>
      <c r="K84" s="7">
        <f>SUM(B53:K53)</f>
        <v>1110422</v>
      </c>
      <c r="L84" s="7">
        <f>SUM(B53:L53)</f>
        <v>1110422</v>
      </c>
      <c r="M84" s="7">
        <f>SUM(B53:M53)</f>
        <v>1565422</v>
      </c>
    </row>
    <row r="85" spans="1:14">
      <c r="A85" s="33" t="s">
        <v>73</v>
      </c>
      <c r="B85" s="7">
        <f t="shared" ref="B85:G85" si="20">+B83-B84</f>
        <v>27018</v>
      </c>
      <c r="C85" s="7">
        <f t="shared" si="20"/>
        <v>-311444</v>
      </c>
      <c r="D85" s="7">
        <f t="shared" si="20"/>
        <v>-352108</v>
      </c>
      <c r="E85" s="7">
        <f t="shared" si="20"/>
        <v>-458305</v>
      </c>
      <c r="F85" s="7">
        <f t="shared" si="20"/>
        <v>-272275</v>
      </c>
      <c r="G85" s="7">
        <f t="shared" si="20"/>
        <v>-137227</v>
      </c>
      <c r="H85" s="7">
        <f t="shared" ref="H85:M85" si="21">+H83-H84</f>
        <v>-137227</v>
      </c>
      <c r="I85" s="7">
        <f t="shared" si="21"/>
        <v>-137227</v>
      </c>
      <c r="J85" s="7">
        <f t="shared" si="21"/>
        <v>-137227</v>
      </c>
      <c r="K85" s="7">
        <f t="shared" si="21"/>
        <v>-137227</v>
      </c>
      <c r="L85" s="7">
        <f t="shared" si="21"/>
        <v>-137227</v>
      </c>
      <c r="M85" s="7">
        <f t="shared" si="21"/>
        <v>-137227</v>
      </c>
    </row>
    <row r="86" spans="1:14">
      <c r="J86" s="6"/>
      <c r="K86" s="6"/>
    </row>
    <row r="87" spans="1:14">
      <c r="A87" t="s">
        <v>74</v>
      </c>
      <c r="B87" s="35">
        <f>-B56-B57</f>
        <v>288499</v>
      </c>
      <c r="C87" s="35">
        <f t="shared" ref="C87:N87" si="22">-C56-C57</f>
        <v>35937</v>
      </c>
      <c r="D87" s="35">
        <f t="shared" si="22"/>
        <v>56816</v>
      </c>
      <c r="E87" s="35">
        <f t="shared" si="22"/>
        <v>-149736</v>
      </c>
      <c r="F87" s="35">
        <f t="shared" si="22"/>
        <v>7086.95</v>
      </c>
      <c r="G87" s="40">
        <f t="shared" si="22"/>
        <v>70924</v>
      </c>
      <c r="H87" s="35">
        <f t="shared" si="22"/>
        <v>33000</v>
      </c>
      <c r="I87" s="35">
        <f t="shared" si="22"/>
        <v>33000</v>
      </c>
      <c r="J87" s="35">
        <f t="shared" si="22"/>
        <v>34000</v>
      </c>
      <c r="K87" s="40">
        <f t="shared" si="22"/>
        <v>34000</v>
      </c>
      <c r="L87" s="35">
        <f t="shared" si="22"/>
        <v>34000</v>
      </c>
      <c r="M87" s="35">
        <f t="shared" si="22"/>
        <v>34000</v>
      </c>
      <c r="N87" s="35">
        <f t="shared" si="22"/>
        <v>511526.95</v>
      </c>
    </row>
    <row r="88" spans="1:14">
      <c r="C88" s="35">
        <f>+B87+C87</f>
        <v>324436</v>
      </c>
      <c r="D88" s="35">
        <f>+C88+D87</f>
        <v>381252</v>
      </c>
      <c r="E88" s="35">
        <f t="shared" ref="E88:M88" si="23">+D88+E87</f>
        <v>231516</v>
      </c>
      <c r="F88" s="35">
        <f t="shared" si="23"/>
        <v>238602.95</v>
      </c>
      <c r="G88" s="40">
        <f t="shared" si="23"/>
        <v>309526.95</v>
      </c>
      <c r="H88" s="35">
        <f t="shared" si="23"/>
        <v>342526.95</v>
      </c>
      <c r="I88" s="40">
        <f t="shared" si="23"/>
        <v>375526.95</v>
      </c>
      <c r="J88" s="40">
        <f t="shared" si="23"/>
        <v>409526.95</v>
      </c>
      <c r="K88" s="40">
        <f t="shared" si="23"/>
        <v>443526.95</v>
      </c>
      <c r="L88" s="35">
        <f t="shared" si="23"/>
        <v>477526.95</v>
      </c>
      <c r="M88" s="35">
        <f t="shared" si="23"/>
        <v>511526.95</v>
      </c>
    </row>
    <row r="89" spans="1:14">
      <c r="B89" s="6"/>
      <c r="C89" s="6"/>
      <c r="D89" s="6"/>
      <c r="E89" s="6"/>
    </row>
    <row r="90" spans="1:14">
      <c r="B90" s="6"/>
      <c r="C90" s="6"/>
      <c r="D90" s="21"/>
      <c r="E90" s="6"/>
    </row>
    <row r="91" spans="1:14">
      <c r="B91" s="6"/>
      <c r="C91" s="6"/>
      <c r="D91" s="6"/>
      <c r="E91" s="6"/>
    </row>
    <row r="92" spans="1:14">
      <c r="B92" s="6"/>
      <c r="C92" s="6"/>
      <c r="D92" s="6"/>
      <c r="E92" s="6"/>
    </row>
    <row r="93" spans="1:14">
      <c r="B93" s="6"/>
      <c r="C93" s="6"/>
      <c r="D93" s="6"/>
      <c r="E93" s="6"/>
    </row>
    <row r="94" spans="1:14">
      <c r="B94" s="6"/>
      <c r="C94" s="6"/>
      <c r="D94" s="34"/>
      <c r="E94" s="6"/>
    </row>
    <row r="95" spans="1:14">
      <c r="B95" s="6"/>
      <c r="C95" s="6"/>
      <c r="D95" s="6"/>
      <c r="E95" s="6"/>
    </row>
    <row r="96" spans="1:14">
      <c r="B96" s="6"/>
      <c r="C96" s="6"/>
      <c r="D96" s="6"/>
      <c r="E96" s="6"/>
    </row>
  </sheetData>
  <pageMargins left="0.28000000000000003" right="0.25" top="0.99" bottom="0.75" header="0.63" footer="0.23"/>
  <pageSetup scale="67" orientation="landscape" r:id="rId1"/>
  <headerFooter alignWithMargins="0">
    <oddHeader xml:space="preserve">&amp;C&amp;"Arial,Bold"&amp;11 49ER SHOPS, INC.
&amp;UFY2016/2017 OPERATIONAL CASH FLOW </oddHeader>
    <oddFooter>&amp;CCash Flow - FY2016/2017
December 2016</oddFooter>
  </headerFooter>
  <legacy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FF00"/>
    <pageSetUpPr fitToPage="1"/>
  </sheetPr>
  <dimension ref="A1:AR96"/>
  <sheetViews>
    <sheetView showGridLines="0" workbookViewId="0">
      <pane xSplit="1" ySplit="3" topLeftCell="B35" activePane="bottomRight" state="frozen"/>
      <selection pane="topRight" activeCell="B72" sqref="B72"/>
      <selection pane="bottomLeft" activeCell="B72" sqref="B72"/>
      <selection pane="bottomRight" activeCell="C59" sqref="C59"/>
    </sheetView>
  </sheetViews>
  <sheetFormatPr defaultRowHeight="12.75"/>
  <cols>
    <col min="1" max="1" width="35.42578125" customWidth="1"/>
    <col min="2" max="2" width="14" customWidth="1"/>
    <col min="3" max="3" width="12.5703125" customWidth="1"/>
    <col min="4" max="4" width="12.140625" customWidth="1"/>
    <col min="5" max="5" width="13.5703125" customWidth="1"/>
    <col min="6" max="6" width="12.85546875" customWidth="1"/>
    <col min="7" max="7" width="12.5703125" style="6" customWidth="1"/>
    <col min="8" max="9" width="12.85546875" customWidth="1"/>
    <col min="10" max="11" width="12.140625" customWidth="1"/>
    <col min="12" max="13" width="12.85546875" customWidth="1"/>
    <col min="14" max="14" width="12.85546875" bestFit="1" customWidth="1"/>
    <col min="15" max="15" width="10.140625" bestFit="1" customWidth="1"/>
    <col min="16" max="16" width="13.140625" bestFit="1" customWidth="1"/>
  </cols>
  <sheetData>
    <row r="1" spans="1:15" ht="13.5" thickBot="1">
      <c r="A1" s="46" t="s">
        <v>86</v>
      </c>
      <c r="E1" s="6"/>
      <c r="F1" s="6"/>
      <c r="J1" s="6"/>
      <c r="K1" s="6"/>
      <c r="N1" s="3"/>
    </row>
    <row r="2" spans="1:15">
      <c r="B2" s="45" t="s">
        <v>24</v>
      </c>
      <c r="C2" s="45" t="s">
        <v>24</v>
      </c>
      <c r="D2" s="45" t="s">
        <v>24</v>
      </c>
      <c r="E2" s="45" t="s">
        <v>24</v>
      </c>
      <c r="F2" s="45" t="s">
        <v>24</v>
      </c>
      <c r="G2" s="45" t="s">
        <v>24</v>
      </c>
      <c r="H2" s="45" t="s">
        <v>24</v>
      </c>
      <c r="I2" s="45" t="s">
        <v>76</v>
      </c>
      <c r="J2" s="45" t="s">
        <v>76</v>
      </c>
      <c r="K2" s="45" t="s">
        <v>76</v>
      </c>
      <c r="L2" s="45" t="s">
        <v>76</v>
      </c>
      <c r="M2" s="45" t="s">
        <v>76</v>
      </c>
      <c r="N2" s="55" t="s">
        <v>25</v>
      </c>
    </row>
    <row r="3" spans="1:15" s="5" customFormat="1">
      <c r="B3" s="11">
        <v>42553</v>
      </c>
      <c r="C3" s="11">
        <v>42584</v>
      </c>
      <c r="D3" s="11">
        <v>42615</v>
      </c>
      <c r="E3" s="11">
        <v>42645</v>
      </c>
      <c r="F3" s="11">
        <v>42676</v>
      </c>
      <c r="G3" s="11">
        <v>42706</v>
      </c>
      <c r="H3" s="11">
        <v>42737</v>
      </c>
      <c r="I3" s="11">
        <v>42768</v>
      </c>
      <c r="J3" s="11">
        <v>42796</v>
      </c>
      <c r="K3" s="11">
        <v>42827</v>
      </c>
      <c r="L3" s="11">
        <v>42857</v>
      </c>
      <c r="M3" s="11">
        <v>42888</v>
      </c>
      <c r="N3" s="57" t="s">
        <v>77</v>
      </c>
    </row>
    <row r="4" spans="1:15" hidden="1">
      <c r="A4" s="1" t="s">
        <v>27</v>
      </c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>
        <f>SUM(B4:M4)</f>
        <v>0</v>
      </c>
      <c r="O4" s="6"/>
    </row>
    <row r="5" spans="1:15" s="6" customFormat="1" hidden="1">
      <c r="A5" s="6" t="s">
        <v>28</v>
      </c>
      <c r="B5" s="53">
        <v>1199482</v>
      </c>
      <c r="C5" s="53">
        <v>4828670</v>
      </c>
      <c r="D5" s="53">
        <v>3749028</v>
      </c>
      <c r="E5" s="53">
        <v>3546355</v>
      </c>
      <c r="F5" s="53">
        <v>2585168</v>
      </c>
      <c r="G5" s="53">
        <v>2443265</v>
      </c>
      <c r="H5" s="53">
        <v>3426560</v>
      </c>
      <c r="I5" s="53">
        <v>3229385.12840016</v>
      </c>
      <c r="J5" s="53">
        <v>3101264.61223314</v>
      </c>
      <c r="K5" s="53">
        <v>2861289.1218165602</v>
      </c>
      <c r="L5" s="53">
        <v>2884558.9345671199</v>
      </c>
      <c r="M5" s="53">
        <v>1536863.9470107399</v>
      </c>
      <c r="N5" s="12">
        <f>SUM(B5:M5)</f>
        <v>35391889.744027719</v>
      </c>
    </row>
    <row r="6" spans="1:15" s="6" customFormat="1" hidden="1">
      <c r="A6" s="6" t="s">
        <v>29</v>
      </c>
      <c r="B6" s="53">
        <v>54104</v>
      </c>
      <c r="C6" s="53">
        <v>50888</v>
      </c>
      <c r="D6" s="53">
        <v>47975</v>
      </c>
      <c r="E6" s="53">
        <v>339053</v>
      </c>
      <c r="F6" s="53">
        <v>50128</v>
      </c>
      <c r="G6" s="53">
        <v>100915</v>
      </c>
      <c r="H6" s="53">
        <v>55954</v>
      </c>
      <c r="I6" s="53">
        <v>76173.313860300201</v>
      </c>
      <c r="J6" s="53">
        <v>194949.6852683014</v>
      </c>
      <c r="K6" s="53">
        <v>107775.7156534557</v>
      </c>
      <c r="L6" s="53">
        <v>303701.34733729798</v>
      </c>
      <c r="M6" s="53">
        <v>46075.731999999996</v>
      </c>
      <c r="N6" s="7">
        <f>SUM(B6:M6)</f>
        <v>1427692.7941193555</v>
      </c>
    </row>
    <row r="7" spans="1:15" s="6" customFormat="1" hidden="1">
      <c r="B7" s="7"/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7">
        <f>SUM(B7:M7)</f>
        <v>0</v>
      </c>
    </row>
    <row r="8" spans="1:15" s="6" customFormat="1" hidden="1">
      <c r="B8" s="15"/>
      <c r="C8" s="15"/>
      <c r="D8" s="15"/>
      <c r="E8" s="15"/>
      <c r="F8" s="15"/>
      <c r="G8" s="15"/>
      <c r="H8" s="15"/>
      <c r="I8" s="15"/>
      <c r="J8" s="15"/>
      <c r="K8" s="15"/>
      <c r="L8" s="15"/>
      <c r="M8" s="15"/>
      <c r="N8" s="15">
        <f>SUM(B8:M8)</f>
        <v>0</v>
      </c>
    </row>
    <row r="9" spans="1:15" s="6" customFormat="1">
      <c r="A9" s="13" t="s">
        <v>30</v>
      </c>
      <c r="B9" s="12">
        <f t="shared" ref="B9:N9" si="0">SUM(B5:B8)</f>
        <v>1253586</v>
      </c>
      <c r="C9" s="12">
        <f t="shared" si="0"/>
        <v>4879558</v>
      </c>
      <c r="D9" s="12">
        <f t="shared" si="0"/>
        <v>3797003</v>
      </c>
      <c r="E9" s="12">
        <v>3546355</v>
      </c>
      <c r="F9" s="12">
        <f t="shared" si="0"/>
        <v>2635296</v>
      </c>
      <c r="G9" s="12">
        <f t="shared" si="0"/>
        <v>2544180</v>
      </c>
      <c r="H9" s="12">
        <f t="shared" si="0"/>
        <v>3482514</v>
      </c>
      <c r="I9" s="12">
        <f t="shared" si="0"/>
        <v>3305558.44226046</v>
      </c>
      <c r="J9" s="12">
        <f t="shared" si="0"/>
        <v>3296214.2975014416</v>
      </c>
      <c r="K9" s="12">
        <f t="shared" si="0"/>
        <v>2969064.837470016</v>
      </c>
      <c r="L9" s="12">
        <f t="shared" si="0"/>
        <v>3188260.281904418</v>
      </c>
      <c r="M9" s="12">
        <f t="shared" si="0"/>
        <v>1582939.67901074</v>
      </c>
      <c r="N9" s="12">
        <f t="shared" si="0"/>
        <v>36819582.538147077</v>
      </c>
    </row>
    <row r="10" spans="1:15" s="6" customFormat="1" ht="6.75" customHeight="1"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</row>
    <row r="11" spans="1:15" s="6" customFormat="1">
      <c r="A11" s="13" t="s">
        <v>31</v>
      </c>
      <c r="B11" s="7">
        <v>7663</v>
      </c>
      <c r="C11" s="7">
        <v>2297</v>
      </c>
      <c r="D11" s="7">
        <v>6582</v>
      </c>
      <c r="E11" s="7">
        <v>62</v>
      </c>
      <c r="F11" s="7">
        <f>5776-5686</f>
        <v>90</v>
      </c>
      <c r="G11" s="7">
        <v>2997</v>
      </c>
      <c r="H11" s="7">
        <f>13058-6989</f>
        <v>6069</v>
      </c>
      <c r="I11" s="7"/>
      <c r="J11" s="7"/>
      <c r="K11" s="7"/>
      <c r="L11" s="7"/>
      <c r="M11" s="7"/>
      <c r="N11" s="7">
        <f>SUM(B11:M11)</f>
        <v>25760</v>
      </c>
    </row>
    <row r="12" spans="1:15" s="6" customFormat="1" ht="7.5" customHeight="1">
      <c r="B12" s="7"/>
      <c r="C12" s="7"/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</row>
    <row r="13" spans="1:15" s="6" customFormat="1" ht="13.5" thickBot="1">
      <c r="A13" s="13" t="s">
        <v>32</v>
      </c>
      <c r="B13" s="14">
        <f t="shared" ref="B13:N13" si="1">B9+B11</f>
        <v>1261249</v>
      </c>
      <c r="C13" s="14">
        <f>C9+C11</f>
        <v>4881855</v>
      </c>
      <c r="D13" s="14">
        <f t="shared" si="1"/>
        <v>3803585</v>
      </c>
      <c r="E13" s="14">
        <f t="shared" si="1"/>
        <v>3546417</v>
      </c>
      <c r="F13" s="14">
        <f t="shared" si="1"/>
        <v>2635386</v>
      </c>
      <c r="G13" s="14">
        <f t="shared" si="1"/>
        <v>2547177</v>
      </c>
      <c r="H13" s="14">
        <f t="shared" si="1"/>
        <v>3488583</v>
      </c>
      <c r="I13" s="14">
        <f t="shared" si="1"/>
        <v>3305558.44226046</v>
      </c>
      <c r="J13" s="14">
        <f t="shared" si="1"/>
        <v>3296214.2975014416</v>
      </c>
      <c r="K13" s="14">
        <f t="shared" si="1"/>
        <v>2969064.837470016</v>
      </c>
      <c r="L13" s="14">
        <f t="shared" si="1"/>
        <v>3188260.281904418</v>
      </c>
      <c r="M13" s="14">
        <f t="shared" si="1"/>
        <v>1582939.67901074</v>
      </c>
      <c r="N13" s="14">
        <f t="shared" si="1"/>
        <v>36845342.538147077</v>
      </c>
    </row>
    <row r="14" spans="1:15" s="6" customFormat="1" ht="13.5" thickTop="1">
      <c r="B14" s="7"/>
      <c r="C14" s="7"/>
      <c r="D14" s="7"/>
      <c r="E14" s="7"/>
      <c r="F14" s="7"/>
      <c r="G14" s="7"/>
      <c r="H14" s="7"/>
      <c r="I14" s="7"/>
      <c r="J14" s="7"/>
      <c r="K14" s="7"/>
      <c r="L14" s="7"/>
      <c r="M14" s="7"/>
    </row>
    <row r="15" spans="1:15" s="6" customFormat="1" hidden="1">
      <c r="A15" s="13" t="s">
        <v>33</v>
      </c>
      <c r="B15" s="7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</row>
    <row r="16" spans="1:15" s="6" customFormat="1" hidden="1">
      <c r="A16" s="6" t="s">
        <v>34</v>
      </c>
      <c r="B16" s="53">
        <v>620285</v>
      </c>
      <c r="C16" s="53">
        <v>2968543</v>
      </c>
      <c r="D16" s="53">
        <v>1627085</v>
      </c>
      <c r="E16" s="53">
        <v>1339249</v>
      </c>
      <c r="F16" s="53">
        <v>866632</v>
      </c>
      <c r="G16" s="53">
        <v>917825</v>
      </c>
      <c r="H16" s="53">
        <v>2106719</v>
      </c>
      <c r="I16" s="53">
        <v>1309498.16154439</v>
      </c>
      <c r="J16" s="53">
        <v>1146427.91045744</v>
      </c>
      <c r="K16" s="53">
        <v>1014457.82475312</v>
      </c>
      <c r="L16" s="53">
        <v>1202846.3247627199</v>
      </c>
      <c r="M16" s="53">
        <v>808585.32395320502</v>
      </c>
      <c r="N16" s="7">
        <f>SUM(B16:M16)</f>
        <v>15928153.545470877</v>
      </c>
    </row>
    <row r="17" spans="1:44" s="6" customFormat="1" hidden="1">
      <c r="B17" s="27"/>
      <c r="C17" s="27"/>
      <c r="D17" s="27"/>
      <c r="E17" s="27"/>
      <c r="F17" s="27"/>
      <c r="G17" s="27"/>
      <c r="H17" s="27"/>
      <c r="I17" s="27"/>
      <c r="J17" s="27"/>
      <c r="K17" s="27"/>
      <c r="L17" s="27"/>
      <c r="M17" s="27"/>
      <c r="N17" s="7">
        <f>SUM(B17:M17)</f>
        <v>0</v>
      </c>
    </row>
    <row r="18" spans="1:44" s="6" customFormat="1" hidden="1">
      <c r="B18" s="7"/>
      <c r="C18" s="7"/>
      <c r="D18" s="7"/>
      <c r="E18" s="7"/>
      <c r="F18" s="7"/>
      <c r="G18" s="7"/>
      <c r="H18" s="7"/>
      <c r="I18" s="7"/>
      <c r="J18" s="7"/>
      <c r="K18" s="7"/>
      <c r="L18" s="7"/>
      <c r="M18" s="7"/>
      <c r="N18" s="7">
        <v>0</v>
      </c>
    </row>
    <row r="19" spans="1:44" s="6" customFormat="1" hidden="1">
      <c r="B19" s="15"/>
      <c r="C19" s="15"/>
      <c r="D19" s="15"/>
      <c r="E19" s="15"/>
      <c r="F19" s="15"/>
      <c r="G19" s="15"/>
      <c r="H19" s="15"/>
      <c r="I19" s="15"/>
      <c r="J19" s="15"/>
      <c r="K19" s="15"/>
      <c r="L19" s="15"/>
      <c r="M19" s="15"/>
      <c r="N19" s="15">
        <f>SUM(B19:M19)</f>
        <v>0</v>
      </c>
    </row>
    <row r="20" spans="1:44" s="6" customFormat="1">
      <c r="A20" s="13" t="s">
        <v>35</v>
      </c>
      <c r="B20" s="12">
        <f t="shared" ref="B20:N20" si="2">SUM(B16:B19)</f>
        <v>620285</v>
      </c>
      <c r="C20" s="12">
        <f t="shared" si="2"/>
        <v>2968543</v>
      </c>
      <c r="D20" s="12">
        <f t="shared" si="2"/>
        <v>1627085</v>
      </c>
      <c r="E20" s="12">
        <f t="shared" si="2"/>
        <v>1339249</v>
      </c>
      <c r="F20" s="12">
        <f t="shared" si="2"/>
        <v>866632</v>
      </c>
      <c r="G20" s="12">
        <f t="shared" si="2"/>
        <v>917825</v>
      </c>
      <c r="H20" s="12">
        <f t="shared" si="2"/>
        <v>2106719</v>
      </c>
      <c r="I20" s="12">
        <f t="shared" si="2"/>
        <v>1309498.16154439</v>
      </c>
      <c r="J20" s="12">
        <f t="shared" si="2"/>
        <v>1146427.91045744</v>
      </c>
      <c r="K20" s="12">
        <f t="shared" si="2"/>
        <v>1014457.82475312</v>
      </c>
      <c r="L20" s="12">
        <f t="shared" si="2"/>
        <v>1202846.3247627199</v>
      </c>
      <c r="M20" s="12">
        <f t="shared" si="2"/>
        <v>808585.32395320502</v>
      </c>
      <c r="N20" s="12">
        <f t="shared" si="2"/>
        <v>15928153.545470877</v>
      </c>
    </row>
    <row r="21" spans="1:44" s="6" customFormat="1">
      <c r="B21" s="7"/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</row>
    <row r="22" spans="1:44" s="6" customFormat="1" hidden="1">
      <c r="A22" s="13" t="s">
        <v>36</v>
      </c>
      <c r="B22" s="7"/>
      <c r="C22" s="7"/>
      <c r="D22" s="7"/>
      <c r="E22" s="7"/>
      <c r="F22" s="7"/>
      <c r="G22" s="7"/>
      <c r="H22" s="7"/>
      <c r="I22" s="7"/>
      <c r="J22" s="7"/>
      <c r="K22" s="7"/>
      <c r="L22" s="7"/>
      <c r="M22" s="7"/>
    </row>
    <row r="23" spans="1:44" s="6" customFormat="1" hidden="1">
      <c r="A23" s="6" t="s">
        <v>37</v>
      </c>
      <c r="B23" s="7">
        <f t="shared" ref="B23:M26" si="3">+B5-B16</f>
        <v>579197</v>
      </c>
      <c r="C23" s="7">
        <f t="shared" si="3"/>
        <v>1860127</v>
      </c>
      <c r="D23" s="7">
        <f t="shared" si="3"/>
        <v>2121943</v>
      </c>
      <c r="E23" s="7">
        <f t="shared" si="3"/>
        <v>2207106</v>
      </c>
      <c r="F23" s="7">
        <f t="shared" si="3"/>
        <v>1718536</v>
      </c>
      <c r="G23" s="7">
        <f t="shared" si="3"/>
        <v>1525440</v>
      </c>
      <c r="H23" s="7">
        <f t="shared" si="3"/>
        <v>1319841</v>
      </c>
      <c r="I23" s="7">
        <f t="shared" si="3"/>
        <v>1919886.96685577</v>
      </c>
      <c r="J23" s="7">
        <f t="shared" si="3"/>
        <v>1954836.7017757001</v>
      </c>
      <c r="K23" s="7">
        <f t="shared" si="3"/>
        <v>1846831.2970634401</v>
      </c>
      <c r="L23" s="7">
        <f t="shared" si="3"/>
        <v>1681712.6098044</v>
      </c>
      <c r="M23" s="7">
        <f t="shared" si="3"/>
        <v>728278.62305753492</v>
      </c>
      <c r="N23" s="7">
        <f>SUM(B23:M23)</f>
        <v>19463736.198556848</v>
      </c>
    </row>
    <row r="24" spans="1:44" s="6" customFormat="1" hidden="1">
      <c r="A24" s="6" t="s">
        <v>37</v>
      </c>
      <c r="B24" s="7">
        <f t="shared" si="3"/>
        <v>54104</v>
      </c>
      <c r="C24" s="7">
        <f t="shared" si="3"/>
        <v>50888</v>
      </c>
      <c r="D24" s="7">
        <f t="shared" si="3"/>
        <v>47975</v>
      </c>
      <c r="E24" s="7">
        <f t="shared" si="3"/>
        <v>339053</v>
      </c>
      <c r="F24" s="7">
        <f t="shared" si="3"/>
        <v>50128</v>
      </c>
      <c r="G24" s="7">
        <f t="shared" si="3"/>
        <v>100915</v>
      </c>
      <c r="H24" s="7">
        <f t="shared" si="3"/>
        <v>55954</v>
      </c>
      <c r="I24" s="7">
        <f t="shared" si="3"/>
        <v>76173.313860300201</v>
      </c>
      <c r="J24" s="7">
        <f t="shared" si="3"/>
        <v>194949.6852683014</v>
      </c>
      <c r="K24" s="7">
        <f t="shared" si="3"/>
        <v>107775.7156534557</v>
      </c>
      <c r="L24" s="7">
        <f t="shared" si="3"/>
        <v>303701.34733729798</v>
      </c>
      <c r="M24" s="7">
        <f t="shared" si="3"/>
        <v>46075.731999999996</v>
      </c>
      <c r="N24" s="7">
        <f>SUM(B24:M24)</f>
        <v>1427692.7941193555</v>
      </c>
    </row>
    <row r="25" spans="1:44" s="6" customFormat="1" hidden="1">
      <c r="A25" s="6" t="s">
        <v>38</v>
      </c>
      <c r="B25" s="7">
        <f t="shared" si="3"/>
        <v>0</v>
      </c>
      <c r="C25" s="7">
        <f t="shared" si="3"/>
        <v>0</v>
      </c>
      <c r="D25" s="7">
        <f t="shared" si="3"/>
        <v>0</v>
      </c>
      <c r="E25" s="7">
        <f t="shared" si="3"/>
        <v>0</v>
      </c>
      <c r="F25" s="7">
        <f t="shared" si="3"/>
        <v>0</v>
      </c>
      <c r="G25" s="7">
        <f t="shared" si="3"/>
        <v>0</v>
      </c>
      <c r="H25" s="7">
        <f t="shared" si="3"/>
        <v>0</v>
      </c>
      <c r="I25" s="7">
        <f t="shared" si="3"/>
        <v>0</v>
      </c>
      <c r="J25" s="7">
        <f t="shared" si="3"/>
        <v>0</v>
      </c>
      <c r="K25" s="7">
        <f t="shared" si="3"/>
        <v>0</v>
      </c>
      <c r="L25" s="7">
        <f t="shared" si="3"/>
        <v>0</v>
      </c>
      <c r="M25" s="7">
        <f t="shared" si="3"/>
        <v>0</v>
      </c>
      <c r="N25" s="7">
        <f>SUM(B25:M25)</f>
        <v>0</v>
      </c>
    </row>
    <row r="26" spans="1:44" s="6" customFormat="1" hidden="1">
      <c r="A26" s="6" t="s">
        <v>38</v>
      </c>
      <c r="B26" s="15">
        <f t="shared" si="3"/>
        <v>0</v>
      </c>
      <c r="C26" s="15">
        <f t="shared" si="3"/>
        <v>0</v>
      </c>
      <c r="D26" s="15">
        <f t="shared" si="3"/>
        <v>0</v>
      </c>
      <c r="E26" s="15">
        <f t="shared" si="3"/>
        <v>0</v>
      </c>
      <c r="F26" s="15">
        <f t="shared" si="3"/>
        <v>0</v>
      </c>
      <c r="G26" s="15">
        <f t="shared" si="3"/>
        <v>0</v>
      </c>
      <c r="H26" s="15">
        <f t="shared" si="3"/>
        <v>0</v>
      </c>
      <c r="I26" s="15">
        <f t="shared" si="3"/>
        <v>0</v>
      </c>
      <c r="J26" s="15">
        <f t="shared" si="3"/>
        <v>0</v>
      </c>
      <c r="K26" s="15">
        <f t="shared" si="3"/>
        <v>0</v>
      </c>
      <c r="L26" s="15">
        <f t="shared" si="3"/>
        <v>0</v>
      </c>
      <c r="M26" s="15">
        <f t="shared" si="3"/>
        <v>0</v>
      </c>
      <c r="N26" s="15">
        <f>SUM(B26:M26)</f>
        <v>0</v>
      </c>
    </row>
    <row r="27" spans="1:44" s="6" customFormat="1">
      <c r="A27" s="13" t="s">
        <v>39</v>
      </c>
      <c r="B27" s="12">
        <f t="shared" ref="B27:N27" si="4">SUM(B23:B26)</f>
        <v>633301</v>
      </c>
      <c r="C27" s="12">
        <f t="shared" si="4"/>
        <v>1911015</v>
      </c>
      <c r="D27" s="12">
        <f t="shared" si="4"/>
        <v>2169918</v>
      </c>
      <c r="E27" s="12">
        <f t="shared" si="4"/>
        <v>2546159</v>
      </c>
      <c r="F27" s="12">
        <f t="shared" si="4"/>
        <v>1768664</v>
      </c>
      <c r="G27" s="12">
        <f t="shared" si="4"/>
        <v>1626355</v>
      </c>
      <c r="H27" s="12">
        <f t="shared" si="4"/>
        <v>1375795</v>
      </c>
      <c r="I27" s="12">
        <f t="shared" si="4"/>
        <v>1996060.2807160702</v>
      </c>
      <c r="J27" s="12">
        <f t="shared" si="4"/>
        <v>2149786.3870440014</v>
      </c>
      <c r="K27" s="12">
        <f t="shared" si="4"/>
        <v>1954607.0127168959</v>
      </c>
      <c r="L27" s="12">
        <f t="shared" si="4"/>
        <v>1985413.9571416979</v>
      </c>
      <c r="M27" s="12">
        <f>SUM(M23:M26)</f>
        <v>774354.35505753488</v>
      </c>
      <c r="N27" s="12">
        <f t="shared" si="4"/>
        <v>20891428.992676202</v>
      </c>
    </row>
    <row r="28" spans="1:44" s="6" customFormat="1">
      <c r="B28" s="7"/>
      <c r="C28" s="7"/>
      <c r="D28" s="7"/>
      <c r="E28" s="7"/>
      <c r="F28" s="7"/>
      <c r="G28" s="7"/>
      <c r="H28" s="7"/>
      <c r="I28" s="7"/>
      <c r="J28" s="7"/>
      <c r="K28" s="7"/>
      <c r="L28" s="7"/>
      <c r="M28" s="7"/>
    </row>
    <row r="29" spans="1:44" s="6" customFormat="1" hidden="1">
      <c r="A29" s="13" t="s">
        <v>40</v>
      </c>
      <c r="B29" s="7"/>
      <c r="C29" s="7"/>
      <c r="D29" s="7"/>
      <c r="E29" s="7"/>
      <c r="F29" s="7"/>
      <c r="G29" s="7"/>
      <c r="H29" s="7"/>
      <c r="I29" s="7"/>
      <c r="J29" s="7"/>
      <c r="K29" s="7"/>
      <c r="L29" s="7"/>
      <c r="M29" s="7"/>
    </row>
    <row r="30" spans="1:44" s="6" customFormat="1" hidden="1">
      <c r="A30" s="6" t="s">
        <v>41</v>
      </c>
      <c r="B30" s="53">
        <v>392880</v>
      </c>
      <c r="C30" s="53">
        <v>559131</v>
      </c>
      <c r="D30" s="53">
        <v>664356</v>
      </c>
      <c r="E30" s="53">
        <v>808302</v>
      </c>
      <c r="F30" s="53">
        <v>577909</v>
      </c>
      <c r="G30" s="53">
        <v>554216</v>
      </c>
      <c r="H30" s="53">
        <v>599925</v>
      </c>
      <c r="I30" s="53">
        <v>664473.65115265595</v>
      </c>
      <c r="J30" s="53">
        <v>653848.24865265505</v>
      </c>
      <c r="K30" s="53">
        <v>727810.13162081898</v>
      </c>
      <c r="L30" s="53">
        <v>615430.25565265596</v>
      </c>
      <c r="M30" s="53">
        <v>456542.16991265502</v>
      </c>
      <c r="N30" s="7">
        <f>SUM(B30:M30)</f>
        <v>7274823.4569914397</v>
      </c>
    </row>
    <row r="31" spans="1:44" s="6" customFormat="1" hidden="1">
      <c r="A31" s="6" t="s">
        <v>42</v>
      </c>
      <c r="B31" s="53">
        <v>216187</v>
      </c>
      <c r="C31" s="53">
        <v>190413</v>
      </c>
      <c r="D31" s="53">
        <v>232147</v>
      </c>
      <c r="E31" s="53">
        <v>210938</v>
      </c>
      <c r="F31" s="53">
        <v>193412</v>
      </c>
      <c r="G31" s="53">
        <v>167260</v>
      </c>
      <c r="H31" s="53">
        <v>226827</v>
      </c>
      <c r="I31" s="53">
        <v>201269.28383633701</v>
      </c>
      <c r="J31" s="53">
        <v>200709.39503545201</v>
      </c>
      <c r="K31" s="53">
        <v>223370.57771881</v>
      </c>
      <c r="L31" s="53">
        <v>196340.080043806</v>
      </c>
      <c r="M31" s="53">
        <v>191011.551540168</v>
      </c>
      <c r="N31" s="7">
        <f>SUM(B31:M31)</f>
        <v>2449884.888174573</v>
      </c>
    </row>
    <row r="32" spans="1:44" s="6" customFormat="1" ht="15" hidden="1">
      <c r="A32" s="6" t="s">
        <v>38</v>
      </c>
      <c r="B32" s="65"/>
      <c r="C32" s="65"/>
      <c r="D32" s="65"/>
      <c r="E32" s="65"/>
      <c r="F32" s="68"/>
      <c r="G32" s="68"/>
      <c r="H32" s="68"/>
      <c r="I32" s="65"/>
      <c r="J32" s="65"/>
      <c r="K32" s="65"/>
      <c r="L32" s="65"/>
      <c r="M32" s="65"/>
      <c r="N32" s="7">
        <f>SUM(B32:M32)</f>
        <v>0</v>
      </c>
      <c r="P32" s="6">
        <f>+B32*-1</f>
        <v>0</v>
      </c>
      <c r="Q32" s="6">
        <f t="shared" ref="Q32:AF33" si="5">+C32*-1</f>
        <v>0</v>
      </c>
      <c r="R32" s="6">
        <f t="shared" si="5"/>
        <v>0</v>
      </c>
      <c r="S32" s="6">
        <f t="shared" si="5"/>
        <v>0</v>
      </c>
      <c r="T32" s="6">
        <f t="shared" si="5"/>
        <v>0</v>
      </c>
      <c r="U32" s="6">
        <f t="shared" si="5"/>
        <v>0</v>
      </c>
      <c r="V32" s="6">
        <f t="shared" si="5"/>
        <v>0</v>
      </c>
      <c r="W32" s="6">
        <f t="shared" si="5"/>
        <v>0</v>
      </c>
      <c r="X32" s="6">
        <f t="shared" si="5"/>
        <v>0</v>
      </c>
      <c r="Y32" s="6">
        <f t="shared" si="5"/>
        <v>0</v>
      </c>
      <c r="Z32" s="6">
        <f t="shared" si="5"/>
        <v>0</v>
      </c>
      <c r="AA32" s="6">
        <f t="shared" si="5"/>
        <v>0</v>
      </c>
      <c r="AB32" s="6">
        <f t="shared" si="5"/>
        <v>0</v>
      </c>
      <c r="AC32" s="6">
        <f t="shared" si="5"/>
        <v>0</v>
      </c>
      <c r="AD32" s="6">
        <f t="shared" si="5"/>
        <v>0</v>
      </c>
      <c r="AE32" s="6">
        <f t="shared" si="5"/>
        <v>0</v>
      </c>
      <c r="AF32" s="6">
        <f t="shared" si="5"/>
        <v>0</v>
      </c>
      <c r="AG32" s="6">
        <f t="shared" ref="AG32:AR33" si="6">+S32*-1</f>
        <v>0</v>
      </c>
      <c r="AH32" s="6">
        <f t="shared" si="6"/>
        <v>0</v>
      </c>
      <c r="AI32" s="6">
        <f t="shared" si="6"/>
        <v>0</v>
      </c>
      <c r="AJ32" s="6">
        <f t="shared" si="6"/>
        <v>0</v>
      </c>
      <c r="AK32" s="6">
        <f t="shared" si="6"/>
        <v>0</v>
      </c>
      <c r="AL32" s="6">
        <f t="shared" si="6"/>
        <v>0</v>
      </c>
      <c r="AM32" s="6">
        <f t="shared" si="6"/>
        <v>0</v>
      </c>
      <c r="AN32" s="6">
        <f t="shared" si="6"/>
        <v>0</v>
      </c>
      <c r="AO32" s="6">
        <f t="shared" si="6"/>
        <v>0</v>
      </c>
      <c r="AP32" s="6">
        <f t="shared" si="6"/>
        <v>0</v>
      </c>
      <c r="AQ32" s="6">
        <f t="shared" si="6"/>
        <v>0</v>
      </c>
      <c r="AR32" s="6">
        <f t="shared" si="6"/>
        <v>0</v>
      </c>
    </row>
    <row r="33" spans="1:44" s="6" customFormat="1" hidden="1">
      <c r="B33" s="15"/>
      <c r="C33" s="15"/>
      <c r="D33" s="15"/>
      <c r="E33" s="15"/>
      <c r="F33" s="15"/>
      <c r="G33" s="15"/>
      <c r="H33" s="15"/>
      <c r="I33" s="15"/>
      <c r="J33" s="15"/>
      <c r="K33" s="15"/>
      <c r="L33" s="15"/>
      <c r="M33" s="15"/>
      <c r="N33" s="15">
        <f>SUM(B33:M33)</f>
        <v>0</v>
      </c>
      <c r="Q33" s="6">
        <f t="shared" si="5"/>
        <v>0</v>
      </c>
      <c r="R33" s="6">
        <f t="shared" si="5"/>
        <v>0</v>
      </c>
      <c r="S33" s="6">
        <f t="shared" si="5"/>
        <v>0</v>
      </c>
      <c r="T33" s="6">
        <f t="shared" si="5"/>
        <v>0</v>
      </c>
      <c r="U33" s="6">
        <f t="shared" si="5"/>
        <v>0</v>
      </c>
      <c r="V33" s="6">
        <f t="shared" si="5"/>
        <v>0</v>
      </c>
      <c r="W33" s="6">
        <f t="shared" si="5"/>
        <v>0</v>
      </c>
      <c r="X33" s="6">
        <f t="shared" si="5"/>
        <v>0</v>
      </c>
      <c r="Y33" s="6">
        <f t="shared" si="5"/>
        <v>0</v>
      </c>
      <c r="Z33" s="6">
        <f t="shared" si="5"/>
        <v>0</v>
      </c>
      <c r="AA33" s="6">
        <f t="shared" si="5"/>
        <v>0</v>
      </c>
      <c r="AB33" s="6">
        <f t="shared" si="5"/>
        <v>0</v>
      </c>
      <c r="AC33" s="6">
        <f t="shared" si="5"/>
        <v>0</v>
      </c>
      <c r="AD33" s="6">
        <f t="shared" si="5"/>
        <v>0</v>
      </c>
      <c r="AE33" s="6">
        <f t="shared" si="5"/>
        <v>0</v>
      </c>
      <c r="AF33" s="6">
        <f t="shared" si="5"/>
        <v>0</v>
      </c>
      <c r="AG33" s="6">
        <f t="shared" si="6"/>
        <v>0</v>
      </c>
      <c r="AH33" s="6">
        <f t="shared" si="6"/>
        <v>0</v>
      </c>
      <c r="AI33" s="6">
        <f t="shared" si="6"/>
        <v>0</v>
      </c>
      <c r="AJ33" s="6">
        <f t="shared" si="6"/>
        <v>0</v>
      </c>
      <c r="AK33" s="6">
        <f t="shared" si="6"/>
        <v>0</v>
      </c>
      <c r="AL33" s="6">
        <f t="shared" si="6"/>
        <v>0</v>
      </c>
      <c r="AM33" s="6">
        <f t="shared" si="6"/>
        <v>0</v>
      </c>
      <c r="AN33" s="6">
        <f t="shared" si="6"/>
        <v>0</v>
      </c>
      <c r="AO33" s="6">
        <f t="shared" si="6"/>
        <v>0</v>
      </c>
      <c r="AP33" s="6">
        <f t="shared" si="6"/>
        <v>0</v>
      </c>
      <c r="AQ33" s="6">
        <f t="shared" si="6"/>
        <v>0</v>
      </c>
      <c r="AR33" s="6">
        <f t="shared" si="6"/>
        <v>0</v>
      </c>
    </row>
    <row r="34" spans="1:44" s="6" customFormat="1">
      <c r="A34" s="13" t="s">
        <v>43</v>
      </c>
      <c r="B34" s="12">
        <f t="shared" ref="B34:N34" si="7">SUM(B30:B33)</f>
        <v>609067</v>
      </c>
      <c r="C34" s="12">
        <f t="shared" si="7"/>
        <v>749544</v>
      </c>
      <c r="D34" s="12">
        <f t="shared" si="7"/>
        <v>896503</v>
      </c>
      <c r="E34" s="12">
        <f t="shared" si="7"/>
        <v>1019240</v>
      </c>
      <c r="F34" s="12">
        <f t="shared" si="7"/>
        <v>771321</v>
      </c>
      <c r="G34" s="12">
        <f t="shared" si="7"/>
        <v>721476</v>
      </c>
      <c r="H34" s="12">
        <f t="shared" si="7"/>
        <v>826752</v>
      </c>
      <c r="I34" s="12">
        <f t="shared" si="7"/>
        <v>865742.93498899299</v>
      </c>
      <c r="J34" s="12">
        <f t="shared" si="7"/>
        <v>854557.64368810703</v>
      </c>
      <c r="K34" s="12">
        <f t="shared" si="7"/>
        <v>951180.70933962893</v>
      </c>
      <c r="L34" s="12">
        <f t="shared" si="7"/>
        <v>811770.33569646196</v>
      </c>
      <c r="M34" s="12">
        <f t="shared" si="7"/>
        <v>647553.72145282303</v>
      </c>
      <c r="N34" s="12">
        <f t="shared" si="7"/>
        <v>9724708.3451660126</v>
      </c>
      <c r="O34" s="7"/>
    </row>
    <row r="35" spans="1:44" s="6" customFormat="1">
      <c r="B35" s="7"/>
      <c r="C35" s="7"/>
      <c r="D35" s="7"/>
      <c r="E35" s="7"/>
      <c r="F35" s="7"/>
      <c r="G35" s="7"/>
      <c r="H35" s="7"/>
      <c r="I35" s="7"/>
      <c r="J35" s="7"/>
      <c r="K35" s="7"/>
      <c r="L35" s="7"/>
      <c r="M35" s="7"/>
    </row>
    <row r="36" spans="1:44" s="6" customFormat="1" hidden="1">
      <c r="A36" s="13" t="s">
        <v>44</v>
      </c>
      <c r="B36" s="7"/>
      <c r="C36" s="7"/>
      <c r="D36" s="7"/>
      <c r="E36" s="7"/>
      <c r="F36" s="7"/>
      <c r="G36" s="7"/>
      <c r="H36" s="7"/>
      <c r="I36" s="7"/>
      <c r="J36" s="7"/>
      <c r="K36" s="7"/>
      <c r="L36" s="7"/>
      <c r="M36" s="7"/>
    </row>
    <row r="37" spans="1:44" s="6" customFormat="1" hidden="1">
      <c r="A37" s="6" t="s">
        <v>45</v>
      </c>
      <c r="B37" s="53">
        <v>957334</v>
      </c>
      <c r="C37" s="53">
        <v>1284431</v>
      </c>
      <c r="D37" s="53">
        <v>1445140</v>
      </c>
      <c r="E37" s="53">
        <v>1605674</v>
      </c>
      <c r="F37" s="53">
        <v>1524417</v>
      </c>
      <c r="G37" s="66">
        <v>1260096</v>
      </c>
      <c r="H37" s="66">
        <v>1231421</v>
      </c>
      <c r="I37" s="66">
        <v>1447399.3372471465</v>
      </c>
      <c r="J37" s="66">
        <v>1483783.6270001915</v>
      </c>
      <c r="K37" s="53">
        <v>1521178.5687367001</v>
      </c>
      <c r="L37" s="53">
        <v>1366856.0727674812</v>
      </c>
      <c r="M37" s="53">
        <v>1089068.663147087</v>
      </c>
      <c r="N37" s="7">
        <f>SUM(B37:M37)</f>
        <v>16216799.268898606</v>
      </c>
      <c r="O37" s="53"/>
      <c r="P37" s="62"/>
    </row>
    <row r="38" spans="1:44" s="6" customFormat="1" hidden="1">
      <c r="A38" s="6" t="s">
        <v>46</v>
      </c>
      <c r="B38" s="7">
        <f>-B34</f>
        <v>-609067</v>
      </c>
      <c r="C38" s="7">
        <f t="shared" ref="C38:M38" si="8">-C34</f>
        <v>-749544</v>
      </c>
      <c r="D38" s="7">
        <f t="shared" si="8"/>
        <v>-896503</v>
      </c>
      <c r="E38" s="7">
        <f t="shared" si="8"/>
        <v>-1019240</v>
      </c>
      <c r="F38" s="7">
        <f t="shared" si="8"/>
        <v>-771321</v>
      </c>
      <c r="G38" s="7">
        <f t="shared" si="8"/>
        <v>-721476</v>
      </c>
      <c r="H38" s="7">
        <f t="shared" si="8"/>
        <v>-826752</v>
      </c>
      <c r="I38" s="7">
        <f t="shared" si="8"/>
        <v>-865742.93498899299</v>
      </c>
      <c r="J38" s="7">
        <f t="shared" si="8"/>
        <v>-854557.64368810703</v>
      </c>
      <c r="K38" s="7">
        <f t="shared" si="8"/>
        <v>-951180.70933962893</v>
      </c>
      <c r="L38" s="7">
        <f t="shared" si="8"/>
        <v>-811770.33569646196</v>
      </c>
      <c r="M38" s="7">
        <f t="shared" si="8"/>
        <v>-647553.72145282303</v>
      </c>
      <c r="N38" s="7">
        <f>SUM(B38:M38)</f>
        <v>-9724708.3451660145</v>
      </c>
    </row>
    <row r="39" spans="1:44" s="6" customFormat="1" hidden="1">
      <c r="A39" s="6" t="s">
        <v>47</v>
      </c>
      <c r="B39" s="53">
        <v>-73369</v>
      </c>
      <c r="C39" s="53">
        <v>-72678</v>
      </c>
      <c r="D39" s="53">
        <v>-71948</v>
      </c>
      <c r="E39" s="53">
        <v>-72678</v>
      </c>
      <c r="F39" s="53">
        <v>-72867</v>
      </c>
      <c r="G39" s="53">
        <v>-72836</v>
      </c>
      <c r="H39" s="53">
        <v>-69729</v>
      </c>
      <c r="I39" s="53">
        <v>-82098.931666666598</v>
      </c>
      <c r="J39" s="53">
        <v>-82065.061666666603</v>
      </c>
      <c r="K39" s="53">
        <v>-81467.421666666603</v>
      </c>
      <c r="L39" s="53">
        <v>-81449.971666666606</v>
      </c>
      <c r="M39" s="53">
        <v>-80077.631666666595</v>
      </c>
      <c r="N39" s="7">
        <v>-971805.1199999993</v>
      </c>
    </row>
    <row r="40" spans="1:44" s="6" customFormat="1" hidden="1">
      <c r="A40" s="6" t="s">
        <v>78</v>
      </c>
      <c r="B40" s="53"/>
      <c r="C40" s="53"/>
      <c r="D40" s="53"/>
      <c r="E40" s="53"/>
      <c r="F40" s="53"/>
      <c r="G40" s="53"/>
      <c r="H40" s="53"/>
      <c r="I40" s="53"/>
      <c r="J40" s="53"/>
      <c r="K40" s="53"/>
      <c r="L40" s="53"/>
      <c r="M40" s="53"/>
      <c r="N40" s="7">
        <f>SUM(B40:M40)</f>
        <v>0</v>
      </c>
    </row>
    <row r="41" spans="1:44" s="6" customFormat="1" hidden="1">
      <c r="A41" s="6" t="s">
        <v>48</v>
      </c>
      <c r="B41" s="60">
        <v>-10663.666666666701</v>
      </c>
      <c r="C41" s="60">
        <v>-10663.666666666701</v>
      </c>
      <c r="D41" s="60">
        <v>-10663.666666666701</v>
      </c>
      <c r="E41" s="60">
        <v>-10663.666666666701</v>
      </c>
      <c r="F41" s="60">
        <v>-10663.666666666701</v>
      </c>
      <c r="G41" s="60">
        <v>-10663.666666666701</v>
      </c>
      <c r="H41" s="60">
        <v>-10663.666666666701</v>
      </c>
      <c r="I41" s="60">
        <v>-10663.666666666701</v>
      </c>
      <c r="J41" s="60">
        <v>-10964</v>
      </c>
      <c r="K41" s="60">
        <v>-10864</v>
      </c>
      <c r="L41" s="60">
        <v>-10964</v>
      </c>
      <c r="M41" s="60">
        <v>-10664</v>
      </c>
      <c r="N41" s="15">
        <f>SUM(B41:M41)</f>
        <v>-128765.3333333336</v>
      </c>
    </row>
    <row r="42" spans="1:44" s="6" customFormat="1">
      <c r="A42" s="13" t="s">
        <v>49</v>
      </c>
      <c r="B42" s="12">
        <f t="shared" ref="B42:N42" si="9">SUM(B37:B41)</f>
        <v>264234.33333333331</v>
      </c>
      <c r="C42" s="12">
        <f t="shared" si="9"/>
        <v>451545.33333333331</v>
      </c>
      <c r="D42" s="12">
        <f t="shared" si="9"/>
        <v>466025.33333333331</v>
      </c>
      <c r="E42" s="12">
        <f t="shared" si="9"/>
        <v>503092.33333333331</v>
      </c>
      <c r="F42" s="12">
        <f t="shared" si="9"/>
        <v>669565.33333333326</v>
      </c>
      <c r="G42" s="12">
        <f t="shared" si="9"/>
        <v>455120.33333333331</v>
      </c>
      <c r="H42" s="12">
        <f t="shared" si="9"/>
        <v>324276.33333333331</v>
      </c>
      <c r="I42" s="12">
        <f t="shared" si="9"/>
        <v>488893.80392482027</v>
      </c>
      <c r="J42" s="12">
        <f t="shared" si="9"/>
        <v>536196.92164541781</v>
      </c>
      <c r="K42" s="12">
        <f t="shared" si="9"/>
        <v>477666.43773040455</v>
      </c>
      <c r="L42" s="12">
        <f t="shared" si="9"/>
        <v>462671.76540435263</v>
      </c>
      <c r="M42" s="12">
        <f t="shared" si="9"/>
        <v>350773.31002759736</v>
      </c>
      <c r="N42" s="12">
        <f t="shared" si="9"/>
        <v>5391520.4703992587</v>
      </c>
    </row>
    <row r="43" spans="1:44">
      <c r="A43" s="1"/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2"/>
      <c r="N43" s="12"/>
      <c r="O43" s="6"/>
    </row>
    <row r="44" spans="1:44" hidden="1">
      <c r="A44" s="13" t="s">
        <v>50</v>
      </c>
      <c r="B44" s="53">
        <v>275362</v>
      </c>
      <c r="C44" s="53">
        <v>282653</v>
      </c>
      <c r="D44" s="53">
        <v>316557</v>
      </c>
      <c r="E44" s="53">
        <v>459677</v>
      </c>
      <c r="F44" s="53">
        <v>293116</v>
      </c>
      <c r="G44" s="53">
        <v>257165</v>
      </c>
      <c r="H44" s="53">
        <v>315444</v>
      </c>
      <c r="I44" s="53">
        <v>283542.94633946812</v>
      </c>
      <c r="J44" s="53">
        <v>318115.5463394681</v>
      </c>
      <c r="K44" s="53">
        <v>331200.75545716879</v>
      </c>
      <c r="L44" s="53">
        <v>295624.06633946812</v>
      </c>
      <c r="M44" s="53">
        <v>637691.65717914759</v>
      </c>
      <c r="N44" s="12">
        <f>SUM(B44:M44)</f>
        <v>4066148.9716547206</v>
      </c>
      <c r="O44" s="6"/>
    </row>
    <row r="45" spans="1:44" hidden="1">
      <c r="A45" s="6" t="s">
        <v>51</v>
      </c>
      <c r="B45" s="22">
        <v>0</v>
      </c>
      <c r="C45" s="22">
        <v>-10000</v>
      </c>
      <c r="D45" s="22">
        <v>-10000</v>
      </c>
      <c r="E45" s="22">
        <v>-10000</v>
      </c>
      <c r="F45" s="22">
        <v>-10000</v>
      </c>
      <c r="G45" s="22">
        <v>-10000</v>
      </c>
      <c r="H45" s="22">
        <v>-10000</v>
      </c>
      <c r="I45" s="22">
        <v>-5000</v>
      </c>
      <c r="J45" s="22">
        <v>-5000</v>
      </c>
      <c r="K45" s="22">
        <v>-5000</v>
      </c>
      <c r="L45" s="22">
        <v>-5000</v>
      </c>
      <c r="M45" s="22">
        <v>-5000</v>
      </c>
      <c r="N45" s="22">
        <f>SUM(B45:M45)</f>
        <v>-85000</v>
      </c>
      <c r="O45" s="6"/>
    </row>
    <row r="46" spans="1:44">
      <c r="A46" s="1" t="s">
        <v>50</v>
      </c>
      <c r="B46" s="12">
        <f>SUM(B44:B45)</f>
        <v>275362</v>
      </c>
      <c r="C46" s="12">
        <f>SUM(C44:C45)</f>
        <v>272653</v>
      </c>
      <c r="D46" s="12">
        <f t="shared" ref="D46:N46" si="10">SUM(D44:D45)</f>
        <v>306557</v>
      </c>
      <c r="E46" s="12">
        <f t="shared" si="10"/>
        <v>449677</v>
      </c>
      <c r="F46" s="12">
        <f t="shared" si="10"/>
        <v>283116</v>
      </c>
      <c r="G46" s="12">
        <f t="shared" si="10"/>
        <v>247165</v>
      </c>
      <c r="H46" s="12">
        <f t="shared" si="10"/>
        <v>305444</v>
      </c>
      <c r="I46" s="12">
        <f t="shared" si="10"/>
        <v>278542.94633946812</v>
      </c>
      <c r="J46" s="12">
        <f t="shared" si="10"/>
        <v>313115.5463394681</v>
      </c>
      <c r="K46" s="12">
        <f t="shared" si="10"/>
        <v>326200.75545716879</v>
      </c>
      <c r="L46" s="12">
        <f t="shared" si="10"/>
        <v>290624.06633946812</v>
      </c>
      <c r="M46" s="12">
        <f t="shared" si="10"/>
        <v>632691.65717914759</v>
      </c>
      <c r="N46" s="12">
        <f t="shared" si="10"/>
        <v>3981148.9716547206</v>
      </c>
      <c r="O46" s="6"/>
    </row>
    <row r="47" spans="1:44">
      <c r="B47" s="7"/>
      <c r="C47" s="7"/>
      <c r="D47" s="7"/>
      <c r="E47" s="7"/>
      <c r="F47" s="7"/>
      <c r="G47" s="7"/>
      <c r="H47" s="7"/>
      <c r="I47" s="7"/>
      <c r="J47" s="7"/>
      <c r="K47" s="6"/>
      <c r="L47" s="6"/>
      <c r="M47" s="6"/>
      <c r="N47" s="6"/>
      <c r="O47" s="6"/>
    </row>
    <row r="48" spans="1:44">
      <c r="A48" s="13" t="s">
        <v>52</v>
      </c>
      <c r="B48" s="19">
        <f t="shared" ref="B48:N48" si="11">+B20+B34+B42+B46</f>
        <v>1768948.3333333333</v>
      </c>
      <c r="C48" s="19">
        <f t="shared" si="11"/>
        <v>4442285.333333334</v>
      </c>
      <c r="D48" s="19">
        <f t="shared" si="11"/>
        <v>3296170.3333333335</v>
      </c>
      <c r="E48" s="19">
        <f t="shared" si="11"/>
        <v>3311258.3333333335</v>
      </c>
      <c r="F48" s="19">
        <f t="shared" si="11"/>
        <v>2590634.333333333</v>
      </c>
      <c r="G48" s="19">
        <f t="shared" si="11"/>
        <v>2341586.333333333</v>
      </c>
      <c r="H48" s="19">
        <f t="shared" si="11"/>
        <v>3563191.3333333335</v>
      </c>
      <c r="I48" s="19">
        <f t="shared" si="11"/>
        <v>2942677.8467976716</v>
      </c>
      <c r="J48" s="19">
        <f t="shared" si="11"/>
        <v>2850298.022130433</v>
      </c>
      <c r="K48" s="19">
        <f t="shared" si="11"/>
        <v>2769505.7272803225</v>
      </c>
      <c r="L48" s="19">
        <f t="shared" si="11"/>
        <v>2767912.4922030023</v>
      </c>
      <c r="M48" s="19">
        <f t="shared" si="11"/>
        <v>2439604.0126127731</v>
      </c>
      <c r="N48" s="19">
        <f t="shared" si="11"/>
        <v>35025531.332690872</v>
      </c>
      <c r="O48" s="6"/>
    </row>
    <row r="49" spans="1:17">
      <c r="B49" s="7"/>
      <c r="C49" s="7"/>
      <c r="D49" s="7"/>
      <c r="E49" s="7"/>
      <c r="F49" s="7"/>
      <c r="G49" s="7"/>
      <c r="H49" s="7"/>
      <c r="I49" s="7"/>
      <c r="J49" s="7"/>
      <c r="K49" s="6"/>
      <c r="L49" s="6"/>
      <c r="M49" s="6"/>
      <c r="N49" s="6"/>
      <c r="O49" s="6"/>
    </row>
    <row r="50" spans="1:17">
      <c r="A50" s="1" t="s">
        <v>53</v>
      </c>
      <c r="B50" s="12">
        <f t="shared" ref="B50:M50" si="12">+B13-B48</f>
        <v>-507699.33333333326</v>
      </c>
      <c r="C50" s="12">
        <f t="shared" si="12"/>
        <v>439569.66666666605</v>
      </c>
      <c r="D50" s="12">
        <f t="shared" si="12"/>
        <v>507414.66666666651</v>
      </c>
      <c r="E50" s="12">
        <f t="shared" si="12"/>
        <v>235158.66666666651</v>
      </c>
      <c r="F50" s="12">
        <f t="shared" si="12"/>
        <v>44751.666666666977</v>
      </c>
      <c r="G50" s="12">
        <f t="shared" si="12"/>
        <v>205590.66666666698</v>
      </c>
      <c r="H50" s="12">
        <f t="shared" si="12"/>
        <v>-74608.333333333489</v>
      </c>
      <c r="I50" s="12">
        <f t="shared" si="12"/>
        <v>362880.59546278836</v>
      </c>
      <c r="J50" s="12">
        <f t="shared" si="12"/>
        <v>445916.27537100855</v>
      </c>
      <c r="K50" s="12">
        <f t="shared" si="12"/>
        <v>199559.11018969351</v>
      </c>
      <c r="L50" s="12">
        <f t="shared" si="12"/>
        <v>420347.78970141569</v>
      </c>
      <c r="M50" s="12">
        <f t="shared" si="12"/>
        <v>-856664.33360203309</v>
      </c>
      <c r="N50" s="12">
        <f>SUM(B50:M50)</f>
        <v>1422217.1037895395</v>
      </c>
      <c r="O50" s="6"/>
      <c r="P50" s="25"/>
    </row>
    <row r="51" spans="1:17" ht="7.5" customHeight="1">
      <c r="B51" s="7"/>
      <c r="C51" s="7"/>
      <c r="D51" s="7"/>
      <c r="E51" s="7"/>
      <c r="F51" s="7"/>
      <c r="G51" s="7"/>
      <c r="H51" s="7"/>
      <c r="I51" s="7"/>
      <c r="J51" s="7"/>
      <c r="K51" s="6"/>
      <c r="L51" s="6"/>
      <c r="M51" s="6"/>
      <c r="N51" s="6"/>
      <c r="O51" s="6"/>
    </row>
    <row r="52" spans="1:17">
      <c r="A52" s="1" t="s">
        <v>54</v>
      </c>
      <c r="B52" s="7"/>
      <c r="C52" s="7"/>
      <c r="D52" s="7"/>
      <c r="E52" s="7"/>
      <c r="F52" s="7"/>
      <c r="G52" s="7"/>
      <c r="H52" s="7"/>
      <c r="I52" s="7"/>
      <c r="J52" s="7"/>
      <c r="K52" s="6"/>
      <c r="L52" s="6"/>
      <c r="M52" s="6"/>
      <c r="N52" s="6"/>
      <c r="O52" s="6"/>
    </row>
    <row r="53" spans="1:17" s="6" customFormat="1">
      <c r="A53" s="6" t="s">
        <v>55</v>
      </c>
      <c r="B53" s="10">
        <v>24982</v>
      </c>
      <c r="C53" s="10">
        <v>358462</v>
      </c>
      <c r="D53" s="10">
        <v>50664</v>
      </c>
      <c r="E53" s="10">
        <v>150552</v>
      </c>
      <c r="F53" s="10">
        <v>810</v>
      </c>
      <c r="G53" s="10">
        <v>66952</v>
      </c>
      <c r="H53" s="23">
        <v>23487</v>
      </c>
      <c r="I53" s="10">
        <v>142000</v>
      </c>
      <c r="J53" s="10">
        <v>119000</v>
      </c>
      <c r="K53" s="10">
        <v>0</v>
      </c>
      <c r="L53" s="10">
        <v>0</v>
      </c>
      <c r="M53" s="10">
        <v>455000</v>
      </c>
      <c r="N53" s="10">
        <f>SUM(B53:M53)</f>
        <v>1391909</v>
      </c>
      <c r="P53" s="40"/>
    </row>
    <row r="54" spans="1:17" s="6" customFormat="1">
      <c r="A54" s="6" t="s">
        <v>56</v>
      </c>
      <c r="B54" s="10"/>
      <c r="C54" s="10"/>
      <c r="D54" s="47">
        <v>-520000</v>
      </c>
      <c r="E54" s="10"/>
      <c r="F54" s="10">
        <v>85000</v>
      </c>
      <c r="G54" s="10"/>
      <c r="H54" s="10"/>
      <c r="I54" s="10"/>
      <c r="J54" s="10"/>
      <c r="K54" s="10"/>
      <c r="L54" s="10"/>
      <c r="M54" s="10"/>
      <c r="N54" s="10">
        <f>SUM(B54:M54)</f>
        <v>-435000</v>
      </c>
      <c r="P54" s="7"/>
      <c r="Q54" s="6">
        <v>0</v>
      </c>
    </row>
    <row r="55" spans="1:17" s="6" customFormat="1">
      <c r="A55" s="6" t="s">
        <v>57</v>
      </c>
      <c r="B55" s="10">
        <f>50000+228312</f>
        <v>278312</v>
      </c>
      <c r="C55" s="10">
        <v>50000</v>
      </c>
      <c r="D55" s="10">
        <v>50000</v>
      </c>
      <c r="E55" s="10">
        <v>50000</v>
      </c>
      <c r="F55" s="10">
        <v>50000</v>
      </c>
      <c r="G55" s="10">
        <v>50000</v>
      </c>
      <c r="H55" s="10">
        <v>50000</v>
      </c>
      <c r="I55" s="10">
        <v>50000</v>
      </c>
      <c r="J55" s="10">
        <v>50000</v>
      </c>
      <c r="K55" s="10">
        <v>50000</v>
      </c>
      <c r="L55" s="10"/>
      <c r="M55" s="10"/>
      <c r="N55" s="10">
        <f>SUM(B55:M55)</f>
        <v>728312</v>
      </c>
      <c r="P55" s="7"/>
    </row>
    <row r="56" spans="1:17" s="6" customFormat="1">
      <c r="A56" s="37" t="s">
        <v>58</v>
      </c>
      <c r="B56" s="7">
        <v>-26129</v>
      </c>
      <c r="C56" s="7">
        <f>-44-9248</f>
        <v>-9292</v>
      </c>
      <c r="D56" s="7">
        <f>-15614+D11</f>
        <v>-9032</v>
      </c>
      <c r="E56" s="7">
        <f>-5908-140</f>
        <v>-6048</v>
      </c>
      <c r="F56" s="7">
        <f>-5524.48-161.91</f>
        <v>-5686.3899999999994</v>
      </c>
      <c r="G56" s="7">
        <v>-82140</v>
      </c>
      <c r="H56" s="10">
        <v>-6989.05</v>
      </c>
      <c r="I56" s="7">
        <v>-8000</v>
      </c>
      <c r="J56" s="7">
        <v>-9000</v>
      </c>
      <c r="K56" s="7">
        <v>-9000</v>
      </c>
      <c r="L56" s="7">
        <v>-9000</v>
      </c>
      <c r="M56" s="7">
        <v>-9000</v>
      </c>
      <c r="N56" s="7">
        <f>SUM(B56:M56)</f>
        <v>-189316.44</v>
      </c>
      <c r="P56" s="56"/>
    </row>
    <row r="57" spans="1:17" s="6" customFormat="1">
      <c r="A57" s="6" t="s">
        <v>59</v>
      </c>
      <c r="B57" s="22">
        <v>-262370</v>
      </c>
      <c r="C57" s="22">
        <v>-26645</v>
      </c>
      <c r="D57" s="22">
        <v>-47784</v>
      </c>
      <c r="E57" s="22">
        <v>155784</v>
      </c>
      <c r="F57" s="22">
        <f>4377.86-5778.42</f>
        <v>-1400.5600000000004</v>
      </c>
      <c r="G57" s="22">
        <v>11216</v>
      </c>
      <c r="H57" s="10">
        <v>-179840.6</v>
      </c>
      <c r="I57" s="22">
        <v>-25000</v>
      </c>
      <c r="J57" s="22">
        <v>-25000</v>
      </c>
      <c r="K57" s="22">
        <v>-25000</v>
      </c>
      <c r="L57" s="22">
        <v>-25000</v>
      </c>
      <c r="M57" s="22">
        <v>-25000</v>
      </c>
      <c r="N57" s="22">
        <f>SUM(B57:M57)</f>
        <v>-476040.16000000003</v>
      </c>
      <c r="P57" s="7"/>
    </row>
    <row r="58" spans="1:17" s="6" customFormat="1">
      <c r="A58" s="13" t="s">
        <v>60</v>
      </c>
      <c r="B58" s="19">
        <f t="shared" ref="B58:N58" si="13">SUM(B53:B57)</f>
        <v>14795</v>
      </c>
      <c r="C58" s="19">
        <f t="shared" si="13"/>
        <v>372525</v>
      </c>
      <c r="D58" s="19">
        <f t="shared" si="13"/>
        <v>-476152</v>
      </c>
      <c r="E58" s="19">
        <f t="shared" si="13"/>
        <v>350288</v>
      </c>
      <c r="F58" s="19">
        <f t="shared" si="13"/>
        <v>128723.05</v>
      </c>
      <c r="G58" s="19">
        <f t="shared" si="13"/>
        <v>46028</v>
      </c>
      <c r="H58" s="19">
        <f>SUM(H53:H57)</f>
        <v>-113342.65000000001</v>
      </c>
      <c r="I58" s="19">
        <f t="shared" si="13"/>
        <v>159000</v>
      </c>
      <c r="J58" s="19">
        <f t="shared" si="13"/>
        <v>135000</v>
      </c>
      <c r="K58" s="19">
        <f t="shared" si="13"/>
        <v>16000</v>
      </c>
      <c r="L58" s="19">
        <f t="shared" si="13"/>
        <v>-34000</v>
      </c>
      <c r="M58" s="19">
        <f t="shared" si="13"/>
        <v>421000</v>
      </c>
      <c r="N58" s="19">
        <f t="shared" si="13"/>
        <v>1019864.4</v>
      </c>
    </row>
    <row r="59" spans="1:17">
      <c r="B59" s="7"/>
      <c r="C59" s="7"/>
      <c r="D59" s="7"/>
      <c r="E59" s="7"/>
      <c r="F59" s="7"/>
      <c r="G59" s="7"/>
      <c r="H59" s="7"/>
      <c r="I59" s="7"/>
      <c r="J59" s="7"/>
      <c r="K59" s="7"/>
      <c r="L59" s="7"/>
      <c r="M59" s="7"/>
      <c r="N59" s="7"/>
      <c r="O59" s="6"/>
    </row>
    <row r="60" spans="1:17">
      <c r="A60" s="1" t="s">
        <v>61</v>
      </c>
      <c r="B60" s="12">
        <v>10990495</v>
      </c>
      <c r="C60" s="7"/>
      <c r="D60" s="7"/>
      <c r="E60" s="7"/>
      <c r="F60" s="7"/>
      <c r="G60" s="7"/>
      <c r="H60" s="7" t="s">
        <v>38</v>
      </c>
      <c r="I60" s="7"/>
      <c r="J60" s="7"/>
      <c r="K60" s="6"/>
      <c r="L60" s="6"/>
      <c r="M60" s="6"/>
      <c r="N60" s="6"/>
      <c r="O60" s="6"/>
    </row>
    <row r="61" spans="1:17">
      <c r="A61" s="13" t="s">
        <v>62</v>
      </c>
      <c r="B61" s="19">
        <f t="shared" ref="B61:N61" si="14">+B58+B48</f>
        <v>1783743.3333333333</v>
      </c>
      <c r="C61" s="19">
        <f t="shared" si="14"/>
        <v>4814810.333333334</v>
      </c>
      <c r="D61" s="19">
        <f t="shared" si="14"/>
        <v>2820018.3333333335</v>
      </c>
      <c r="E61" s="19">
        <f t="shared" si="14"/>
        <v>3661546.3333333335</v>
      </c>
      <c r="F61" s="19">
        <f t="shared" si="14"/>
        <v>2719357.3833333328</v>
      </c>
      <c r="G61" s="19">
        <f t="shared" si="14"/>
        <v>2387614.333333333</v>
      </c>
      <c r="H61" s="19">
        <f t="shared" si="14"/>
        <v>3449848.6833333336</v>
      </c>
      <c r="I61" s="19">
        <f t="shared" si="14"/>
        <v>3101677.8467976716</v>
      </c>
      <c r="J61" s="19">
        <f t="shared" si="14"/>
        <v>2985298.022130433</v>
      </c>
      <c r="K61" s="19">
        <f t="shared" si="14"/>
        <v>2785505.7272803225</v>
      </c>
      <c r="L61" s="19">
        <f t="shared" si="14"/>
        <v>2733912.4922030023</v>
      </c>
      <c r="M61" s="19">
        <f t="shared" si="14"/>
        <v>2860604.0126127731</v>
      </c>
      <c r="N61" s="19">
        <f t="shared" si="14"/>
        <v>36045395.732690871</v>
      </c>
      <c r="O61" s="6"/>
    </row>
    <row r="62" spans="1:17" ht="13.5" thickBot="1">
      <c r="A62" s="13" t="s">
        <v>63</v>
      </c>
      <c r="B62" s="30">
        <f t="shared" ref="B62:N62" si="15">+B13-B61</f>
        <v>-522494.33333333326</v>
      </c>
      <c r="C62" s="30">
        <f t="shared" si="15"/>
        <v>67044.666666666046</v>
      </c>
      <c r="D62" s="30">
        <f t="shared" si="15"/>
        <v>983566.66666666651</v>
      </c>
      <c r="E62" s="30">
        <f t="shared" si="15"/>
        <v>-115129.33333333349</v>
      </c>
      <c r="F62" s="30">
        <f t="shared" si="15"/>
        <v>-83971.383333332837</v>
      </c>
      <c r="G62" s="30">
        <f t="shared" si="15"/>
        <v>159562.66666666698</v>
      </c>
      <c r="H62" s="30">
        <f t="shared" si="15"/>
        <v>38734.316666666418</v>
      </c>
      <c r="I62" s="14">
        <f t="shared" si="15"/>
        <v>203880.59546278836</v>
      </c>
      <c r="J62" s="14">
        <f t="shared" si="15"/>
        <v>310916.27537100855</v>
      </c>
      <c r="K62" s="14">
        <f t="shared" si="15"/>
        <v>183559.11018969351</v>
      </c>
      <c r="L62" s="14">
        <f t="shared" si="15"/>
        <v>454347.78970141569</v>
      </c>
      <c r="M62" s="14">
        <f t="shared" si="15"/>
        <v>-1277664.3336020331</v>
      </c>
      <c r="N62" s="14">
        <f t="shared" si="15"/>
        <v>799946.8054562062</v>
      </c>
      <c r="O62" s="6"/>
      <c r="P62" s="25"/>
    </row>
    <row r="63" spans="1:17" s="6" customFormat="1" ht="13.5" thickTop="1">
      <c r="A63" s="13" t="s">
        <v>64</v>
      </c>
      <c r="B63" s="32">
        <f>+B62</f>
        <v>-522494.33333333326</v>
      </c>
      <c r="C63" s="32">
        <f t="shared" ref="C63:M63" si="16">B63+C62</f>
        <v>-455449.66666666721</v>
      </c>
      <c r="D63" s="32">
        <f t="shared" si="16"/>
        <v>528116.9999999993</v>
      </c>
      <c r="E63" s="32">
        <f t="shared" si="16"/>
        <v>412987.66666666581</v>
      </c>
      <c r="F63" s="32">
        <f t="shared" si="16"/>
        <v>329016.28333333298</v>
      </c>
      <c r="G63" s="32">
        <f t="shared" si="16"/>
        <v>488578.94999999995</v>
      </c>
      <c r="H63" s="32">
        <f t="shared" si="16"/>
        <v>527313.26666666637</v>
      </c>
      <c r="I63" s="12">
        <f t="shared" si="16"/>
        <v>731193.86212945473</v>
      </c>
      <c r="J63" s="12">
        <f t="shared" si="16"/>
        <v>1042110.1375004633</v>
      </c>
      <c r="K63" s="12">
        <f t="shared" si="16"/>
        <v>1225669.2476901568</v>
      </c>
      <c r="L63" s="12">
        <f t="shared" si="16"/>
        <v>1680017.0373915725</v>
      </c>
      <c r="M63" s="12">
        <f t="shared" si="16"/>
        <v>402352.7037895394</v>
      </c>
      <c r="N63" s="12"/>
    </row>
    <row r="64" spans="1:17">
      <c r="A64" s="13" t="s">
        <v>65</v>
      </c>
      <c r="B64" s="12">
        <f t="shared" ref="B64:M64" si="17">+$B$60+B63</f>
        <v>10468000.666666666</v>
      </c>
      <c r="C64" s="12">
        <f t="shared" si="17"/>
        <v>10535045.333333332</v>
      </c>
      <c r="D64" s="12">
        <f t="shared" si="17"/>
        <v>11518612</v>
      </c>
      <c r="E64" s="12">
        <f t="shared" si="17"/>
        <v>11403482.666666666</v>
      </c>
      <c r="F64" s="12">
        <f t="shared" si="17"/>
        <v>11319511.283333333</v>
      </c>
      <c r="G64" s="12">
        <f t="shared" si="17"/>
        <v>11479073.949999999</v>
      </c>
      <c r="H64" s="12">
        <f t="shared" si="17"/>
        <v>11517808.266666666</v>
      </c>
      <c r="I64" s="12">
        <f t="shared" si="17"/>
        <v>11721688.862129455</v>
      </c>
      <c r="J64" s="12">
        <f t="shared" si="17"/>
        <v>12032605.137500463</v>
      </c>
      <c r="K64" s="12">
        <f t="shared" si="17"/>
        <v>12216164.247690156</v>
      </c>
      <c r="L64" s="12">
        <f t="shared" si="17"/>
        <v>12670512.037391573</v>
      </c>
      <c r="M64" s="12">
        <f t="shared" si="17"/>
        <v>11392847.70378954</v>
      </c>
      <c r="N64" s="12"/>
      <c r="O64" s="6"/>
      <c r="P64" s="29"/>
    </row>
    <row r="65" spans="1:16">
      <c r="A65" s="6"/>
      <c r="B65" s="7"/>
      <c r="C65" s="7"/>
      <c r="D65" s="7"/>
      <c r="E65" s="7"/>
      <c r="F65" s="7"/>
      <c r="G65" s="7"/>
      <c r="H65" s="7"/>
      <c r="I65" s="7"/>
      <c r="J65" s="7"/>
      <c r="K65" s="6"/>
      <c r="L65" s="6"/>
      <c r="M65" s="6"/>
      <c r="N65" s="6"/>
      <c r="O65" s="6"/>
    </row>
    <row r="66" spans="1:16" s="6" customFormat="1">
      <c r="A66" s="17" t="s">
        <v>79</v>
      </c>
      <c r="B66" s="18"/>
      <c r="C66" s="18"/>
      <c r="D66" s="18"/>
      <c r="E66" s="18"/>
      <c r="F66" s="18"/>
      <c r="G66" s="18"/>
      <c r="H66" s="18"/>
      <c r="I66" s="18"/>
      <c r="J66" s="18"/>
      <c r="K66" s="18"/>
      <c r="L66" s="18"/>
      <c r="M66" s="18"/>
      <c r="N66" s="18"/>
    </row>
    <row r="67" spans="1:16" ht="13.5" thickBot="1">
      <c r="A67" s="13" t="s">
        <v>67</v>
      </c>
      <c r="B67" s="30">
        <v>-923707.19930042047</v>
      </c>
      <c r="C67" s="30">
        <v>408098.02642089035</v>
      </c>
      <c r="D67" s="30">
        <v>1071842.6402638261</v>
      </c>
      <c r="E67" s="30">
        <v>445993.46125483606</v>
      </c>
      <c r="F67" s="30">
        <v>-265749.60705118906</v>
      </c>
      <c r="G67" s="30">
        <v>-389702.61557580205</v>
      </c>
      <c r="H67" s="30">
        <v>-14360.90837025363</v>
      </c>
      <c r="I67" s="30">
        <v>203880.59546278836</v>
      </c>
      <c r="J67" s="30">
        <v>310916.27537100855</v>
      </c>
      <c r="K67" s="30">
        <v>183559.11018969351</v>
      </c>
      <c r="L67" s="30">
        <v>454347.78970141569</v>
      </c>
      <c r="M67" s="30">
        <v>-1277664.3336020331</v>
      </c>
      <c r="N67" s="16"/>
      <c r="O67" s="6"/>
    </row>
    <row r="68" spans="1:16" ht="13.5" thickTop="1">
      <c r="A68" s="13" t="s">
        <v>64</v>
      </c>
      <c r="B68" s="32">
        <v>-923707.19930042047</v>
      </c>
      <c r="C68" s="32">
        <v>-515609.17287953012</v>
      </c>
      <c r="D68" s="32">
        <v>556233.467384296</v>
      </c>
      <c r="E68" s="32">
        <v>1002226.9286391321</v>
      </c>
      <c r="F68" s="32">
        <v>736477.32158794301</v>
      </c>
      <c r="G68" s="32">
        <v>346774.70601214096</v>
      </c>
      <c r="H68" s="32">
        <v>332413.79764188733</v>
      </c>
      <c r="I68" s="32">
        <v>536294.39310467569</v>
      </c>
      <c r="J68" s="32">
        <v>847210.66847568424</v>
      </c>
      <c r="K68" s="32">
        <v>1030769.7786653778</v>
      </c>
      <c r="L68" s="32">
        <v>1485117.5683667934</v>
      </c>
      <c r="M68" s="32">
        <v>207453.23476476036</v>
      </c>
      <c r="N68" s="16"/>
      <c r="O68" s="6"/>
    </row>
    <row r="69" spans="1:16">
      <c r="A69" s="13" t="s">
        <v>65</v>
      </c>
      <c r="B69" s="12">
        <v>10066787.80069958</v>
      </c>
      <c r="C69" s="12">
        <v>10474885.82712047</v>
      </c>
      <c r="D69" s="12">
        <v>11546728.467384296</v>
      </c>
      <c r="E69" s="12">
        <v>11992721.928639133</v>
      </c>
      <c r="F69" s="12">
        <v>11726972.321587943</v>
      </c>
      <c r="G69" s="12">
        <v>11337269.706012141</v>
      </c>
      <c r="H69" s="12">
        <v>11322908.797641888</v>
      </c>
      <c r="I69" s="12">
        <v>11526789.393104676</v>
      </c>
      <c r="J69" s="12">
        <v>11837705.668475684</v>
      </c>
      <c r="K69" s="12">
        <v>12021264.778665379</v>
      </c>
      <c r="L69" s="12">
        <v>12475612.568366794</v>
      </c>
      <c r="M69" s="12">
        <v>11197948.23476476</v>
      </c>
      <c r="N69" s="12"/>
      <c r="O69" s="6"/>
    </row>
    <row r="70" spans="1:16">
      <c r="A70" s="6"/>
      <c r="B70" s="6"/>
      <c r="C70" s="6"/>
      <c r="D70" s="6"/>
      <c r="E70" s="6"/>
      <c r="F70" s="6"/>
      <c r="H70" s="6"/>
      <c r="I70" s="6"/>
      <c r="J70" s="6"/>
      <c r="K70" s="6"/>
      <c r="L70" s="6"/>
      <c r="M70" s="6"/>
      <c r="N70" s="6"/>
      <c r="O70" s="6"/>
    </row>
    <row r="71" spans="1:16">
      <c r="A71" s="24" t="s">
        <v>68</v>
      </c>
      <c r="B71" s="18"/>
      <c r="C71" s="18"/>
      <c r="D71" s="18"/>
      <c r="E71" s="18"/>
      <c r="F71" s="18"/>
      <c r="G71" s="18"/>
      <c r="H71" s="18"/>
      <c r="I71" s="18"/>
      <c r="J71" s="18"/>
      <c r="K71" s="18"/>
      <c r="L71" s="18"/>
      <c r="M71" s="18"/>
      <c r="N71" s="18"/>
      <c r="O71" s="6"/>
    </row>
    <row r="72" spans="1:16">
      <c r="A72" s="13" t="s">
        <v>63</v>
      </c>
      <c r="B72" s="16">
        <f t="shared" ref="B72:N74" si="18">+B62-B67</f>
        <v>401212.86596708721</v>
      </c>
      <c r="C72" s="16">
        <f t="shared" si="18"/>
        <v>-341053.35975422431</v>
      </c>
      <c r="D72" s="16">
        <f t="shared" si="18"/>
        <v>-88275.973597159609</v>
      </c>
      <c r="E72" s="16">
        <f t="shared" si="18"/>
        <v>-561122.79458816955</v>
      </c>
      <c r="F72" s="16">
        <f t="shared" si="18"/>
        <v>181778.22371785622</v>
      </c>
      <c r="G72" s="16">
        <f t="shared" si="18"/>
        <v>549265.28224246902</v>
      </c>
      <c r="H72" s="16">
        <f t="shared" si="18"/>
        <v>53095.225036920048</v>
      </c>
      <c r="I72" s="16">
        <f t="shared" si="18"/>
        <v>0</v>
      </c>
      <c r="J72" s="16">
        <f t="shared" si="18"/>
        <v>0</v>
      </c>
      <c r="K72" s="16">
        <f t="shared" si="18"/>
        <v>0</v>
      </c>
      <c r="L72" s="16">
        <f t="shared" si="18"/>
        <v>0</v>
      </c>
      <c r="M72" s="16">
        <f t="shared" si="18"/>
        <v>0</v>
      </c>
      <c r="N72" s="6"/>
      <c r="O72" s="6"/>
      <c r="P72" s="16">
        <f>+N62-N67</f>
        <v>799946.8054562062</v>
      </c>
    </row>
    <row r="73" spans="1:16" s="6" customFormat="1">
      <c r="A73" s="13" t="s">
        <v>64</v>
      </c>
      <c r="B73" s="16">
        <f t="shared" si="18"/>
        <v>401212.86596708721</v>
      </c>
      <c r="C73" s="16">
        <f t="shared" si="18"/>
        <v>60159.506212862907</v>
      </c>
      <c r="D73" s="16">
        <f t="shared" si="18"/>
        <v>-28116.467384296702</v>
      </c>
      <c r="E73" s="16">
        <f t="shared" si="18"/>
        <v>-589239.26197246625</v>
      </c>
      <c r="F73" s="16">
        <f t="shared" si="18"/>
        <v>-407461.03825461003</v>
      </c>
      <c r="G73" s="16">
        <f t="shared" si="18"/>
        <v>141804.24398785899</v>
      </c>
      <c r="H73" s="16">
        <f t="shared" si="18"/>
        <v>194899.46902477904</v>
      </c>
      <c r="I73" s="16">
        <f t="shared" si="18"/>
        <v>194899.46902477904</v>
      </c>
      <c r="J73" s="16">
        <f t="shared" si="18"/>
        <v>194899.46902477904</v>
      </c>
      <c r="K73" s="16">
        <f t="shared" si="18"/>
        <v>194899.46902477904</v>
      </c>
      <c r="L73" s="16">
        <f t="shared" si="18"/>
        <v>194899.46902477904</v>
      </c>
      <c r="M73" s="16">
        <f t="shared" si="18"/>
        <v>194899.46902477904</v>
      </c>
      <c r="N73" s="16">
        <f t="shared" si="18"/>
        <v>0</v>
      </c>
    </row>
    <row r="74" spans="1:16">
      <c r="A74" s="1" t="s">
        <v>65</v>
      </c>
      <c r="B74" s="16">
        <f t="shared" si="18"/>
        <v>401212.86596708558</v>
      </c>
      <c r="C74" s="16">
        <f t="shared" si="18"/>
        <v>60159.506212862208</v>
      </c>
      <c r="D74" s="16">
        <f t="shared" si="18"/>
        <v>-28116.467384295538</v>
      </c>
      <c r="E74" s="16">
        <f t="shared" si="18"/>
        <v>-589239.26197246648</v>
      </c>
      <c r="F74" s="16">
        <f t="shared" si="18"/>
        <v>-407461.03825460933</v>
      </c>
      <c r="G74" s="16">
        <f t="shared" si="18"/>
        <v>141804.2439878583</v>
      </c>
      <c r="H74" s="16">
        <f t="shared" si="18"/>
        <v>194899.46902477741</v>
      </c>
      <c r="I74" s="16">
        <f t="shared" si="18"/>
        <v>194899.46902477928</v>
      </c>
      <c r="J74" s="16">
        <f t="shared" si="18"/>
        <v>194899.46902477928</v>
      </c>
      <c r="K74" s="16">
        <f t="shared" si="18"/>
        <v>194899.46902477741</v>
      </c>
      <c r="L74" s="16">
        <f t="shared" si="18"/>
        <v>194899.46902477928</v>
      </c>
      <c r="M74" s="16">
        <f t="shared" si="18"/>
        <v>194899.46902477928</v>
      </c>
      <c r="N74" s="16"/>
      <c r="O74" s="6"/>
    </row>
    <row r="75" spans="1:16">
      <c r="B75" s="6"/>
      <c r="C75" s="6"/>
      <c r="D75" s="6"/>
      <c r="E75" s="6"/>
      <c r="F75" s="6"/>
      <c r="H75" s="6"/>
      <c r="I75" s="6"/>
      <c r="J75" s="6"/>
      <c r="K75" s="6"/>
      <c r="L75" s="6"/>
      <c r="M75" s="6"/>
      <c r="N75" s="6"/>
    </row>
    <row r="76" spans="1:16">
      <c r="A76" s="1"/>
      <c r="B76" s="4"/>
      <c r="C76" s="8"/>
      <c r="D76" s="8"/>
      <c r="E76" s="8"/>
      <c r="F76" s="8"/>
      <c r="H76" s="20"/>
      <c r="J76" s="6"/>
      <c r="K76" s="6"/>
    </row>
    <row r="77" spans="1:16">
      <c r="A77" s="1"/>
      <c r="B77" s="4"/>
      <c r="C77" s="8"/>
      <c r="D77" s="8"/>
      <c r="E77" s="8"/>
      <c r="F77" s="8"/>
      <c r="H77" s="20"/>
      <c r="J77" s="6"/>
    </row>
    <row r="78" spans="1:16">
      <c r="A78" s="1"/>
      <c r="B78" s="4"/>
      <c r="D78" s="8"/>
      <c r="E78" s="8"/>
      <c r="F78" s="8"/>
      <c r="H78" s="61"/>
      <c r="J78" s="6"/>
    </row>
    <row r="79" spans="1:16">
      <c r="E79" s="6"/>
      <c r="H79" s="20"/>
      <c r="J79" s="6"/>
      <c r="N79" s="25"/>
    </row>
    <row r="80" spans="1:16">
      <c r="A80" t="s">
        <v>69</v>
      </c>
      <c r="B80" t="s">
        <v>69</v>
      </c>
      <c r="C80" t="s">
        <v>69</v>
      </c>
      <c r="D80" t="s">
        <v>69</v>
      </c>
      <c r="E80" s="6" t="s">
        <v>69</v>
      </c>
      <c r="F80" t="s">
        <v>69</v>
      </c>
      <c r="G80" s="6" t="s">
        <v>69</v>
      </c>
      <c r="H80" t="s">
        <v>69</v>
      </c>
      <c r="I80" t="s">
        <v>69</v>
      </c>
      <c r="J80" s="6" t="s">
        <v>69</v>
      </c>
      <c r="K80" t="s">
        <v>69</v>
      </c>
      <c r="L80" t="s">
        <v>69</v>
      </c>
      <c r="M80" t="s">
        <v>69</v>
      </c>
      <c r="N80" t="s">
        <v>69</v>
      </c>
    </row>
    <row r="81" spans="1:14">
      <c r="E81" s="6"/>
      <c r="J81" s="6"/>
    </row>
    <row r="82" spans="1:14">
      <c r="A82" s="33" t="s">
        <v>70</v>
      </c>
      <c r="B82" s="47">
        <v>52000</v>
      </c>
      <c r="C82" s="47">
        <v>20000</v>
      </c>
      <c r="D82" s="47">
        <v>10000</v>
      </c>
      <c r="E82" s="47">
        <v>44355</v>
      </c>
      <c r="F82" s="47">
        <v>186840</v>
      </c>
      <c r="G82" s="10">
        <v>202000</v>
      </c>
      <c r="H82" s="54">
        <v>197000</v>
      </c>
      <c r="I82" s="47">
        <v>142000</v>
      </c>
      <c r="J82" s="47">
        <v>119000</v>
      </c>
      <c r="K82" s="47">
        <v>0</v>
      </c>
      <c r="L82" s="47">
        <v>0</v>
      </c>
      <c r="M82" s="47">
        <v>455000</v>
      </c>
      <c r="N82" s="7">
        <v>1428195</v>
      </c>
    </row>
    <row r="83" spans="1:14">
      <c r="A83" s="33" t="s">
        <v>71</v>
      </c>
      <c r="B83" s="2">
        <f>+B82</f>
        <v>52000</v>
      </c>
      <c r="C83" s="2">
        <f>+B83+C82</f>
        <v>72000</v>
      </c>
      <c r="D83" s="2">
        <f t="shared" ref="D83:M83" si="19">+C83+D82</f>
        <v>82000</v>
      </c>
      <c r="E83" s="7">
        <f t="shared" si="19"/>
        <v>126355</v>
      </c>
      <c r="F83" s="2">
        <f t="shared" si="19"/>
        <v>313195</v>
      </c>
      <c r="G83" s="7">
        <f t="shared" si="19"/>
        <v>515195</v>
      </c>
      <c r="H83" s="2">
        <f t="shared" si="19"/>
        <v>712195</v>
      </c>
      <c r="I83" s="2">
        <f t="shared" si="19"/>
        <v>854195</v>
      </c>
      <c r="J83" s="7">
        <f t="shared" si="19"/>
        <v>973195</v>
      </c>
      <c r="K83" s="2">
        <f t="shared" si="19"/>
        <v>973195</v>
      </c>
      <c r="L83" s="2">
        <f t="shared" si="19"/>
        <v>973195</v>
      </c>
      <c r="M83" s="2">
        <f t="shared" si="19"/>
        <v>1428195</v>
      </c>
    </row>
    <row r="84" spans="1:14">
      <c r="A84" s="33" t="s">
        <v>72</v>
      </c>
      <c r="B84" s="7">
        <f>+B53</f>
        <v>24982</v>
      </c>
      <c r="C84" s="7">
        <f>SUM($B53:C53)</f>
        <v>383444</v>
      </c>
      <c r="D84" s="7">
        <f>SUM($B53:D53)</f>
        <v>434108</v>
      </c>
      <c r="E84" s="7">
        <f>SUM($B53:E53)</f>
        <v>584660</v>
      </c>
      <c r="F84" s="7">
        <f>SUM($B53:F53)</f>
        <v>585470</v>
      </c>
      <c r="G84" s="7">
        <f>SUM($B53:G53)</f>
        <v>652422</v>
      </c>
      <c r="H84" s="7">
        <f>SUM(B53:H53)</f>
        <v>675909</v>
      </c>
      <c r="I84" s="7">
        <f>SUM(B53:I53)</f>
        <v>817909</v>
      </c>
      <c r="J84" s="7">
        <f>SUM(B53:J53)</f>
        <v>936909</v>
      </c>
      <c r="K84" s="7">
        <f>SUM(B53:K53)</f>
        <v>936909</v>
      </c>
      <c r="L84" s="7">
        <f>SUM(B53:L53)</f>
        <v>936909</v>
      </c>
      <c r="M84" s="7">
        <f>SUM(B53:M53)</f>
        <v>1391909</v>
      </c>
    </row>
    <row r="85" spans="1:14">
      <c r="A85" s="33" t="s">
        <v>73</v>
      </c>
      <c r="B85" s="7">
        <f t="shared" ref="B85:G85" si="20">+B83-B84</f>
        <v>27018</v>
      </c>
      <c r="C85" s="7">
        <f t="shared" si="20"/>
        <v>-311444</v>
      </c>
      <c r="D85" s="7">
        <f t="shared" si="20"/>
        <v>-352108</v>
      </c>
      <c r="E85" s="7">
        <f t="shared" si="20"/>
        <v>-458305</v>
      </c>
      <c r="F85" s="7">
        <f t="shared" si="20"/>
        <v>-272275</v>
      </c>
      <c r="G85" s="7">
        <f t="shared" si="20"/>
        <v>-137227</v>
      </c>
      <c r="H85" s="7">
        <f t="shared" ref="H85:M85" si="21">+H83-H84</f>
        <v>36286</v>
      </c>
      <c r="I85" s="7">
        <f t="shared" si="21"/>
        <v>36286</v>
      </c>
      <c r="J85" s="7">
        <f t="shared" si="21"/>
        <v>36286</v>
      </c>
      <c r="K85" s="7">
        <f t="shared" si="21"/>
        <v>36286</v>
      </c>
      <c r="L85" s="7">
        <f t="shared" si="21"/>
        <v>36286</v>
      </c>
      <c r="M85" s="7">
        <f t="shared" si="21"/>
        <v>36286</v>
      </c>
    </row>
    <row r="86" spans="1:14">
      <c r="J86" s="6"/>
      <c r="K86" s="6"/>
    </row>
    <row r="87" spans="1:14">
      <c r="A87" t="s">
        <v>74</v>
      </c>
      <c r="B87" s="35">
        <f>-B56-B57</f>
        <v>288499</v>
      </c>
      <c r="C87" s="35">
        <f t="shared" ref="C87:N87" si="22">-C56-C57</f>
        <v>35937</v>
      </c>
      <c r="D87" s="35">
        <f t="shared" si="22"/>
        <v>56816</v>
      </c>
      <c r="E87" s="35">
        <f t="shared" si="22"/>
        <v>-149736</v>
      </c>
      <c r="F87" s="35">
        <f t="shared" si="22"/>
        <v>7086.95</v>
      </c>
      <c r="G87" s="40">
        <f t="shared" si="22"/>
        <v>70924</v>
      </c>
      <c r="H87" s="35" t="e">
        <f>-#REF!-#REF!</f>
        <v>#REF!</v>
      </c>
      <c r="I87" s="35">
        <f t="shared" si="22"/>
        <v>33000</v>
      </c>
      <c r="J87" s="35">
        <f t="shared" si="22"/>
        <v>34000</v>
      </c>
      <c r="K87" s="40">
        <f t="shared" si="22"/>
        <v>34000</v>
      </c>
      <c r="L87" s="35">
        <f t="shared" si="22"/>
        <v>34000</v>
      </c>
      <c r="M87" s="35">
        <f t="shared" si="22"/>
        <v>34000</v>
      </c>
      <c r="N87" s="35">
        <f t="shared" si="22"/>
        <v>665356.60000000009</v>
      </c>
    </row>
    <row r="88" spans="1:14">
      <c r="C88" s="35">
        <f>+B87+C87</f>
        <v>324436</v>
      </c>
      <c r="D88" s="35">
        <f>+C88+D87</f>
        <v>381252</v>
      </c>
      <c r="E88" s="35">
        <f t="shared" ref="E88:M88" si="23">+D88+E87</f>
        <v>231516</v>
      </c>
      <c r="F88" s="35">
        <f t="shared" si="23"/>
        <v>238602.95</v>
      </c>
      <c r="G88" s="40">
        <f t="shared" si="23"/>
        <v>309526.95</v>
      </c>
      <c r="H88" s="35" t="e">
        <f t="shared" si="23"/>
        <v>#REF!</v>
      </c>
      <c r="I88" s="40" t="e">
        <f t="shared" si="23"/>
        <v>#REF!</v>
      </c>
      <c r="J88" s="40" t="e">
        <f t="shared" si="23"/>
        <v>#REF!</v>
      </c>
      <c r="K88" s="40" t="e">
        <f t="shared" si="23"/>
        <v>#REF!</v>
      </c>
      <c r="L88" s="35" t="e">
        <f t="shared" si="23"/>
        <v>#REF!</v>
      </c>
      <c r="M88" s="35" t="e">
        <f t="shared" si="23"/>
        <v>#REF!</v>
      </c>
    </row>
    <row r="89" spans="1:14">
      <c r="B89" s="6"/>
      <c r="C89" s="6"/>
      <c r="D89" s="6"/>
      <c r="E89" s="6"/>
    </row>
    <row r="90" spans="1:14">
      <c r="B90" s="6"/>
      <c r="C90" s="6"/>
      <c r="D90" s="21"/>
      <c r="E90" s="6"/>
    </row>
    <row r="91" spans="1:14">
      <c r="B91" s="6"/>
      <c r="C91" s="6"/>
      <c r="D91" s="6"/>
      <c r="E91" s="6"/>
    </row>
    <row r="92" spans="1:14">
      <c r="B92" s="6"/>
      <c r="C92" s="6"/>
      <c r="D92" s="6"/>
      <c r="E92" s="6"/>
    </row>
    <row r="93" spans="1:14">
      <c r="B93" s="6"/>
      <c r="C93" s="6"/>
      <c r="D93" s="6"/>
      <c r="E93" s="6"/>
    </row>
    <row r="94" spans="1:14">
      <c r="B94" s="6"/>
      <c r="C94" s="6"/>
      <c r="D94" s="34"/>
      <c r="E94" s="6"/>
    </row>
    <row r="95" spans="1:14">
      <c r="B95" s="6"/>
      <c r="C95" s="6"/>
      <c r="D95" s="6"/>
      <c r="E95" s="6"/>
    </row>
    <row r="96" spans="1:14">
      <c r="B96" s="6"/>
      <c r="C96" s="6"/>
      <c r="D96" s="6"/>
      <c r="E96" s="6"/>
    </row>
  </sheetData>
  <pageMargins left="0.28000000000000003" right="0.25" top="0.99" bottom="0.75" header="0.63" footer="0.23"/>
  <pageSetup scale="67" orientation="landscape" r:id="rId1"/>
  <headerFooter alignWithMargins="0">
    <oddHeader xml:space="preserve">&amp;C&amp;"Arial,Bold"&amp;11 49ER SHOPS, INC.
&amp;UFY2016/2017 OPERATIONAL CASH FLOW </oddHeader>
    <oddFooter>&amp;CCash Flow - FY2016/2017
January 2017</oddFooter>
  </headerFooter>
  <legacy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FF00"/>
    <pageSetUpPr fitToPage="1"/>
  </sheetPr>
  <dimension ref="A1:AR96"/>
  <sheetViews>
    <sheetView showGridLines="0" workbookViewId="0">
      <pane xSplit="1" ySplit="3" topLeftCell="F35" activePane="bottomRight" state="frozen"/>
      <selection pane="topRight" activeCell="B72" sqref="B72"/>
      <selection pane="bottomLeft" activeCell="B72" sqref="B72"/>
      <selection pane="bottomRight" activeCell="A2" sqref="A2"/>
    </sheetView>
  </sheetViews>
  <sheetFormatPr defaultRowHeight="12.75"/>
  <cols>
    <col min="1" max="1" width="35.42578125" customWidth="1"/>
    <col min="2" max="2" width="14" customWidth="1"/>
    <col min="3" max="3" width="12.5703125" customWidth="1"/>
    <col min="4" max="4" width="12.140625" customWidth="1"/>
    <col min="5" max="5" width="13.5703125" customWidth="1"/>
    <col min="6" max="6" width="12.85546875" customWidth="1"/>
    <col min="7" max="7" width="12.5703125" style="6" customWidth="1"/>
    <col min="8" max="9" width="12.85546875" customWidth="1"/>
    <col min="10" max="11" width="12.140625" customWidth="1"/>
    <col min="12" max="13" width="12.85546875" customWidth="1"/>
    <col min="14" max="14" width="12.85546875" bestFit="1" customWidth="1"/>
    <col min="15" max="15" width="10.140625" bestFit="1" customWidth="1"/>
    <col min="16" max="16" width="13.140625" bestFit="1" customWidth="1"/>
  </cols>
  <sheetData>
    <row r="1" spans="1:15" ht="13.5" thickBot="1">
      <c r="A1" s="46" t="s">
        <v>87</v>
      </c>
      <c r="E1" s="6"/>
      <c r="F1" s="6"/>
      <c r="J1" s="6"/>
      <c r="K1" s="6"/>
      <c r="N1" s="3"/>
    </row>
    <row r="2" spans="1:15">
      <c r="B2" s="45" t="s">
        <v>24</v>
      </c>
      <c r="C2" s="45" t="s">
        <v>24</v>
      </c>
      <c r="D2" s="45" t="s">
        <v>24</v>
      </c>
      <c r="E2" s="45" t="s">
        <v>24</v>
      </c>
      <c r="F2" s="45" t="s">
        <v>24</v>
      </c>
      <c r="G2" s="45" t="s">
        <v>24</v>
      </c>
      <c r="H2" s="45" t="s">
        <v>24</v>
      </c>
      <c r="I2" s="45" t="s">
        <v>24</v>
      </c>
      <c r="J2" s="45" t="s">
        <v>76</v>
      </c>
      <c r="K2" s="45" t="s">
        <v>76</v>
      </c>
      <c r="L2" s="45" t="s">
        <v>76</v>
      </c>
      <c r="M2" s="45" t="s">
        <v>76</v>
      </c>
      <c r="N2" s="55" t="s">
        <v>25</v>
      </c>
    </row>
    <row r="3" spans="1:15" s="5" customFormat="1">
      <c r="B3" s="11">
        <v>42553</v>
      </c>
      <c r="C3" s="11">
        <v>42584</v>
      </c>
      <c r="D3" s="11">
        <v>42615</v>
      </c>
      <c r="E3" s="11">
        <v>42645</v>
      </c>
      <c r="F3" s="11">
        <v>42676</v>
      </c>
      <c r="G3" s="11">
        <v>42706</v>
      </c>
      <c r="H3" s="11">
        <v>42737</v>
      </c>
      <c r="I3" s="11">
        <v>42768</v>
      </c>
      <c r="J3" s="11">
        <v>42796</v>
      </c>
      <c r="K3" s="11">
        <v>42827</v>
      </c>
      <c r="L3" s="11">
        <v>42857</v>
      </c>
      <c r="M3" s="11">
        <v>42888</v>
      </c>
      <c r="N3" s="57" t="s">
        <v>77</v>
      </c>
    </row>
    <row r="4" spans="1:15" hidden="1">
      <c r="A4" s="1" t="s">
        <v>27</v>
      </c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>
        <f>SUM(B4:M4)</f>
        <v>0</v>
      </c>
      <c r="O4" s="6"/>
    </row>
    <row r="5" spans="1:15" s="6" customFormat="1" hidden="1">
      <c r="A5" s="6" t="s">
        <v>28</v>
      </c>
      <c r="B5" s="53">
        <v>1199482</v>
      </c>
      <c r="C5" s="53">
        <v>4828670</v>
      </c>
      <c r="D5" s="53">
        <v>3749028</v>
      </c>
      <c r="E5" s="53">
        <v>3546355</v>
      </c>
      <c r="F5" s="53">
        <v>2585168</v>
      </c>
      <c r="G5" s="53">
        <v>2443265</v>
      </c>
      <c r="H5" s="53">
        <v>3426560</v>
      </c>
      <c r="I5" s="53">
        <v>3501507</v>
      </c>
      <c r="J5" s="53">
        <v>3101264.61223314</v>
      </c>
      <c r="K5" s="53">
        <v>2861289.1218165602</v>
      </c>
      <c r="L5" s="53">
        <v>2884558.9345671199</v>
      </c>
      <c r="M5" s="53">
        <v>1536863.9470107399</v>
      </c>
      <c r="N5" s="12">
        <f>SUM(B5:M5)</f>
        <v>35664011.615627557</v>
      </c>
    </row>
    <row r="6" spans="1:15" s="6" customFormat="1" hidden="1">
      <c r="A6" s="6" t="s">
        <v>29</v>
      </c>
      <c r="B6" s="53">
        <v>54104</v>
      </c>
      <c r="C6" s="53">
        <v>50888</v>
      </c>
      <c r="D6" s="53">
        <v>47975</v>
      </c>
      <c r="E6" s="53">
        <v>339053</v>
      </c>
      <c r="F6" s="53">
        <v>50128</v>
      </c>
      <c r="G6" s="53">
        <v>100915</v>
      </c>
      <c r="H6" s="53">
        <v>55954</v>
      </c>
      <c r="I6" s="53">
        <v>64066</v>
      </c>
      <c r="J6" s="53">
        <v>194949.6852683014</v>
      </c>
      <c r="K6" s="53">
        <v>107775.7156534557</v>
      </c>
      <c r="L6" s="53">
        <v>303701.34733729798</v>
      </c>
      <c r="M6" s="53">
        <v>46075.731999999996</v>
      </c>
      <c r="N6" s="7">
        <f>SUM(B6:M6)</f>
        <v>1415585.480259055</v>
      </c>
    </row>
    <row r="7" spans="1:15" s="6" customFormat="1" hidden="1">
      <c r="B7" s="7"/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7">
        <f>SUM(B7:M7)</f>
        <v>0</v>
      </c>
    </row>
    <row r="8" spans="1:15" s="6" customFormat="1" hidden="1">
      <c r="B8" s="15"/>
      <c r="C8" s="15"/>
      <c r="D8" s="15"/>
      <c r="E8" s="15"/>
      <c r="F8" s="15"/>
      <c r="G8" s="15"/>
      <c r="H8" s="15"/>
      <c r="I8" s="15"/>
      <c r="J8" s="15"/>
      <c r="K8" s="15"/>
      <c r="L8" s="15"/>
      <c r="M8" s="15"/>
      <c r="N8" s="15">
        <f>SUM(B8:M8)</f>
        <v>0</v>
      </c>
    </row>
    <row r="9" spans="1:15" s="6" customFormat="1">
      <c r="A9" s="13" t="s">
        <v>30</v>
      </c>
      <c r="B9" s="12">
        <f t="shared" ref="B9:N9" si="0">SUM(B5:B8)</f>
        <v>1253586</v>
      </c>
      <c r="C9" s="12">
        <f t="shared" si="0"/>
        <v>4879558</v>
      </c>
      <c r="D9" s="12">
        <f t="shared" si="0"/>
        <v>3797003</v>
      </c>
      <c r="E9" s="12">
        <v>3546355</v>
      </c>
      <c r="F9" s="12">
        <f t="shared" si="0"/>
        <v>2635296</v>
      </c>
      <c r="G9" s="12">
        <f t="shared" si="0"/>
        <v>2544180</v>
      </c>
      <c r="H9" s="12">
        <f t="shared" si="0"/>
        <v>3482514</v>
      </c>
      <c r="I9" s="12">
        <f t="shared" si="0"/>
        <v>3565573</v>
      </c>
      <c r="J9" s="12">
        <f t="shared" si="0"/>
        <v>3296214.2975014416</v>
      </c>
      <c r="K9" s="12">
        <f t="shared" si="0"/>
        <v>2969064.837470016</v>
      </c>
      <c r="L9" s="12">
        <f t="shared" si="0"/>
        <v>3188260.281904418</v>
      </c>
      <c r="M9" s="12">
        <f t="shared" si="0"/>
        <v>1582939.67901074</v>
      </c>
      <c r="N9" s="12">
        <f t="shared" si="0"/>
        <v>37079597.09588661</v>
      </c>
    </row>
    <row r="10" spans="1:15" s="6" customFormat="1" ht="6.75" customHeight="1"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</row>
    <row r="11" spans="1:15" s="6" customFormat="1">
      <c r="A11" s="13" t="s">
        <v>31</v>
      </c>
      <c r="B11" s="7">
        <v>7663</v>
      </c>
      <c r="C11" s="7">
        <v>2297</v>
      </c>
      <c r="D11" s="7">
        <v>6582</v>
      </c>
      <c r="E11" s="7">
        <v>62</v>
      </c>
      <c r="F11" s="7">
        <f>5776-5686</f>
        <v>90</v>
      </c>
      <c r="G11" s="7">
        <v>2997</v>
      </c>
      <c r="H11" s="7">
        <f>13058-6989</f>
        <v>6069</v>
      </c>
      <c r="I11" s="7">
        <f>9542-7182</f>
        <v>2360</v>
      </c>
      <c r="J11" s="7"/>
      <c r="K11" s="7"/>
      <c r="L11" s="7"/>
      <c r="M11" s="7"/>
      <c r="N11" s="7">
        <f>SUM(B11:M11)</f>
        <v>28120</v>
      </c>
    </row>
    <row r="12" spans="1:15" s="6" customFormat="1" ht="7.5" customHeight="1">
      <c r="B12" s="7"/>
      <c r="C12" s="7"/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</row>
    <row r="13" spans="1:15" s="6" customFormat="1" ht="13.5" thickBot="1">
      <c r="A13" s="13" t="s">
        <v>32</v>
      </c>
      <c r="B13" s="14">
        <f t="shared" ref="B13:N13" si="1">B9+B11</f>
        <v>1261249</v>
      </c>
      <c r="C13" s="14">
        <f>C9+C11</f>
        <v>4881855</v>
      </c>
      <c r="D13" s="14">
        <f t="shared" si="1"/>
        <v>3803585</v>
      </c>
      <c r="E13" s="14">
        <f t="shared" si="1"/>
        <v>3546417</v>
      </c>
      <c r="F13" s="14">
        <f t="shared" si="1"/>
        <v>2635386</v>
      </c>
      <c r="G13" s="14">
        <f t="shared" si="1"/>
        <v>2547177</v>
      </c>
      <c r="H13" s="14">
        <f t="shared" si="1"/>
        <v>3488583</v>
      </c>
      <c r="I13" s="14">
        <f t="shared" si="1"/>
        <v>3567933</v>
      </c>
      <c r="J13" s="14">
        <f t="shared" si="1"/>
        <v>3296214.2975014416</v>
      </c>
      <c r="K13" s="14">
        <f t="shared" si="1"/>
        <v>2969064.837470016</v>
      </c>
      <c r="L13" s="14">
        <f t="shared" si="1"/>
        <v>3188260.281904418</v>
      </c>
      <c r="M13" s="14">
        <f t="shared" si="1"/>
        <v>1582939.67901074</v>
      </c>
      <c r="N13" s="14">
        <f t="shared" si="1"/>
        <v>37107717.09588661</v>
      </c>
    </row>
    <row r="14" spans="1:15" s="6" customFormat="1" ht="13.5" thickTop="1">
      <c r="B14" s="7"/>
      <c r="C14" s="7"/>
      <c r="D14" s="7"/>
      <c r="E14" s="7"/>
      <c r="F14" s="7"/>
      <c r="G14" s="7"/>
      <c r="H14" s="7"/>
      <c r="I14" s="7"/>
      <c r="J14" s="7"/>
      <c r="K14" s="7"/>
      <c r="L14" s="7"/>
      <c r="M14" s="7"/>
    </row>
    <row r="15" spans="1:15" s="6" customFormat="1" hidden="1">
      <c r="A15" s="13" t="s">
        <v>33</v>
      </c>
      <c r="B15" s="7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</row>
    <row r="16" spans="1:15" s="6" customFormat="1" hidden="1">
      <c r="A16" s="6" t="s">
        <v>34</v>
      </c>
      <c r="B16" s="53">
        <v>620285</v>
      </c>
      <c r="C16" s="53">
        <v>2968543</v>
      </c>
      <c r="D16" s="53">
        <v>1627085</v>
      </c>
      <c r="E16" s="53">
        <v>1339249</v>
      </c>
      <c r="F16" s="53">
        <v>866632</v>
      </c>
      <c r="G16" s="53">
        <v>917825</v>
      </c>
      <c r="H16" s="53">
        <v>2106719</v>
      </c>
      <c r="I16" s="53">
        <v>1431976</v>
      </c>
      <c r="J16" s="53">
        <v>1146427.91045744</v>
      </c>
      <c r="K16" s="53">
        <v>1014457.82475312</v>
      </c>
      <c r="L16" s="53">
        <v>1202846.3247627199</v>
      </c>
      <c r="M16" s="53">
        <v>808585.32395320502</v>
      </c>
      <c r="N16" s="7">
        <f>SUM(B16:M16)</f>
        <v>16050631.383926487</v>
      </c>
    </row>
    <row r="17" spans="1:44" s="6" customFormat="1" hidden="1">
      <c r="B17" s="27"/>
      <c r="C17" s="27"/>
      <c r="D17" s="27"/>
      <c r="E17" s="27"/>
      <c r="F17" s="27"/>
      <c r="G17" s="27"/>
      <c r="H17" s="27"/>
      <c r="I17" s="27"/>
      <c r="J17" s="27"/>
      <c r="K17" s="27"/>
      <c r="L17" s="27"/>
      <c r="M17" s="27"/>
      <c r="N17" s="7">
        <f>SUM(B17:M17)</f>
        <v>0</v>
      </c>
    </row>
    <row r="18" spans="1:44" s="6" customFormat="1" hidden="1">
      <c r="B18" s="7"/>
      <c r="C18" s="7"/>
      <c r="D18" s="7"/>
      <c r="E18" s="7"/>
      <c r="F18" s="7"/>
      <c r="G18" s="7"/>
      <c r="H18" s="7"/>
      <c r="I18" s="7"/>
      <c r="J18" s="7"/>
      <c r="K18" s="7"/>
      <c r="L18" s="7"/>
      <c r="M18" s="7"/>
      <c r="N18" s="7">
        <v>0</v>
      </c>
    </row>
    <row r="19" spans="1:44" s="6" customFormat="1" hidden="1">
      <c r="B19" s="15"/>
      <c r="C19" s="15"/>
      <c r="D19" s="15"/>
      <c r="E19" s="15"/>
      <c r="F19" s="15"/>
      <c r="G19" s="15"/>
      <c r="H19" s="15"/>
      <c r="I19" s="15"/>
      <c r="J19" s="15"/>
      <c r="K19" s="15"/>
      <c r="L19" s="15"/>
      <c r="M19" s="15"/>
      <c r="N19" s="15">
        <f>SUM(B19:M19)</f>
        <v>0</v>
      </c>
    </row>
    <row r="20" spans="1:44" s="6" customFormat="1">
      <c r="A20" s="13" t="s">
        <v>35</v>
      </c>
      <c r="B20" s="12">
        <f t="shared" ref="B20:N20" si="2">SUM(B16:B19)</f>
        <v>620285</v>
      </c>
      <c r="C20" s="12">
        <f t="shared" si="2"/>
        <v>2968543</v>
      </c>
      <c r="D20" s="12">
        <f t="shared" si="2"/>
        <v>1627085</v>
      </c>
      <c r="E20" s="12">
        <f t="shared" si="2"/>
        <v>1339249</v>
      </c>
      <c r="F20" s="12">
        <f t="shared" si="2"/>
        <v>866632</v>
      </c>
      <c r="G20" s="12">
        <f t="shared" si="2"/>
        <v>917825</v>
      </c>
      <c r="H20" s="12">
        <f t="shared" si="2"/>
        <v>2106719</v>
      </c>
      <c r="I20" s="12">
        <f t="shared" si="2"/>
        <v>1431976</v>
      </c>
      <c r="J20" s="12">
        <f t="shared" si="2"/>
        <v>1146427.91045744</v>
      </c>
      <c r="K20" s="12">
        <f t="shared" si="2"/>
        <v>1014457.82475312</v>
      </c>
      <c r="L20" s="12">
        <f t="shared" si="2"/>
        <v>1202846.3247627199</v>
      </c>
      <c r="M20" s="12">
        <f t="shared" si="2"/>
        <v>808585.32395320502</v>
      </c>
      <c r="N20" s="12">
        <f t="shared" si="2"/>
        <v>16050631.383926487</v>
      </c>
    </row>
    <row r="21" spans="1:44" s="6" customFormat="1">
      <c r="B21" s="7"/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</row>
    <row r="22" spans="1:44" s="6" customFormat="1" hidden="1">
      <c r="A22" s="13" t="s">
        <v>36</v>
      </c>
      <c r="B22" s="7"/>
      <c r="C22" s="7"/>
      <c r="D22" s="7"/>
      <c r="E22" s="7"/>
      <c r="F22" s="7"/>
      <c r="G22" s="7"/>
      <c r="H22" s="7"/>
      <c r="I22" s="7"/>
      <c r="J22" s="7"/>
      <c r="K22" s="7"/>
      <c r="L22" s="7"/>
      <c r="M22" s="7"/>
    </row>
    <row r="23" spans="1:44" s="6" customFormat="1" hidden="1">
      <c r="A23" s="6" t="s">
        <v>37</v>
      </c>
      <c r="B23" s="7">
        <f t="shared" ref="B23:M26" si="3">+B5-B16</f>
        <v>579197</v>
      </c>
      <c r="C23" s="7">
        <f t="shared" si="3"/>
        <v>1860127</v>
      </c>
      <c r="D23" s="7">
        <f t="shared" si="3"/>
        <v>2121943</v>
      </c>
      <c r="E23" s="7">
        <f t="shared" si="3"/>
        <v>2207106</v>
      </c>
      <c r="F23" s="7">
        <f t="shared" si="3"/>
        <v>1718536</v>
      </c>
      <c r="G23" s="7">
        <f t="shared" si="3"/>
        <v>1525440</v>
      </c>
      <c r="H23" s="7">
        <f t="shared" si="3"/>
        <v>1319841</v>
      </c>
      <c r="I23" s="7">
        <f t="shared" si="3"/>
        <v>2069531</v>
      </c>
      <c r="J23" s="7">
        <f t="shared" si="3"/>
        <v>1954836.7017757001</v>
      </c>
      <c r="K23" s="7">
        <f t="shared" si="3"/>
        <v>1846831.2970634401</v>
      </c>
      <c r="L23" s="7">
        <f t="shared" si="3"/>
        <v>1681712.6098044</v>
      </c>
      <c r="M23" s="7">
        <f t="shared" si="3"/>
        <v>728278.62305753492</v>
      </c>
      <c r="N23" s="7">
        <f>SUM(B23:M23)</f>
        <v>19613380.231701076</v>
      </c>
    </row>
    <row r="24" spans="1:44" s="6" customFormat="1" hidden="1">
      <c r="A24" s="6" t="s">
        <v>37</v>
      </c>
      <c r="B24" s="7">
        <f t="shared" si="3"/>
        <v>54104</v>
      </c>
      <c r="C24" s="7">
        <f t="shared" si="3"/>
        <v>50888</v>
      </c>
      <c r="D24" s="7">
        <f t="shared" si="3"/>
        <v>47975</v>
      </c>
      <c r="E24" s="7">
        <f t="shared" si="3"/>
        <v>339053</v>
      </c>
      <c r="F24" s="7">
        <f t="shared" si="3"/>
        <v>50128</v>
      </c>
      <c r="G24" s="7">
        <f t="shared" si="3"/>
        <v>100915</v>
      </c>
      <c r="H24" s="7">
        <f t="shared" si="3"/>
        <v>55954</v>
      </c>
      <c r="I24" s="7">
        <f t="shared" si="3"/>
        <v>64066</v>
      </c>
      <c r="J24" s="7">
        <f t="shared" si="3"/>
        <v>194949.6852683014</v>
      </c>
      <c r="K24" s="7">
        <f t="shared" si="3"/>
        <v>107775.7156534557</v>
      </c>
      <c r="L24" s="7">
        <f t="shared" si="3"/>
        <v>303701.34733729798</v>
      </c>
      <c r="M24" s="7">
        <f t="shared" si="3"/>
        <v>46075.731999999996</v>
      </c>
      <c r="N24" s="7">
        <f>SUM(B24:M24)</f>
        <v>1415585.480259055</v>
      </c>
    </row>
    <row r="25" spans="1:44" s="6" customFormat="1" hidden="1">
      <c r="A25" s="6" t="s">
        <v>38</v>
      </c>
      <c r="B25" s="7">
        <f t="shared" si="3"/>
        <v>0</v>
      </c>
      <c r="C25" s="7">
        <f t="shared" si="3"/>
        <v>0</v>
      </c>
      <c r="D25" s="7">
        <f t="shared" si="3"/>
        <v>0</v>
      </c>
      <c r="E25" s="7">
        <f t="shared" si="3"/>
        <v>0</v>
      </c>
      <c r="F25" s="7">
        <f t="shared" si="3"/>
        <v>0</v>
      </c>
      <c r="G25" s="7">
        <f t="shared" si="3"/>
        <v>0</v>
      </c>
      <c r="H25" s="7">
        <f t="shared" si="3"/>
        <v>0</v>
      </c>
      <c r="I25" s="7">
        <f t="shared" si="3"/>
        <v>0</v>
      </c>
      <c r="J25" s="7">
        <f t="shared" si="3"/>
        <v>0</v>
      </c>
      <c r="K25" s="7">
        <f t="shared" si="3"/>
        <v>0</v>
      </c>
      <c r="L25" s="7">
        <f t="shared" si="3"/>
        <v>0</v>
      </c>
      <c r="M25" s="7">
        <f t="shared" si="3"/>
        <v>0</v>
      </c>
      <c r="N25" s="7">
        <f>SUM(B25:M25)</f>
        <v>0</v>
      </c>
    </row>
    <row r="26" spans="1:44" s="6" customFormat="1" hidden="1">
      <c r="A26" s="6" t="s">
        <v>38</v>
      </c>
      <c r="B26" s="15">
        <f t="shared" si="3"/>
        <v>0</v>
      </c>
      <c r="C26" s="15">
        <f t="shared" si="3"/>
        <v>0</v>
      </c>
      <c r="D26" s="15">
        <f t="shared" si="3"/>
        <v>0</v>
      </c>
      <c r="E26" s="15">
        <f t="shared" si="3"/>
        <v>0</v>
      </c>
      <c r="F26" s="15">
        <f t="shared" si="3"/>
        <v>0</v>
      </c>
      <c r="G26" s="15">
        <f t="shared" si="3"/>
        <v>0</v>
      </c>
      <c r="H26" s="15">
        <f t="shared" si="3"/>
        <v>0</v>
      </c>
      <c r="I26" s="15">
        <f t="shared" si="3"/>
        <v>0</v>
      </c>
      <c r="J26" s="15">
        <f t="shared" si="3"/>
        <v>0</v>
      </c>
      <c r="K26" s="15">
        <f t="shared" si="3"/>
        <v>0</v>
      </c>
      <c r="L26" s="15">
        <f t="shared" si="3"/>
        <v>0</v>
      </c>
      <c r="M26" s="15">
        <f t="shared" si="3"/>
        <v>0</v>
      </c>
      <c r="N26" s="15">
        <f>SUM(B26:M26)</f>
        <v>0</v>
      </c>
    </row>
    <row r="27" spans="1:44" s="6" customFormat="1">
      <c r="A27" s="13" t="s">
        <v>39</v>
      </c>
      <c r="B27" s="12">
        <f t="shared" ref="B27:N27" si="4">SUM(B23:B26)</f>
        <v>633301</v>
      </c>
      <c r="C27" s="12">
        <f t="shared" si="4"/>
        <v>1911015</v>
      </c>
      <c r="D27" s="12">
        <f t="shared" si="4"/>
        <v>2169918</v>
      </c>
      <c r="E27" s="12">
        <f t="shared" si="4"/>
        <v>2546159</v>
      </c>
      <c r="F27" s="12">
        <f t="shared" si="4"/>
        <v>1768664</v>
      </c>
      <c r="G27" s="12">
        <f t="shared" si="4"/>
        <v>1626355</v>
      </c>
      <c r="H27" s="12">
        <f t="shared" si="4"/>
        <v>1375795</v>
      </c>
      <c r="I27" s="12">
        <f t="shared" si="4"/>
        <v>2133597</v>
      </c>
      <c r="J27" s="12">
        <f t="shared" si="4"/>
        <v>2149786.3870440014</v>
      </c>
      <c r="K27" s="12">
        <f t="shared" si="4"/>
        <v>1954607.0127168959</v>
      </c>
      <c r="L27" s="12">
        <f t="shared" si="4"/>
        <v>1985413.9571416979</v>
      </c>
      <c r="M27" s="12">
        <f>SUM(M23:M26)</f>
        <v>774354.35505753488</v>
      </c>
      <c r="N27" s="12">
        <f t="shared" si="4"/>
        <v>21028965.711960129</v>
      </c>
    </row>
    <row r="28" spans="1:44" s="6" customFormat="1">
      <c r="B28" s="7"/>
      <c r="C28" s="7"/>
      <c r="D28" s="7"/>
      <c r="E28" s="7"/>
      <c r="F28" s="7"/>
      <c r="G28" s="7"/>
      <c r="H28" s="7"/>
      <c r="I28" s="7"/>
      <c r="J28" s="7"/>
      <c r="K28" s="7"/>
      <c r="L28" s="7"/>
      <c r="M28" s="7"/>
    </row>
    <row r="29" spans="1:44" s="6" customFormat="1" hidden="1">
      <c r="A29" s="13" t="s">
        <v>40</v>
      </c>
      <c r="B29" s="7"/>
      <c r="C29" s="7"/>
      <c r="D29" s="7"/>
      <c r="E29" s="7"/>
      <c r="F29" s="7"/>
      <c r="G29" s="7"/>
      <c r="H29" s="7"/>
      <c r="I29" s="7"/>
      <c r="J29" s="7"/>
      <c r="K29" s="7"/>
      <c r="L29" s="7"/>
      <c r="M29" s="7"/>
    </row>
    <row r="30" spans="1:44" s="6" customFormat="1" hidden="1">
      <c r="A30" s="6" t="s">
        <v>41</v>
      </c>
      <c r="B30" s="53">
        <v>392880</v>
      </c>
      <c r="C30" s="53">
        <v>559131</v>
      </c>
      <c r="D30" s="53">
        <v>664356</v>
      </c>
      <c r="E30" s="53">
        <v>808302</v>
      </c>
      <c r="F30" s="53">
        <v>577909</v>
      </c>
      <c r="G30" s="53">
        <v>554216</v>
      </c>
      <c r="H30" s="53">
        <v>599925</v>
      </c>
      <c r="I30" s="53">
        <v>700444</v>
      </c>
      <c r="J30" s="53">
        <v>653848.24865265505</v>
      </c>
      <c r="K30" s="53">
        <v>727810.13162081898</v>
      </c>
      <c r="L30" s="53">
        <v>615430.25565265596</v>
      </c>
      <c r="M30" s="53">
        <v>456542.16991265502</v>
      </c>
      <c r="N30" s="7">
        <f>SUM(B30:M30)</f>
        <v>7310793.8058387842</v>
      </c>
    </row>
    <row r="31" spans="1:44" s="6" customFormat="1" hidden="1">
      <c r="A31" s="6" t="s">
        <v>42</v>
      </c>
      <c r="B31" s="53">
        <v>216187</v>
      </c>
      <c r="C31" s="53">
        <v>190413</v>
      </c>
      <c r="D31" s="53">
        <v>232147</v>
      </c>
      <c r="E31" s="53">
        <v>210938</v>
      </c>
      <c r="F31" s="53">
        <v>193412</v>
      </c>
      <c r="G31" s="53">
        <v>167260</v>
      </c>
      <c r="H31" s="53">
        <v>226827</v>
      </c>
      <c r="I31" s="53">
        <v>203520</v>
      </c>
      <c r="J31" s="53">
        <v>200709.39503545201</v>
      </c>
      <c r="K31" s="53">
        <v>223370.57771881</v>
      </c>
      <c r="L31" s="53">
        <v>196340.080043806</v>
      </c>
      <c r="M31" s="53">
        <v>191011.551540168</v>
      </c>
      <c r="N31" s="7">
        <f>SUM(B31:M31)</f>
        <v>2452135.6043382362</v>
      </c>
    </row>
    <row r="32" spans="1:44" s="6" customFormat="1" ht="15" hidden="1">
      <c r="A32" s="6" t="s">
        <v>38</v>
      </c>
      <c r="B32" s="65"/>
      <c r="C32" s="65"/>
      <c r="D32" s="65"/>
      <c r="E32" s="65"/>
      <c r="F32" s="68"/>
      <c r="G32" s="68"/>
      <c r="H32" s="68"/>
      <c r="I32" s="68"/>
      <c r="J32" s="68"/>
      <c r="K32" s="68"/>
      <c r="L32" s="68"/>
      <c r="M32" s="68"/>
      <c r="N32" s="7">
        <f>SUM(B32:M32)</f>
        <v>0</v>
      </c>
      <c r="P32" s="6">
        <f>+B32*-1</f>
        <v>0</v>
      </c>
      <c r="Q32" s="6">
        <f t="shared" ref="Q32:AF33" si="5">+C32*-1</f>
        <v>0</v>
      </c>
      <c r="R32" s="6">
        <f t="shared" si="5"/>
        <v>0</v>
      </c>
      <c r="S32" s="6">
        <f t="shared" si="5"/>
        <v>0</v>
      </c>
      <c r="T32" s="6">
        <f t="shared" si="5"/>
        <v>0</v>
      </c>
      <c r="U32" s="6">
        <f t="shared" si="5"/>
        <v>0</v>
      </c>
      <c r="V32" s="6">
        <f t="shared" si="5"/>
        <v>0</v>
      </c>
      <c r="W32" s="6">
        <f t="shared" si="5"/>
        <v>0</v>
      </c>
      <c r="X32" s="6">
        <f t="shared" si="5"/>
        <v>0</v>
      </c>
      <c r="Y32" s="6">
        <f t="shared" si="5"/>
        <v>0</v>
      </c>
      <c r="Z32" s="6">
        <f t="shared" si="5"/>
        <v>0</v>
      </c>
      <c r="AA32" s="6">
        <f t="shared" si="5"/>
        <v>0</v>
      </c>
      <c r="AB32" s="6">
        <f t="shared" si="5"/>
        <v>0</v>
      </c>
      <c r="AC32" s="6">
        <f t="shared" si="5"/>
        <v>0</v>
      </c>
      <c r="AD32" s="6">
        <f t="shared" si="5"/>
        <v>0</v>
      </c>
      <c r="AE32" s="6">
        <f t="shared" si="5"/>
        <v>0</v>
      </c>
      <c r="AF32" s="6">
        <f t="shared" si="5"/>
        <v>0</v>
      </c>
      <c r="AG32" s="6">
        <f t="shared" ref="AG32:AR33" si="6">+S32*-1</f>
        <v>0</v>
      </c>
      <c r="AH32" s="6">
        <f t="shared" si="6"/>
        <v>0</v>
      </c>
      <c r="AI32" s="6">
        <f t="shared" si="6"/>
        <v>0</v>
      </c>
      <c r="AJ32" s="6">
        <f t="shared" si="6"/>
        <v>0</v>
      </c>
      <c r="AK32" s="6">
        <f t="shared" si="6"/>
        <v>0</v>
      </c>
      <c r="AL32" s="6">
        <f t="shared" si="6"/>
        <v>0</v>
      </c>
      <c r="AM32" s="6">
        <f t="shared" si="6"/>
        <v>0</v>
      </c>
      <c r="AN32" s="6">
        <f t="shared" si="6"/>
        <v>0</v>
      </c>
      <c r="AO32" s="6">
        <f t="shared" si="6"/>
        <v>0</v>
      </c>
      <c r="AP32" s="6">
        <f t="shared" si="6"/>
        <v>0</v>
      </c>
      <c r="AQ32" s="6">
        <f t="shared" si="6"/>
        <v>0</v>
      </c>
      <c r="AR32" s="6">
        <f t="shared" si="6"/>
        <v>0</v>
      </c>
    </row>
    <row r="33" spans="1:44" s="6" customFormat="1" hidden="1">
      <c r="B33" s="15"/>
      <c r="C33" s="15"/>
      <c r="D33" s="15"/>
      <c r="E33" s="15"/>
      <c r="F33" s="15"/>
      <c r="G33" s="15"/>
      <c r="H33" s="15"/>
      <c r="I33" s="15"/>
      <c r="J33" s="15"/>
      <c r="K33" s="15"/>
      <c r="L33" s="15"/>
      <c r="M33" s="15"/>
      <c r="N33" s="15">
        <f>SUM(B33:M33)</f>
        <v>0</v>
      </c>
      <c r="Q33" s="6">
        <f t="shared" si="5"/>
        <v>0</v>
      </c>
      <c r="R33" s="6">
        <f t="shared" si="5"/>
        <v>0</v>
      </c>
      <c r="S33" s="6">
        <f t="shared" si="5"/>
        <v>0</v>
      </c>
      <c r="T33" s="6">
        <f t="shared" si="5"/>
        <v>0</v>
      </c>
      <c r="U33" s="6">
        <f t="shared" si="5"/>
        <v>0</v>
      </c>
      <c r="V33" s="6">
        <f t="shared" si="5"/>
        <v>0</v>
      </c>
      <c r="W33" s="6">
        <f t="shared" si="5"/>
        <v>0</v>
      </c>
      <c r="X33" s="6">
        <f t="shared" si="5"/>
        <v>0</v>
      </c>
      <c r="Y33" s="6">
        <f t="shared" si="5"/>
        <v>0</v>
      </c>
      <c r="Z33" s="6">
        <f t="shared" si="5"/>
        <v>0</v>
      </c>
      <c r="AA33" s="6">
        <f t="shared" si="5"/>
        <v>0</v>
      </c>
      <c r="AB33" s="6">
        <f t="shared" si="5"/>
        <v>0</v>
      </c>
      <c r="AC33" s="6">
        <f t="shared" si="5"/>
        <v>0</v>
      </c>
      <c r="AD33" s="6">
        <f t="shared" si="5"/>
        <v>0</v>
      </c>
      <c r="AE33" s="6">
        <f t="shared" si="5"/>
        <v>0</v>
      </c>
      <c r="AF33" s="6">
        <f t="shared" si="5"/>
        <v>0</v>
      </c>
      <c r="AG33" s="6">
        <f t="shared" si="6"/>
        <v>0</v>
      </c>
      <c r="AH33" s="6">
        <f t="shared" si="6"/>
        <v>0</v>
      </c>
      <c r="AI33" s="6">
        <f t="shared" si="6"/>
        <v>0</v>
      </c>
      <c r="AJ33" s="6">
        <f t="shared" si="6"/>
        <v>0</v>
      </c>
      <c r="AK33" s="6">
        <f t="shared" si="6"/>
        <v>0</v>
      </c>
      <c r="AL33" s="6">
        <f t="shared" si="6"/>
        <v>0</v>
      </c>
      <c r="AM33" s="6">
        <f t="shared" si="6"/>
        <v>0</v>
      </c>
      <c r="AN33" s="6">
        <f t="shared" si="6"/>
        <v>0</v>
      </c>
      <c r="AO33" s="6">
        <f t="shared" si="6"/>
        <v>0</v>
      </c>
      <c r="AP33" s="6">
        <f t="shared" si="6"/>
        <v>0</v>
      </c>
      <c r="AQ33" s="6">
        <f t="shared" si="6"/>
        <v>0</v>
      </c>
      <c r="AR33" s="6">
        <f t="shared" si="6"/>
        <v>0</v>
      </c>
    </row>
    <row r="34" spans="1:44" s="6" customFormat="1">
      <c r="A34" s="13" t="s">
        <v>43</v>
      </c>
      <c r="B34" s="12">
        <f t="shared" ref="B34:N34" si="7">SUM(B30:B33)</f>
        <v>609067</v>
      </c>
      <c r="C34" s="12">
        <f t="shared" si="7"/>
        <v>749544</v>
      </c>
      <c r="D34" s="12">
        <f t="shared" si="7"/>
        <v>896503</v>
      </c>
      <c r="E34" s="12">
        <f t="shared" si="7"/>
        <v>1019240</v>
      </c>
      <c r="F34" s="12">
        <f t="shared" si="7"/>
        <v>771321</v>
      </c>
      <c r="G34" s="12">
        <f t="shared" si="7"/>
        <v>721476</v>
      </c>
      <c r="H34" s="12">
        <f t="shared" si="7"/>
        <v>826752</v>
      </c>
      <c r="I34" s="12">
        <f t="shared" si="7"/>
        <v>903964</v>
      </c>
      <c r="J34" s="12">
        <f t="shared" si="7"/>
        <v>854557.64368810703</v>
      </c>
      <c r="K34" s="12">
        <f t="shared" si="7"/>
        <v>951180.70933962893</v>
      </c>
      <c r="L34" s="12">
        <f t="shared" si="7"/>
        <v>811770.33569646196</v>
      </c>
      <c r="M34" s="12">
        <f t="shared" si="7"/>
        <v>647553.72145282303</v>
      </c>
      <c r="N34" s="12">
        <f t="shared" si="7"/>
        <v>9762929.4101770204</v>
      </c>
      <c r="O34" s="7"/>
    </row>
    <row r="35" spans="1:44" s="6" customFormat="1">
      <c r="B35" s="7"/>
      <c r="C35" s="7"/>
      <c r="D35" s="7"/>
      <c r="E35" s="7"/>
      <c r="F35" s="7"/>
      <c r="G35" s="7"/>
      <c r="H35" s="7"/>
      <c r="I35" s="7"/>
      <c r="J35" s="7"/>
      <c r="K35" s="7"/>
      <c r="L35" s="7"/>
      <c r="M35" s="7"/>
    </row>
    <row r="36" spans="1:44" s="6" customFormat="1" hidden="1">
      <c r="A36" s="13" t="s">
        <v>44</v>
      </c>
      <c r="B36" s="7"/>
      <c r="C36" s="7"/>
      <c r="D36" s="7"/>
      <c r="E36" s="7"/>
      <c r="F36" s="7"/>
      <c r="G36" s="7"/>
      <c r="H36" s="7"/>
      <c r="I36" s="7"/>
      <c r="J36" s="7"/>
      <c r="K36" s="7"/>
      <c r="L36" s="7"/>
      <c r="M36" s="7"/>
    </row>
    <row r="37" spans="1:44" s="6" customFormat="1" hidden="1">
      <c r="A37" s="6" t="s">
        <v>45</v>
      </c>
      <c r="B37" s="53">
        <v>957334</v>
      </c>
      <c r="C37" s="53">
        <v>1284431</v>
      </c>
      <c r="D37" s="53">
        <v>1445140</v>
      </c>
      <c r="E37" s="53">
        <v>1605674</v>
      </c>
      <c r="F37" s="53">
        <v>1524417</v>
      </c>
      <c r="G37" s="66">
        <v>1260096</v>
      </c>
      <c r="H37" s="66">
        <v>1231421</v>
      </c>
      <c r="I37" s="66">
        <v>1441090</v>
      </c>
      <c r="J37" s="66">
        <v>1483783.6270001915</v>
      </c>
      <c r="K37" s="53">
        <v>1521178.5687367001</v>
      </c>
      <c r="L37" s="53">
        <v>1366856.0727674812</v>
      </c>
      <c r="M37" s="53">
        <v>1089068.663147087</v>
      </c>
      <c r="N37" s="7">
        <f>SUM(B37:M37)</f>
        <v>16210489.93165146</v>
      </c>
      <c r="O37" s="53"/>
      <c r="P37" s="62"/>
    </row>
    <row r="38" spans="1:44" s="6" customFormat="1" hidden="1">
      <c r="A38" s="6" t="s">
        <v>46</v>
      </c>
      <c r="B38" s="7">
        <f>-B34</f>
        <v>-609067</v>
      </c>
      <c r="C38" s="7">
        <f t="shared" ref="C38:M38" si="8">-C34</f>
        <v>-749544</v>
      </c>
      <c r="D38" s="7">
        <f t="shared" si="8"/>
        <v>-896503</v>
      </c>
      <c r="E38" s="7">
        <f t="shared" si="8"/>
        <v>-1019240</v>
      </c>
      <c r="F38" s="7">
        <f t="shared" si="8"/>
        <v>-771321</v>
      </c>
      <c r="G38" s="7">
        <f t="shared" si="8"/>
        <v>-721476</v>
      </c>
      <c r="H38" s="7">
        <f t="shared" si="8"/>
        <v>-826752</v>
      </c>
      <c r="I38" s="7">
        <f t="shared" si="8"/>
        <v>-903964</v>
      </c>
      <c r="J38" s="7">
        <f t="shared" si="8"/>
        <v>-854557.64368810703</v>
      </c>
      <c r="K38" s="7">
        <f t="shared" si="8"/>
        <v>-951180.70933962893</v>
      </c>
      <c r="L38" s="7">
        <f t="shared" si="8"/>
        <v>-811770.33569646196</v>
      </c>
      <c r="M38" s="7">
        <f t="shared" si="8"/>
        <v>-647553.72145282303</v>
      </c>
      <c r="N38" s="7">
        <f>SUM(B38:M38)</f>
        <v>-9762929.4101770204</v>
      </c>
    </row>
    <row r="39" spans="1:44" s="6" customFormat="1" hidden="1">
      <c r="A39" s="6" t="s">
        <v>47</v>
      </c>
      <c r="B39" s="53">
        <v>-73369</v>
      </c>
      <c r="C39" s="53">
        <v>-72678</v>
      </c>
      <c r="D39" s="53">
        <v>-71948</v>
      </c>
      <c r="E39" s="53">
        <v>-72678</v>
      </c>
      <c r="F39" s="53">
        <v>-72867</v>
      </c>
      <c r="G39" s="53">
        <v>-72836</v>
      </c>
      <c r="H39" s="53">
        <v>-69729</v>
      </c>
      <c r="I39" s="53">
        <v>-69080</v>
      </c>
      <c r="J39" s="53">
        <v>-82065.061666666603</v>
      </c>
      <c r="K39" s="53">
        <v>-81467.421666666603</v>
      </c>
      <c r="L39" s="53">
        <v>-81449.971666666606</v>
      </c>
      <c r="M39" s="53">
        <v>-80077.631666666595</v>
      </c>
      <c r="N39" s="7">
        <v>-971805.1199999993</v>
      </c>
    </row>
    <row r="40" spans="1:44" s="6" customFormat="1" hidden="1">
      <c r="A40" s="6" t="s">
        <v>78</v>
      </c>
      <c r="B40" s="53"/>
      <c r="C40" s="53"/>
      <c r="D40" s="53"/>
      <c r="E40" s="53"/>
      <c r="F40" s="53"/>
      <c r="G40" s="53"/>
      <c r="H40" s="53"/>
      <c r="I40" s="53"/>
      <c r="J40" s="53"/>
      <c r="K40" s="53"/>
      <c r="L40" s="53"/>
      <c r="M40" s="53"/>
      <c r="N40" s="7">
        <f>SUM(B40:M40)</f>
        <v>0</v>
      </c>
    </row>
    <row r="41" spans="1:44" s="6" customFormat="1" hidden="1">
      <c r="A41" s="6" t="s">
        <v>48</v>
      </c>
      <c r="B41" s="60">
        <v>-10663.666666666701</v>
      </c>
      <c r="C41" s="60">
        <v>-10663.666666666701</v>
      </c>
      <c r="D41" s="60">
        <v>-10663.666666666701</v>
      </c>
      <c r="E41" s="60">
        <v>-10663.666666666701</v>
      </c>
      <c r="F41" s="60">
        <v>-10663.666666666701</v>
      </c>
      <c r="G41" s="60">
        <v>-10663.666666666701</v>
      </c>
      <c r="H41" s="60">
        <v>-10663.666666666701</v>
      </c>
      <c r="I41" s="60">
        <v>-10663.666666666701</v>
      </c>
      <c r="J41" s="60">
        <v>-10964</v>
      </c>
      <c r="K41" s="60">
        <v>-10864</v>
      </c>
      <c r="L41" s="60">
        <v>-10964</v>
      </c>
      <c r="M41" s="60">
        <v>-10664</v>
      </c>
      <c r="N41" s="15">
        <f>SUM(B41:M41)</f>
        <v>-128765.3333333336</v>
      </c>
    </row>
    <row r="42" spans="1:44" s="6" customFormat="1">
      <c r="A42" s="13" t="s">
        <v>49</v>
      </c>
      <c r="B42" s="12">
        <f t="shared" ref="B42:N42" si="9">SUM(B37:B41)</f>
        <v>264234.33333333331</v>
      </c>
      <c r="C42" s="12">
        <f t="shared" si="9"/>
        <v>451545.33333333331</v>
      </c>
      <c r="D42" s="12">
        <f t="shared" si="9"/>
        <v>466025.33333333331</v>
      </c>
      <c r="E42" s="12">
        <f t="shared" si="9"/>
        <v>503092.33333333331</v>
      </c>
      <c r="F42" s="12">
        <f t="shared" si="9"/>
        <v>669565.33333333326</v>
      </c>
      <c r="G42" s="12">
        <f t="shared" si="9"/>
        <v>455120.33333333331</v>
      </c>
      <c r="H42" s="12">
        <f t="shared" si="9"/>
        <v>324276.33333333331</v>
      </c>
      <c r="I42" s="12">
        <f t="shared" si="9"/>
        <v>457382.33333333331</v>
      </c>
      <c r="J42" s="12">
        <f t="shared" si="9"/>
        <v>536196.92164541781</v>
      </c>
      <c r="K42" s="12">
        <f t="shared" si="9"/>
        <v>477666.43773040455</v>
      </c>
      <c r="L42" s="12">
        <f t="shared" si="9"/>
        <v>462671.76540435263</v>
      </c>
      <c r="M42" s="12">
        <f t="shared" si="9"/>
        <v>350773.31002759736</v>
      </c>
      <c r="N42" s="12">
        <f t="shared" si="9"/>
        <v>5346990.0681411065</v>
      </c>
    </row>
    <row r="43" spans="1:44">
      <c r="A43" s="1"/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2"/>
      <c r="N43" s="12"/>
      <c r="O43" s="6"/>
    </row>
    <row r="44" spans="1:44" hidden="1">
      <c r="A44" s="13" t="s">
        <v>50</v>
      </c>
      <c r="B44" s="53">
        <v>275362</v>
      </c>
      <c r="C44" s="53">
        <v>282653</v>
      </c>
      <c r="D44" s="53">
        <v>316557</v>
      </c>
      <c r="E44" s="53">
        <v>459677</v>
      </c>
      <c r="F44" s="53">
        <v>293116</v>
      </c>
      <c r="G44" s="53">
        <v>257165</v>
      </c>
      <c r="H44" s="53">
        <v>315444</v>
      </c>
      <c r="I44" s="53">
        <v>284299</v>
      </c>
      <c r="J44" s="53">
        <v>318115.5463394681</v>
      </c>
      <c r="K44" s="53">
        <v>331200.75545716879</v>
      </c>
      <c r="L44" s="53">
        <v>295624.06633946812</v>
      </c>
      <c r="M44" s="53">
        <v>637691.65717914759</v>
      </c>
      <c r="N44" s="12">
        <f>SUM(B44:M44)</f>
        <v>4066905.0253152526</v>
      </c>
      <c r="O44" s="6"/>
    </row>
    <row r="45" spans="1:44" hidden="1">
      <c r="A45" s="6" t="s">
        <v>51</v>
      </c>
      <c r="B45" s="22">
        <v>0</v>
      </c>
      <c r="C45" s="22">
        <v>-10000</v>
      </c>
      <c r="D45" s="22">
        <v>-10000</v>
      </c>
      <c r="E45" s="22">
        <v>-10000</v>
      </c>
      <c r="F45" s="22">
        <v>-10000</v>
      </c>
      <c r="G45" s="22">
        <v>-10000</v>
      </c>
      <c r="H45" s="22">
        <v>-10000</v>
      </c>
      <c r="I45" s="22">
        <v>-10000</v>
      </c>
      <c r="J45" s="22">
        <v>-5000</v>
      </c>
      <c r="K45" s="22">
        <v>-5000</v>
      </c>
      <c r="L45" s="22">
        <v>-5000</v>
      </c>
      <c r="M45" s="22">
        <v>-5000</v>
      </c>
      <c r="N45" s="22">
        <f>SUM(B45:M45)</f>
        <v>-90000</v>
      </c>
      <c r="O45" s="6"/>
    </row>
    <row r="46" spans="1:44">
      <c r="A46" s="1" t="s">
        <v>50</v>
      </c>
      <c r="B46" s="12">
        <f>SUM(B44:B45)</f>
        <v>275362</v>
      </c>
      <c r="C46" s="12">
        <f>SUM(C44:C45)</f>
        <v>272653</v>
      </c>
      <c r="D46" s="12">
        <f t="shared" ref="D46:N46" si="10">SUM(D44:D45)</f>
        <v>306557</v>
      </c>
      <c r="E46" s="12">
        <f t="shared" si="10"/>
        <v>449677</v>
      </c>
      <c r="F46" s="12">
        <f t="shared" si="10"/>
        <v>283116</v>
      </c>
      <c r="G46" s="12">
        <f t="shared" si="10"/>
        <v>247165</v>
      </c>
      <c r="H46" s="12">
        <f t="shared" si="10"/>
        <v>305444</v>
      </c>
      <c r="I46" s="12">
        <f t="shared" si="10"/>
        <v>274299</v>
      </c>
      <c r="J46" s="12">
        <f t="shared" si="10"/>
        <v>313115.5463394681</v>
      </c>
      <c r="K46" s="12">
        <f t="shared" si="10"/>
        <v>326200.75545716879</v>
      </c>
      <c r="L46" s="12">
        <f t="shared" si="10"/>
        <v>290624.06633946812</v>
      </c>
      <c r="M46" s="12">
        <f t="shared" si="10"/>
        <v>632691.65717914759</v>
      </c>
      <c r="N46" s="12">
        <f t="shared" si="10"/>
        <v>3976905.0253152526</v>
      </c>
      <c r="O46" s="6"/>
    </row>
    <row r="47" spans="1:44">
      <c r="B47" s="7"/>
      <c r="C47" s="7"/>
      <c r="D47" s="7"/>
      <c r="E47" s="7"/>
      <c r="F47" s="7"/>
      <c r="G47" s="7"/>
      <c r="H47" s="7"/>
      <c r="I47" s="7"/>
      <c r="J47" s="7"/>
      <c r="K47" s="6"/>
      <c r="L47" s="6"/>
      <c r="M47" s="6"/>
      <c r="N47" s="6"/>
      <c r="O47" s="6"/>
    </row>
    <row r="48" spans="1:44">
      <c r="A48" s="13" t="s">
        <v>52</v>
      </c>
      <c r="B48" s="19">
        <f t="shared" ref="B48:N48" si="11">+B20+B34+B42+B46</f>
        <v>1768948.3333333333</v>
      </c>
      <c r="C48" s="19">
        <f t="shared" si="11"/>
        <v>4442285.333333334</v>
      </c>
      <c r="D48" s="19">
        <f t="shared" si="11"/>
        <v>3296170.3333333335</v>
      </c>
      <c r="E48" s="19">
        <f t="shared" si="11"/>
        <v>3311258.3333333335</v>
      </c>
      <c r="F48" s="19">
        <f t="shared" si="11"/>
        <v>2590634.333333333</v>
      </c>
      <c r="G48" s="19">
        <f t="shared" si="11"/>
        <v>2341586.333333333</v>
      </c>
      <c r="H48" s="19">
        <f t="shared" si="11"/>
        <v>3563191.3333333335</v>
      </c>
      <c r="I48" s="19">
        <f t="shared" si="11"/>
        <v>3067621.3333333335</v>
      </c>
      <c r="J48" s="19">
        <f t="shared" si="11"/>
        <v>2850298.022130433</v>
      </c>
      <c r="K48" s="19">
        <f t="shared" si="11"/>
        <v>2769505.7272803225</v>
      </c>
      <c r="L48" s="19">
        <f t="shared" si="11"/>
        <v>2767912.4922030023</v>
      </c>
      <c r="M48" s="19">
        <f t="shared" si="11"/>
        <v>2439604.0126127731</v>
      </c>
      <c r="N48" s="19">
        <f t="shared" si="11"/>
        <v>35137455.887559868</v>
      </c>
      <c r="O48" s="6"/>
    </row>
    <row r="49" spans="1:17">
      <c r="B49" s="7"/>
      <c r="C49" s="7"/>
      <c r="D49" s="7"/>
      <c r="E49" s="7"/>
      <c r="F49" s="7"/>
      <c r="G49" s="7"/>
      <c r="H49" s="7"/>
      <c r="I49" s="7"/>
      <c r="J49" s="7"/>
      <c r="K49" s="6"/>
      <c r="L49" s="6"/>
      <c r="M49" s="6"/>
      <c r="N49" s="6"/>
      <c r="O49" s="6"/>
    </row>
    <row r="50" spans="1:17">
      <c r="A50" s="1" t="s">
        <v>53</v>
      </c>
      <c r="B50" s="12">
        <f t="shared" ref="B50:M50" si="12">+B13-B48</f>
        <v>-507699.33333333326</v>
      </c>
      <c r="C50" s="12">
        <f t="shared" si="12"/>
        <v>439569.66666666605</v>
      </c>
      <c r="D50" s="12">
        <f t="shared" si="12"/>
        <v>507414.66666666651</v>
      </c>
      <c r="E50" s="12">
        <f t="shared" si="12"/>
        <v>235158.66666666651</v>
      </c>
      <c r="F50" s="12">
        <f t="shared" si="12"/>
        <v>44751.666666666977</v>
      </c>
      <c r="G50" s="12">
        <f t="shared" si="12"/>
        <v>205590.66666666698</v>
      </c>
      <c r="H50" s="12">
        <f t="shared" si="12"/>
        <v>-74608.333333333489</v>
      </c>
      <c r="I50" s="12">
        <f t="shared" si="12"/>
        <v>500311.66666666651</v>
      </c>
      <c r="J50" s="12">
        <f t="shared" si="12"/>
        <v>445916.27537100855</v>
      </c>
      <c r="K50" s="12">
        <f t="shared" si="12"/>
        <v>199559.11018969351</v>
      </c>
      <c r="L50" s="12">
        <f t="shared" si="12"/>
        <v>420347.78970141569</v>
      </c>
      <c r="M50" s="12">
        <f t="shared" si="12"/>
        <v>-856664.33360203309</v>
      </c>
      <c r="N50" s="12">
        <f>SUM(B50:M50)</f>
        <v>1559648.1749934177</v>
      </c>
      <c r="O50" s="6"/>
      <c r="P50" s="25"/>
    </row>
    <row r="51" spans="1:17" ht="7.5" customHeight="1">
      <c r="B51" s="7"/>
      <c r="C51" s="7"/>
      <c r="D51" s="7"/>
      <c r="E51" s="7"/>
      <c r="F51" s="7"/>
      <c r="G51" s="7"/>
      <c r="H51" s="7"/>
      <c r="I51" s="7"/>
      <c r="J51" s="7"/>
      <c r="K51" s="6"/>
      <c r="L51" s="6"/>
      <c r="M51" s="6"/>
      <c r="N51" s="6"/>
      <c r="O51" s="6"/>
    </row>
    <row r="52" spans="1:17">
      <c r="A52" s="1" t="s">
        <v>54</v>
      </c>
      <c r="B52" s="7"/>
      <c r="C52" s="7"/>
      <c r="D52" s="7"/>
      <c r="E52" s="7"/>
      <c r="F52" s="7"/>
      <c r="G52" s="7"/>
      <c r="H52" s="7"/>
      <c r="I52" s="7"/>
      <c r="J52" s="7"/>
      <c r="K52" s="6"/>
      <c r="L52" s="6"/>
      <c r="M52" s="6"/>
      <c r="N52" s="6"/>
      <c r="O52" s="6"/>
    </row>
    <row r="53" spans="1:17" s="6" customFormat="1">
      <c r="A53" s="6" t="s">
        <v>55</v>
      </c>
      <c r="B53" s="10">
        <v>24982</v>
      </c>
      <c r="C53" s="10">
        <v>358462</v>
      </c>
      <c r="D53" s="10">
        <v>50664</v>
      </c>
      <c r="E53" s="10">
        <v>150552</v>
      </c>
      <c r="F53" s="10">
        <v>810</v>
      </c>
      <c r="G53" s="10">
        <v>66952</v>
      </c>
      <c r="H53" s="23">
        <v>23487</v>
      </c>
      <c r="I53" s="10"/>
      <c r="J53" s="10">
        <v>119000</v>
      </c>
      <c r="K53" s="10">
        <v>0</v>
      </c>
      <c r="L53" s="10">
        <v>0</v>
      </c>
      <c r="M53" s="10">
        <v>455000</v>
      </c>
      <c r="N53" s="10">
        <f>SUM(B53:M53)</f>
        <v>1249909</v>
      </c>
      <c r="P53" s="40"/>
    </row>
    <row r="54" spans="1:17" s="6" customFormat="1">
      <c r="A54" s="6" t="s">
        <v>56</v>
      </c>
      <c r="B54" s="10"/>
      <c r="C54" s="10"/>
      <c r="D54" s="47">
        <v>-520000</v>
      </c>
      <c r="E54" s="10"/>
      <c r="F54" s="10">
        <v>85000</v>
      </c>
      <c r="G54" s="10"/>
      <c r="H54" s="10"/>
      <c r="I54" s="10"/>
      <c r="J54" s="10"/>
      <c r="K54" s="10"/>
      <c r="L54" s="10"/>
      <c r="M54" s="10"/>
      <c r="N54" s="10">
        <f>SUM(B54:M54)</f>
        <v>-435000</v>
      </c>
      <c r="P54" s="7"/>
      <c r="Q54" s="6">
        <v>0</v>
      </c>
    </row>
    <row r="55" spans="1:17" s="6" customFormat="1">
      <c r="A55" s="6" t="s">
        <v>57</v>
      </c>
      <c r="B55" s="10">
        <f>50000+228312</f>
        <v>278312</v>
      </c>
      <c r="C55" s="10">
        <v>50000</v>
      </c>
      <c r="D55" s="10">
        <v>50000</v>
      </c>
      <c r="E55" s="10">
        <v>50000</v>
      </c>
      <c r="F55" s="10">
        <v>50000</v>
      </c>
      <c r="G55" s="10">
        <v>50000</v>
      </c>
      <c r="H55" s="10">
        <v>50000</v>
      </c>
      <c r="I55" s="10">
        <v>50000</v>
      </c>
      <c r="J55" s="10">
        <v>50000</v>
      </c>
      <c r="K55" s="10">
        <v>50000</v>
      </c>
      <c r="L55" s="10"/>
      <c r="M55" s="10"/>
      <c r="N55" s="10">
        <f>SUM(B55:M55)</f>
        <v>728312</v>
      </c>
      <c r="P55" s="7"/>
    </row>
    <row r="56" spans="1:17" s="6" customFormat="1">
      <c r="A56" s="37" t="s">
        <v>58</v>
      </c>
      <c r="B56" s="7">
        <v>-26129</v>
      </c>
      <c r="C56" s="7">
        <f>-44-9248</f>
        <v>-9292</v>
      </c>
      <c r="D56" s="7">
        <f>-15614+D11</f>
        <v>-9032</v>
      </c>
      <c r="E56" s="7">
        <f>-5908-140</f>
        <v>-6048</v>
      </c>
      <c r="F56" s="7">
        <f>-5524.48-161.91</f>
        <v>-5686.3899999999994</v>
      </c>
      <c r="G56" s="7">
        <v>-82140</v>
      </c>
      <c r="H56" s="10">
        <v>-6989.05</v>
      </c>
      <c r="I56" s="7">
        <v>-9542</v>
      </c>
      <c r="J56" s="7">
        <v>-9000</v>
      </c>
      <c r="K56" s="7">
        <v>-9000</v>
      </c>
      <c r="L56" s="7">
        <v>-9000</v>
      </c>
      <c r="M56" s="7">
        <v>-9000</v>
      </c>
      <c r="N56" s="7">
        <f>SUM(B56:M56)</f>
        <v>-190858.44</v>
      </c>
      <c r="P56" s="56"/>
    </row>
    <row r="57" spans="1:17" s="6" customFormat="1">
      <c r="A57" s="6" t="s">
        <v>59</v>
      </c>
      <c r="B57" s="22">
        <v>-262370</v>
      </c>
      <c r="C57" s="22">
        <v>-26645</v>
      </c>
      <c r="D57" s="22">
        <v>-47784</v>
      </c>
      <c r="E57" s="22">
        <v>155784</v>
      </c>
      <c r="F57" s="22">
        <f>4377.86-5778.42</f>
        <v>-1400.5600000000004</v>
      </c>
      <c r="G57" s="22">
        <v>11216</v>
      </c>
      <c r="H57" s="10">
        <v>-179840.6</v>
      </c>
      <c r="I57" s="22">
        <v>-155270</v>
      </c>
      <c r="J57" s="22">
        <v>-25000</v>
      </c>
      <c r="K57" s="22">
        <v>-25000</v>
      </c>
      <c r="L57" s="22">
        <v>-25000</v>
      </c>
      <c r="M57" s="22">
        <v>-25000</v>
      </c>
      <c r="N57" s="22">
        <f>SUM(B57:M57)</f>
        <v>-606310.16</v>
      </c>
      <c r="P57" s="7"/>
    </row>
    <row r="58" spans="1:17" s="6" customFormat="1">
      <c r="A58" s="13" t="s">
        <v>60</v>
      </c>
      <c r="B58" s="19">
        <f t="shared" ref="B58:N58" si="13">SUM(B53:B57)</f>
        <v>14795</v>
      </c>
      <c r="C58" s="19">
        <f t="shared" si="13"/>
        <v>372525</v>
      </c>
      <c r="D58" s="19">
        <f t="shared" si="13"/>
        <v>-476152</v>
      </c>
      <c r="E58" s="19">
        <f t="shared" si="13"/>
        <v>350288</v>
      </c>
      <c r="F58" s="19">
        <f t="shared" si="13"/>
        <v>128723.05</v>
      </c>
      <c r="G58" s="19">
        <f t="shared" si="13"/>
        <v>46028</v>
      </c>
      <c r="H58" s="19">
        <f>SUM(H53:H57)</f>
        <v>-113342.65000000001</v>
      </c>
      <c r="I58" s="19">
        <f t="shared" si="13"/>
        <v>-114812</v>
      </c>
      <c r="J58" s="19">
        <f t="shared" si="13"/>
        <v>135000</v>
      </c>
      <c r="K58" s="19">
        <f t="shared" si="13"/>
        <v>16000</v>
      </c>
      <c r="L58" s="19">
        <f t="shared" si="13"/>
        <v>-34000</v>
      </c>
      <c r="M58" s="19">
        <f t="shared" si="13"/>
        <v>421000</v>
      </c>
      <c r="N58" s="19">
        <f t="shared" si="13"/>
        <v>746052.4</v>
      </c>
    </row>
    <row r="59" spans="1:17">
      <c r="B59" s="7"/>
      <c r="C59" s="7"/>
      <c r="D59" s="7"/>
      <c r="E59" s="7"/>
      <c r="F59" s="7"/>
      <c r="G59" s="7"/>
      <c r="H59" s="7"/>
      <c r="I59" s="7"/>
      <c r="J59" s="7"/>
      <c r="K59" s="7"/>
      <c r="L59" s="7"/>
      <c r="M59" s="7"/>
      <c r="N59" s="7"/>
      <c r="O59" s="6"/>
    </row>
    <row r="60" spans="1:17">
      <c r="A60" s="1" t="s">
        <v>61</v>
      </c>
      <c r="B60" s="12">
        <v>10990495</v>
      </c>
      <c r="C60" s="7"/>
      <c r="D60" s="7"/>
      <c r="E60" s="7"/>
      <c r="F60" s="7"/>
      <c r="G60" s="7"/>
      <c r="H60" s="7" t="s">
        <v>38</v>
      </c>
      <c r="I60" s="7"/>
      <c r="J60" s="7"/>
      <c r="K60" s="6"/>
      <c r="L60" s="6"/>
      <c r="M60" s="6"/>
      <c r="N60" s="6"/>
      <c r="O60" s="6"/>
    </row>
    <row r="61" spans="1:17">
      <c r="A61" s="13" t="s">
        <v>62</v>
      </c>
      <c r="B61" s="19">
        <f t="shared" ref="B61:N61" si="14">+B58+B48</f>
        <v>1783743.3333333333</v>
      </c>
      <c r="C61" s="19">
        <f t="shared" si="14"/>
        <v>4814810.333333334</v>
      </c>
      <c r="D61" s="19">
        <f t="shared" si="14"/>
        <v>2820018.3333333335</v>
      </c>
      <c r="E61" s="19">
        <f t="shared" si="14"/>
        <v>3661546.3333333335</v>
      </c>
      <c r="F61" s="19">
        <f t="shared" si="14"/>
        <v>2719357.3833333328</v>
      </c>
      <c r="G61" s="19">
        <f t="shared" si="14"/>
        <v>2387614.333333333</v>
      </c>
      <c r="H61" s="19">
        <f t="shared" si="14"/>
        <v>3449848.6833333336</v>
      </c>
      <c r="I61" s="19">
        <f t="shared" si="14"/>
        <v>2952809.3333333335</v>
      </c>
      <c r="J61" s="19">
        <f t="shared" si="14"/>
        <v>2985298.022130433</v>
      </c>
      <c r="K61" s="19">
        <f t="shared" si="14"/>
        <v>2785505.7272803225</v>
      </c>
      <c r="L61" s="19">
        <f t="shared" si="14"/>
        <v>2733912.4922030023</v>
      </c>
      <c r="M61" s="19">
        <f t="shared" si="14"/>
        <v>2860604.0126127731</v>
      </c>
      <c r="N61" s="19">
        <f t="shared" si="14"/>
        <v>35883508.287559867</v>
      </c>
      <c r="O61" s="6"/>
    </row>
    <row r="62" spans="1:17" ht="13.5" thickBot="1">
      <c r="A62" s="13" t="s">
        <v>63</v>
      </c>
      <c r="B62" s="30">
        <f t="shared" ref="B62:N62" si="15">+B13-B61</f>
        <v>-522494.33333333326</v>
      </c>
      <c r="C62" s="30">
        <f t="shared" si="15"/>
        <v>67044.666666666046</v>
      </c>
      <c r="D62" s="30">
        <f t="shared" si="15"/>
        <v>983566.66666666651</v>
      </c>
      <c r="E62" s="30">
        <f t="shared" si="15"/>
        <v>-115129.33333333349</v>
      </c>
      <c r="F62" s="30">
        <f t="shared" si="15"/>
        <v>-83971.383333332837</v>
      </c>
      <c r="G62" s="30">
        <f t="shared" si="15"/>
        <v>159562.66666666698</v>
      </c>
      <c r="H62" s="30">
        <f t="shared" si="15"/>
        <v>38734.316666666418</v>
      </c>
      <c r="I62" s="30">
        <f t="shared" si="15"/>
        <v>615123.66666666651</v>
      </c>
      <c r="J62" s="14">
        <f t="shared" si="15"/>
        <v>310916.27537100855</v>
      </c>
      <c r="K62" s="14">
        <f t="shared" si="15"/>
        <v>183559.11018969351</v>
      </c>
      <c r="L62" s="14">
        <f t="shared" si="15"/>
        <v>454347.78970141569</v>
      </c>
      <c r="M62" s="14">
        <f t="shared" si="15"/>
        <v>-1277664.3336020331</v>
      </c>
      <c r="N62" s="14">
        <f t="shared" si="15"/>
        <v>1224208.8083267435</v>
      </c>
      <c r="O62" s="6"/>
      <c r="P62" s="25"/>
    </row>
    <row r="63" spans="1:17" s="6" customFormat="1" ht="13.5" thickTop="1">
      <c r="A63" s="13" t="s">
        <v>64</v>
      </c>
      <c r="B63" s="32">
        <f>+B62</f>
        <v>-522494.33333333326</v>
      </c>
      <c r="C63" s="32">
        <f t="shared" ref="C63:M63" si="16">B63+C62</f>
        <v>-455449.66666666721</v>
      </c>
      <c r="D63" s="32">
        <f t="shared" si="16"/>
        <v>528116.9999999993</v>
      </c>
      <c r="E63" s="32">
        <f t="shared" si="16"/>
        <v>412987.66666666581</v>
      </c>
      <c r="F63" s="32">
        <f t="shared" si="16"/>
        <v>329016.28333333298</v>
      </c>
      <c r="G63" s="32">
        <f t="shared" si="16"/>
        <v>488578.94999999995</v>
      </c>
      <c r="H63" s="32">
        <f t="shared" si="16"/>
        <v>527313.26666666637</v>
      </c>
      <c r="I63" s="32">
        <f t="shared" si="16"/>
        <v>1142436.9333333329</v>
      </c>
      <c r="J63" s="12">
        <f t="shared" si="16"/>
        <v>1453353.2087043414</v>
      </c>
      <c r="K63" s="12">
        <f t="shared" si="16"/>
        <v>1636912.318894035</v>
      </c>
      <c r="L63" s="12">
        <f t="shared" si="16"/>
        <v>2091260.1085954506</v>
      </c>
      <c r="M63" s="12">
        <f t="shared" si="16"/>
        <v>813595.77499341755</v>
      </c>
      <c r="N63" s="12"/>
    </row>
    <row r="64" spans="1:17">
      <c r="A64" s="13" t="s">
        <v>65</v>
      </c>
      <c r="B64" s="12">
        <f t="shared" ref="B64:M64" si="17">+$B$60+B63</f>
        <v>10468000.666666666</v>
      </c>
      <c r="C64" s="12">
        <f t="shared" si="17"/>
        <v>10535045.333333332</v>
      </c>
      <c r="D64" s="12">
        <f t="shared" si="17"/>
        <v>11518612</v>
      </c>
      <c r="E64" s="12">
        <f t="shared" si="17"/>
        <v>11403482.666666666</v>
      </c>
      <c r="F64" s="12">
        <f t="shared" si="17"/>
        <v>11319511.283333333</v>
      </c>
      <c r="G64" s="12">
        <f t="shared" si="17"/>
        <v>11479073.949999999</v>
      </c>
      <c r="H64" s="12">
        <f t="shared" si="17"/>
        <v>11517808.266666666</v>
      </c>
      <c r="I64" s="12">
        <f t="shared" si="17"/>
        <v>12132931.933333334</v>
      </c>
      <c r="J64" s="12">
        <f t="shared" si="17"/>
        <v>12443848.208704341</v>
      </c>
      <c r="K64" s="12">
        <f t="shared" si="17"/>
        <v>12627407.318894034</v>
      </c>
      <c r="L64" s="12">
        <f t="shared" si="17"/>
        <v>13081755.108595451</v>
      </c>
      <c r="M64" s="12">
        <f t="shared" si="17"/>
        <v>11804090.774993418</v>
      </c>
      <c r="N64" s="12"/>
      <c r="O64" s="6"/>
      <c r="P64" s="29"/>
    </row>
    <row r="65" spans="1:16">
      <c r="A65" s="6"/>
      <c r="B65" s="7"/>
      <c r="C65" s="7"/>
      <c r="D65" s="7"/>
      <c r="E65" s="7"/>
      <c r="F65" s="7"/>
      <c r="G65" s="7"/>
      <c r="H65" s="7"/>
      <c r="I65" s="7"/>
      <c r="J65" s="7"/>
      <c r="K65" s="6"/>
      <c r="L65" s="6"/>
      <c r="M65" s="6"/>
      <c r="N65" s="6"/>
      <c r="O65" s="6"/>
    </row>
    <row r="66" spans="1:16" s="6" customFormat="1">
      <c r="A66" s="17" t="s">
        <v>79</v>
      </c>
      <c r="B66" s="18"/>
      <c r="C66" s="18"/>
      <c r="D66" s="18"/>
      <c r="E66" s="18"/>
      <c r="F66" s="18"/>
      <c r="G66" s="18"/>
      <c r="H66" s="18"/>
      <c r="I66" s="18"/>
      <c r="J66" s="18"/>
      <c r="K66" s="18"/>
      <c r="L66" s="18"/>
      <c r="M66" s="18"/>
      <c r="N66" s="18"/>
    </row>
    <row r="67" spans="1:16" ht="13.5" thickBot="1">
      <c r="A67" s="13" t="s">
        <v>67</v>
      </c>
      <c r="B67" s="30">
        <v>-923707.19930042047</v>
      </c>
      <c r="C67" s="30">
        <v>408098.02642089035</v>
      </c>
      <c r="D67" s="30">
        <v>1071842.6402638261</v>
      </c>
      <c r="E67" s="30">
        <v>445993.46125483606</v>
      </c>
      <c r="F67" s="30">
        <v>-265749.60705118906</v>
      </c>
      <c r="G67" s="30">
        <v>-389702.61557580205</v>
      </c>
      <c r="H67" s="30">
        <v>-14360.90837025363</v>
      </c>
      <c r="I67" s="30">
        <v>203880.59546278836</v>
      </c>
      <c r="J67" s="30">
        <v>310916.27537100855</v>
      </c>
      <c r="K67" s="30">
        <v>183559.11018969351</v>
      </c>
      <c r="L67" s="30">
        <v>454347.78970141569</v>
      </c>
      <c r="M67" s="30">
        <v>-1277664.3336020331</v>
      </c>
      <c r="N67" s="16"/>
      <c r="O67" s="6"/>
    </row>
    <row r="68" spans="1:16" ht="13.5" thickTop="1">
      <c r="A68" s="13" t="s">
        <v>64</v>
      </c>
      <c r="B68" s="32">
        <v>-923707.19930042047</v>
      </c>
      <c r="C68" s="32">
        <v>-515609.17287953012</v>
      </c>
      <c r="D68" s="32">
        <v>556233.467384296</v>
      </c>
      <c r="E68" s="32">
        <v>1002226.9286391321</v>
      </c>
      <c r="F68" s="32">
        <v>736477.32158794301</v>
      </c>
      <c r="G68" s="32">
        <v>346774.70601214096</v>
      </c>
      <c r="H68" s="32">
        <v>332413.79764188733</v>
      </c>
      <c r="I68" s="32">
        <v>536294.39310467569</v>
      </c>
      <c r="J68" s="32">
        <v>847210.66847568424</v>
      </c>
      <c r="K68" s="32">
        <v>1030769.7786653778</v>
      </c>
      <c r="L68" s="32">
        <v>1485117.5683667934</v>
      </c>
      <c r="M68" s="32">
        <v>207453.23476476036</v>
      </c>
      <c r="N68" s="16"/>
      <c r="O68" s="6"/>
    </row>
    <row r="69" spans="1:16">
      <c r="A69" s="13" t="s">
        <v>65</v>
      </c>
      <c r="B69" s="12">
        <v>10066787.80069958</v>
      </c>
      <c r="C69" s="12">
        <v>10474885.82712047</v>
      </c>
      <c r="D69" s="12">
        <v>11546728.467384296</v>
      </c>
      <c r="E69" s="12">
        <v>11992721.928639133</v>
      </c>
      <c r="F69" s="12">
        <v>11726972.321587943</v>
      </c>
      <c r="G69" s="12">
        <v>11337269.706012141</v>
      </c>
      <c r="H69" s="12">
        <v>11322908.797641888</v>
      </c>
      <c r="I69" s="12">
        <v>11526789.393104676</v>
      </c>
      <c r="J69" s="12">
        <v>11837705.668475684</v>
      </c>
      <c r="K69" s="12">
        <v>12021264.778665379</v>
      </c>
      <c r="L69" s="12">
        <v>12475612.568366794</v>
      </c>
      <c r="M69" s="12">
        <v>11197948.23476476</v>
      </c>
      <c r="N69" s="12"/>
      <c r="O69" s="6"/>
    </row>
    <row r="70" spans="1:16">
      <c r="A70" s="6"/>
      <c r="B70" s="6"/>
      <c r="C70" s="6"/>
      <c r="D70" s="6"/>
      <c r="E70" s="6"/>
      <c r="F70" s="6"/>
      <c r="H70" s="6"/>
      <c r="I70" s="6"/>
      <c r="J70" s="6"/>
      <c r="K70" s="6"/>
      <c r="L70" s="6"/>
      <c r="M70" s="6"/>
      <c r="N70" s="6"/>
      <c r="O70" s="6"/>
    </row>
    <row r="71" spans="1:16">
      <c r="A71" s="24" t="s">
        <v>68</v>
      </c>
      <c r="B71" s="18"/>
      <c r="C71" s="18"/>
      <c r="D71" s="18"/>
      <c r="E71" s="18"/>
      <c r="F71" s="18"/>
      <c r="G71" s="18"/>
      <c r="H71" s="18"/>
      <c r="I71" s="18"/>
      <c r="J71" s="18"/>
      <c r="K71" s="18"/>
      <c r="L71" s="18"/>
      <c r="M71" s="18"/>
      <c r="N71" s="18"/>
      <c r="O71" s="6"/>
    </row>
    <row r="72" spans="1:16">
      <c r="A72" s="13" t="s">
        <v>63</v>
      </c>
      <c r="B72" s="16">
        <f t="shared" ref="B72:N74" si="18">+B62-B67</f>
        <v>401212.86596708721</v>
      </c>
      <c r="C72" s="16">
        <f t="shared" si="18"/>
        <v>-341053.35975422431</v>
      </c>
      <c r="D72" s="16">
        <f t="shared" si="18"/>
        <v>-88275.973597159609</v>
      </c>
      <c r="E72" s="16">
        <f t="shared" si="18"/>
        <v>-561122.79458816955</v>
      </c>
      <c r="F72" s="16">
        <f t="shared" si="18"/>
        <v>181778.22371785622</v>
      </c>
      <c r="G72" s="16">
        <f t="shared" si="18"/>
        <v>549265.28224246902</v>
      </c>
      <c r="H72" s="16">
        <f t="shared" si="18"/>
        <v>53095.225036920048</v>
      </c>
      <c r="I72" s="16">
        <f t="shared" si="18"/>
        <v>411243.07120387815</v>
      </c>
      <c r="J72" s="16">
        <f t="shared" si="18"/>
        <v>0</v>
      </c>
      <c r="K72" s="16">
        <f t="shared" si="18"/>
        <v>0</v>
      </c>
      <c r="L72" s="16">
        <f t="shared" si="18"/>
        <v>0</v>
      </c>
      <c r="M72" s="16">
        <f t="shared" si="18"/>
        <v>0</v>
      </c>
      <c r="N72" s="6"/>
      <c r="O72" s="6"/>
      <c r="P72" s="16">
        <f>+N62-N67</f>
        <v>1224208.8083267435</v>
      </c>
    </row>
    <row r="73" spans="1:16" s="6" customFormat="1">
      <c r="A73" s="13" t="s">
        <v>64</v>
      </c>
      <c r="B73" s="16">
        <f t="shared" si="18"/>
        <v>401212.86596708721</v>
      </c>
      <c r="C73" s="16">
        <f t="shared" si="18"/>
        <v>60159.506212862907</v>
      </c>
      <c r="D73" s="16">
        <f t="shared" si="18"/>
        <v>-28116.467384296702</v>
      </c>
      <c r="E73" s="16">
        <f t="shared" si="18"/>
        <v>-589239.26197246625</v>
      </c>
      <c r="F73" s="16">
        <f t="shared" si="18"/>
        <v>-407461.03825461003</v>
      </c>
      <c r="G73" s="16">
        <f t="shared" si="18"/>
        <v>141804.24398785899</v>
      </c>
      <c r="H73" s="16">
        <f t="shared" si="18"/>
        <v>194899.46902477904</v>
      </c>
      <c r="I73" s="16">
        <f t="shared" si="18"/>
        <v>606142.54022865719</v>
      </c>
      <c r="J73" s="16">
        <f t="shared" si="18"/>
        <v>606142.54022865719</v>
      </c>
      <c r="K73" s="16">
        <f t="shared" si="18"/>
        <v>606142.54022865719</v>
      </c>
      <c r="L73" s="16">
        <f t="shared" si="18"/>
        <v>606142.54022865719</v>
      </c>
      <c r="M73" s="16">
        <f t="shared" si="18"/>
        <v>606142.54022865719</v>
      </c>
      <c r="N73" s="16">
        <f t="shared" si="18"/>
        <v>0</v>
      </c>
    </row>
    <row r="74" spans="1:16">
      <c r="A74" s="1" t="s">
        <v>65</v>
      </c>
      <c r="B74" s="16">
        <f t="shared" si="18"/>
        <v>401212.86596708558</v>
      </c>
      <c r="C74" s="16">
        <f t="shared" si="18"/>
        <v>60159.506212862208</v>
      </c>
      <c r="D74" s="16">
        <f t="shared" si="18"/>
        <v>-28116.467384295538</v>
      </c>
      <c r="E74" s="16">
        <f t="shared" si="18"/>
        <v>-589239.26197246648</v>
      </c>
      <c r="F74" s="16">
        <f t="shared" si="18"/>
        <v>-407461.03825460933</v>
      </c>
      <c r="G74" s="16">
        <f t="shared" si="18"/>
        <v>141804.2439878583</v>
      </c>
      <c r="H74" s="16">
        <f t="shared" si="18"/>
        <v>194899.46902477741</v>
      </c>
      <c r="I74" s="16">
        <f t="shared" si="18"/>
        <v>606142.54022865742</v>
      </c>
      <c r="J74" s="16">
        <f t="shared" si="18"/>
        <v>606142.54022865742</v>
      </c>
      <c r="K74" s="16">
        <f t="shared" si="18"/>
        <v>606142.54022865556</v>
      </c>
      <c r="L74" s="16">
        <f t="shared" si="18"/>
        <v>606142.54022865742</v>
      </c>
      <c r="M74" s="16">
        <f t="shared" si="18"/>
        <v>606142.54022865742</v>
      </c>
      <c r="N74" s="16"/>
      <c r="O74" s="6"/>
    </row>
    <row r="75" spans="1:16">
      <c r="B75" s="6"/>
      <c r="C75" s="6"/>
      <c r="D75" s="6"/>
      <c r="E75" s="6"/>
      <c r="F75" s="6"/>
      <c r="H75" s="6"/>
      <c r="I75" s="6"/>
      <c r="J75" s="6"/>
      <c r="K75" s="6"/>
      <c r="L75" s="6"/>
      <c r="M75" s="6"/>
      <c r="N75" s="6"/>
    </row>
    <row r="76" spans="1:16">
      <c r="A76" s="1"/>
      <c r="B76" s="4"/>
      <c r="C76" s="8"/>
      <c r="D76" s="8"/>
      <c r="E76" s="8"/>
      <c r="F76" s="8"/>
      <c r="H76" s="20"/>
      <c r="J76" s="6"/>
      <c r="K76" s="6"/>
    </row>
    <row r="77" spans="1:16">
      <c r="A77" s="1"/>
      <c r="B77" s="4"/>
      <c r="C77" s="8"/>
      <c r="D77" s="8"/>
      <c r="E77" s="8"/>
      <c r="F77" s="8"/>
      <c r="H77" s="20"/>
      <c r="J77" s="6"/>
    </row>
    <row r="78" spans="1:16">
      <c r="A78" s="1"/>
      <c r="B78" s="4"/>
      <c r="D78" s="8"/>
      <c r="E78" s="8"/>
      <c r="F78" s="8"/>
      <c r="H78" s="61"/>
      <c r="J78" s="6"/>
    </row>
    <row r="79" spans="1:16">
      <c r="E79" s="6"/>
      <c r="H79" s="20"/>
      <c r="J79" s="6"/>
      <c r="N79" s="25"/>
    </row>
    <row r="80" spans="1:16">
      <c r="A80" t="s">
        <v>69</v>
      </c>
      <c r="B80" t="s">
        <v>69</v>
      </c>
      <c r="C80" t="s">
        <v>69</v>
      </c>
      <c r="D80" t="s">
        <v>69</v>
      </c>
      <c r="E80" s="6" t="s">
        <v>69</v>
      </c>
      <c r="F80" t="s">
        <v>69</v>
      </c>
      <c r="G80" s="6" t="s">
        <v>69</v>
      </c>
      <c r="H80" t="s">
        <v>69</v>
      </c>
      <c r="I80" t="s">
        <v>69</v>
      </c>
      <c r="J80" s="6" t="s">
        <v>69</v>
      </c>
      <c r="K80" t="s">
        <v>69</v>
      </c>
      <c r="L80" t="s">
        <v>69</v>
      </c>
      <c r="M80" t="s">
        <v>69</v>
      </c>
      <c r="N80" t="s">
        <v>69</v>
      </c>
    </row>
    <row r="81" spans="1:14">
      <c r="E81" s="6"/>
      <c r="J81" s="6"/>
    </row>
    <row r="82" spans="1:14">
      <c r="A82" s="33" t="s">
        <v>70</v>
      </c>
      <c r="B82" s="47">
        <v>52000</v>
      </c>
      <c r="C82" s="47">
        <v>20000</v>
      </c>
      <c r="D82" s="47">
        <v>10000</v>
      </c>
      <c r="E82" s="47">
        <v>44355</v>
      </c>
      <c r="F82" s="47">
        <v>186840</v>
      </c>
      <c r="G82" s="10">
        <v>202000</v>
      </c>
      <c r="H82" s="54">
        <v>197000</v>
      </c>
      <c r="I82" s="47">
        <v>142000</v>
      </c>
      <c r="J82" s="47">
        <v>119000</v>
      </c>
      <c r="K82" s="47">
        <v>0</v>
      </c>
      <c r="L82" s="47">
        <v>0</v>
      </c>
      <c r="M82" s="47">
        <v>455000</v>
      </c>
      <c r="N82" s="7">
        <v>1428195</v>
      </c>
    </row>
    <row r="83" spans="1:14">
      <c r="A83" s="33" t="s">
        <v>71</v>
      </c>
      <c r="B83" s="2">
        <f>+B82</f>
        <v>52000</v>
      </c>
      <c r="C83" s="2">
        <f>+B83+C82</f>
        <v>72000</v>
      </c>
      <c r="D83" s="2">
        <f t="shared" ref="D83:M83" si="19">+C83+D82</f>
        <v>82000</v>
      </c>
      <c r="E83" s="7">
        <f t="shared" si="19"/>
        <v>126355</v>
      </c>
      <c r="F83" s="2">
        <f t="shared" si="19"/>
        <v>313195</v>
      </c>
      <c r="G83" s="7">
        <f t="shared" si="19"/>
        <v>515195</v>
      </c>
      <c r="H83" s="2">
        <f t="shared" si="19"/>
        <v>712195</v>
      </c>
      <c r="I83" s="2">
        <f t="shared" si="19"/>
        <v>854195</v>
      </c>
      <c r="J83" s="7">
        <f t="shared" si="19"/>
        <v>973195</v>
      </c>
      <c r="K83" s="2">
        <f t="shared" si="19"/>
        <v>973195</v>
      </c>
      <c r="L83" s="2">
        <f t="shared" si="19"/>
        <v>973195</v>
      </c>
      <c r="M83" s="2">
        <f t="shared" si="19"/>
        <v>1428195</v>
      </c>
    </row>
    <row r="84" spans="1:14">
      <c r="A84" s="33" t="s">
        <v>72</v>
      </c>
      <c r="B84" s="7">
        <f>+B53</f>
        <v>24982</v>
      </c>
      <c r="C84" s="7">
        <f>SUM($B53:C53)</f>
        <v>383444</v>
      </c>
      <c r="D84" s="7">
        <f>SUM($B53:D53)</f>
        <v>434108</v>
      </c>
      <c r="E84" s="7">
        <f>SUM($B53:E53)</f>
        <v>584660</v>
      </c>
      <c r="F84" s="7">
        <f>SUM($B53:F53)</f>
        <v>585470</v>
      </c>
      <c r="G84" s="7">
        <f>SUM($B53:G53)</f>
        <v>652422</v>
      </c>
      <c r="H84" s="7">
        <f>SUM(B53:H53)</f>
        <v>675909</v>
      </c>
      <c r="I84" s="7">
        <f>SUM(B53:I53)</f>
        <v>675909</v>
      </c>
      <c r="J84" s="7">
        <f>SUM(B53:J53)</f>
        <v>794909</v>
      </c>
      <c r="K84" s="7">
        <f>SUM(B53:K53)</f>
        <v>794909</v>
      </c>
      <c r="L84" s="7">
        <f>SUM(B53:L53)</f>
        <v>794909</v>
      </c>
      <c r="M84" s="7">
        <f>SUM(B53:M53)</f>
        <v>1249909</v>
      </c>
    </row>
    <row r="85" spans="1:14">
      <c r="A85" s="33" t="s">
        <v>73</v>
      </c>
      <c r="B85" s="7">
        <f t="shared" ref="B85:G85" si="20">+B83-B84</f>
        <v>27018</v>
      </c>
      <c r="C85" s="7">
        <f t="shared" si="20"/>
        <v>-311444</v>
      </c>
      <c r="D85" s="7">
        <f t="shared" si="20"/>
        <v>-352108</v>
      </c>
      <c r="E85" s="7">
        <f t="shared" si="20"/>
        <v>-458305</v>
      </c>
      <c r="F85" s="7">
        <f t="shared" si="20"/>
        <v>-272275</v>
      </c>
      <c r="G85" s="7">
        <f t="shared" si="20"/>
        <v>-137227</v>
      </c>
      <c r="H85" s="7">
        <f t="shared" ref="H85:M85" si="21">+H83-H84</f>
        <v>36286</v>
      </c>
      <c r="I85" s="7">
        <f t="shared" si="21"/>
        <v>178286</v>
      </c>
      <c r="J85" s="7">
        <f t="shared" si="21"/>
        <v>178286</v>
      </c>
      <c r="K85" s="7">
        <f t="shared" si="21"/>
        <v>178286</v>
      </c>
      <c r="L85" s="7">
        <f t="shared" si="21"/>
        <v>178286</v>
      </c>
      <c r="M85" s="7">
        <f t="shared" si="21"/>
        <v>178286</v>
      </c>
    </row>
    <row r="86" spans="1:14">
      <c r="J86" s="6"/>
      <c r="K86" s="6"/>
    </row>
    <row r="87" spans="1:14">
      <c r="A87" t="s">
        <v>74</v>
      </c>
      <c r="B87" s="35">
        <f>-B56-B57</f>
        <v>288499</v>
      </c>
      <c r="C87" s="35">
        <f t="shared" ref="C87:N87" si="22">-C56-C57</f>
        <v>35937</v>
      </c>
      <c r="D87" s="35">
        <f t="shared" si="22"/>
        <v>56816</v>
      </c>
      <c r="E87" s="35">
        <f t="shared" si="22"/>
        <v>-149736</v>
      </c>
      <c r="F87" s="35">
        <f t="shared" si="22"/>
        <v>7086.95</v>
      </c>
      <c r="G87" s="40">
        <f t="shared" si="22"/>
        <v>70924</v>
      </c>
      <c r="H87" s="35" t="e">
        <f>-#REF!-#REF!</f>
        <v>#REF!</v>
      </c>
      <c r="I87" s="35">
        <f t="shared" si="22"/>
        <v>164812</v>
      </c>
      <c r="J87" s="35">
        <f t="shared" si="22"/>
        <v>34000</v>
      </c>
      <c r="K87" s="40">
        <f t="shared" si="22"/>
        <v>34000</v>
      </c>
      <c r="L87" s="35">
        <f t="shared" si="22"/>
        <v>34000</v>
      </c>
      <c r="M87" s="35">
        <f t="shared" si="22"/>
        <v>34000</v>
      </c>
      <c r="N87" s="35">
        <f t="shared" si="22"/>
        <v>797168.60000000009</v>
      </c>
    </row>
    <row r="88" spans="1:14">
      <c r="C88" s="35">
        <f>+B87+C87</f>
        <v>324436</v>
      </c>
      <c r="D88" s="35">
        <f>+C88+D87</f>
        <v>381252</v>
      </c>
      <c r="E88" s="35">
        <f t="shared" ref="E88:M88" si="23">+D88+E87</f>
        <v>231516</v>
      </c>
      <c r="F88" s="35">
        <f t="shared" si="23"/>
        <v>238602.95</v>
      </c>
      <c r="G88" s="40">
        <f t="shared" si="23"/>
        <v>309526.95</v>
      </c>
      <c r="H88" s="35" t="e">
        <f t="shared" si="23"/>
        <v>#REF!</v>
      </c>
      <c r="I88" s="40" t="e">
        <f t="shared" si="23"/>
        <v>#REF!</v>
      </c>
      <c r="J88" s="40" t="e">
        <f t="shared" si="23"/>
        <v>#REF!</v>
      </c>
      <c r="K88" s="40" t="e">
        <f t="shared" si="23"/>
        <v>#REF!</v>
      </c>
      <c r="L88" s="35" t="e">
        <f t="shared" si="23"/>
        <v>#REF!</v>
      </c>
      <c r="M88" s="35" t="e">
        <f t="shared" si="23"/>
        <v>#REF!</v>
      </c>
    </row>
    <row r="89" spans="1:14">
      <c r="B89" s="6"/>
      <c r="C89" s="6"/>
      <c r="D89" s="6"/>
      <c r="E89" s="6"/>
    </row>
    <row r="90" spans="1:14">
      <c r="B90" s="6"/>
      <c r="C90" s="6"/>
      <c r="D90" s="21"/>
      <c r="E90" s="6"/>
    </row>
    <row r="91" spans="1:14">
      <c r="B91" s="6"/>
      <c r="C91" s="6"/>
      <c r="D91" s="6"/>
      <c r="E91" s="6"/>
    </row>
    <row r="92" spans="1:14">
      <c r="B92" s="6"/>
      <c r="C92" s="6"/>
      <c r="D92" s="6"/>
      <c r="E92" s="6"/>
    </row>
    <row r="93" spans="1:14">
      <c r="B93" s="6"/>
      <c r="C93" s="6"/>
      <c r="D93" s="6"/>
      <c r="E93" s="6"/>
    </row>
    <row r="94" spans="1:14">
      <c r="B94" s="6"/>
      <c r="C94" s="6"/>
      <c r="D94" s="34"/>
      <c r="E94" s="6"/>
    </row>
    <row r="95" spans="1:14">
      <c r="B95" s="6"/>
      <c r="C95" s="6"/>
      <c r="D95" s="6"/>
      <c r="E95" s="6"/>
    </row>
    <row r="96" spans="1:14">
      <c r="B96" s="6"/>
      <c r="C96" s="6"/>
      <c r="D96" s="6"/>
      <c r="E96" s="6"/>
    </row>
  </sheetData>
  <pageMargins left="0.28000000000000003" right="0.25" top="0.99" bottom="0.75" header="0.63" footer="0.23"/>
  <pageSetup scale="67" orientation="landscape" r:id="rId1"/>
  <headerFooter alignWithMargins="0">
    <oddHeader xml:space="preserve">&amp;C&amp;"Arial,Bold"&amp;11 49ER SHOPS, INC.
&amp;UFY2016/2017 OPERATIONAL CASH FLOW </oddHeader>
    <oddFooter>&amp;CCash Flow - FY2016/2017
February 2017</oddFooter>
  </headerFooter>
  <legacy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FF00"/>
    <pageSetUpPr fitToPage="1"/>
  </sheetPr>
  <dimension ref="A1:AR96"/>
  <sheetViews>
    <sheetView showGridLines="0" zoomScale="90" zoomScaleNormal="90" workbookViewId="0">
      <pane xSplit="1" ySplit="3" topLeftCell="B21" activePane="bottomRight" state="frozen"/>
      <selection pane="topRight" activeCell="B72" sqref="B72"/>
      <selection pane="bottomLeft" activeCell="B72" sqref="B72"/>
      <selection pane="bottomRight" activeCell="E55" sqref="E55"/>
    </sheetView>
  </sheetViews>
  <sheetFormatPr defaultRowHeight="12.75"/>
  <cols>
    <col min="1" max="1" width="35.42578125" customWidth="1"/>
    <col min="2" max="2" width="14" customWidth="1"/>
    <col min="3" max="3" width="12.5703125" customWidth="1"/>
    <col min="4" max="4" width="12.140625" customWidth="1"/>
    <col min="5" max="5" width="13.5703125" customWidth="1"/>
    <col min="6" max="6" width="12.85546875" customWidth="1"/>
    <col min="7" max="7" width="12.5703125" style="6" customWidth="1"/>
    <col min="8" max="9" width="12.85546875" customWidth="1"/>
    <col min="10" max="11" width="12.140625" customWidth="1"/>
    <col min="12" max="13" width="12.85546875" customWidth="1"/>
    <col min="14" max="14" width="12.85546875" bestFit="1" customWidth="1"/>
    <col min="15" max="15" width="10.140625" bestFit="1" customWidth="1"/>
    <col min="16" max="16" width="13.140625" bestFit="1" customWidth="1"/>
  </cols>
  <sheetData>
    <row r="1" spans="1:15" ht="13.5" thickBot="1">
      <c r="A1" s="46" t="s">
        <v>88</v>
      </c>
      <c r="E1" s="6"/>
      <c r="F1" s="6"/>
      <c r="J1" s="6"/>
      <c r="K1" s="6"/>
      <c r="N1" s="3"/>
    </row>
    <row r="2" spans="1:15">
      <c r="B2" s="45" t="s">
        <v>24</v>
      </c>
      <c r="C2" s="45" t="s">
        <v>24</v>
      </c>
      <c r="D2" s="45" t="s">
        <v>24</v>
      </c>
      <c r="E2" s="45" t="s">
        <v>24</v>
      </c>
      <c r="F2" s="45" t="s">
        <v>24</v>
      </c>
      <c r="G2" s="45" t="s">
        <v>24</v>
      </c>
      <c r="H2" s="45" t="s">
        <v>24</v>
      </c>
      <c r="I2" s="45" t="s">
        <v>24</v>
      </c>
      <c r="J2" s="45" t="s">
        <v>24</v>
      </c>
      <c r="K2" s="45" t="s">
        <v>76</v>
      </c>
      <c r="L2" s="45" t="s">
        <v>76</v>
      </c>
      <c r="M2" s="45" t="s">
        <v>76</v>
      </c>
      <c r="N2" s="55" t="s">
        <v>25</v>
      </c>
    </row>
    <row r="3" spans="1:15" s="5" customFormat="1">
      <c r="B3" s="11">
        <v>42553</v>
      </c>
      <c r="C3" s="11">
        <v>42584</v>
      </c>
      <c r="D3" s="11">
        <v>42615</v>
      </c>
      <c r="E3" s="11">
        <v>42645</v>
      </c>
      <c r="F3" s="11">
        <v>42676</v>
      </c>
      <c r="G3" s="11">
        <v>42706</v>
      </c>
      <c r="H3" s="11">
        <v>42737</v>
      </c>
      <c r="I3" s="11">
        <v>42768</v>
      </c>
      <c r="J3" s="11">
        <v>42796</v>
      </c>
      <c r="K3" s="11">
        <v>42827</v>
      </c>
      <c r="L3" s="11">
        <v>42857</v>
      </c>
      <c r="M3" s="11">
        <v>42888</v>
      </c>
      <c r="N3" s="57" t="s">
        <v>77</v>
      </c>
    </row>
    <row r="4" spans="1:15" hidden="1">
      <c r="A4" s="1" t="s">
        <v>27</v>
      </c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>
        <f>SUM(B4:M4)</f>
        <v>0</v>
      </c>
      <c r="O4" s="6"/>
    </row>
    <row r="5" spans="1:15" s="6" customFormat="1" hidden="1">
      <c r="A5" s="6" t="s">
        <v>28</v>
      </c>
      <c r="B5" s="53">
        <v>1199482</v>
      </c>
      <c r="C5" s="53">
        <v>4828670</v>
      </c>
      <c r="D5" s="53">
        <v>3749028</v>
      </c>
      <c r="E5" s="53">
        <v>3546355</v>
      </c>
      <c r="F5" s="53">
        <v>2585168</v>
      </c>
      <c r="G5" s="53">
        <v>2443265</v>
      </c>
      <c r="H5" s="53">
        <v>3426560</v>
      </c>
      <c r="I5" s="53">
        <v>3501507</v>
      </c>
      <c r="J5" s="53">
        <v>3214307</v>
      </c>
      <c r="K5" s="53">
        <v>2861289.1218165602</v>
      </c>
      <c r="L5" s="53">
        <v>2884558.9345671199</v>
      </c>
      <c r="M5" s="53">
        <v>1536863.9470107399</v>
      </c>
      <c r="N5" s="12">
        <f>SUM(B5:M5)</f>
        <v>35777054.003394425</v>
      </c>
    </row>
    <row r="6" spans="1:15" s="6" customFormat="1" hidden="1">
      <c r="A6" s="6" t="s">
        <v>29</v>
      </c>
      <c r="B6" s="53">
        <v>54104</v>
      </c>
      <c r="C6" s="53">
        <v>50888</v>
      </c>
      <c r="D6" s="53">
        <v>47975</v>
      </c>
      <c r="E6" s="53">
        <v>339053</v>
      </c>
      <c r="F6" s="53">
        <v>50128</v>
      </c>
      <c r="G6" s="53">
        <v>100915</v>
      </c>
      <c r="H6" s="53">
        <v>55954</v>
      </c>
      <c r="I6" s="53">
        <v>64066</v>
      </c>
      <c r="J6" s="53">
        <v>70594</v>
      </c>
      <c r="K6" s="53">
        <v>107775.7156534557</v>
      </c>
      <c r="L6" s="53">
        <v>303701.34733729798</v>
      </c>
      <c r="M6" s="53">
        <v>46075.731999999996</v>
      </c>
      <c r="N6" s="7">
        <f>SUM(B6:M6)</f>
        <v>1291229.7949907538</v>
      </c>
    </row>
    <row r="7" spans="1:15" s="6" customFormat="1" hidden="1">
      <c r="B7" s="7"/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7">
        <f>SUM(B7:M7)</f>
        <v>0</v>
      </c>
    </row>
    <row r="8" spans="1:15" s="6" customFormat="1" hidden="1">
      <c r="B8" s="15"/>
      <c r="C8" s="15"/>
      <c r="D8" s="15"/>
      <c r="E8" s="15"/>
      <c r="F8" s="15"/>
      <c r="G8" s="15"/>
      <c r="H8" s="15"/>
      <c r="I8" s="15"/>
      <c r="J8" s="15"/>
      <c r="K8" s="15"/>
      <c r="L8" s="15"/>
      <c r="M8" s="15"/>
      <c r="N8" s="15">
        <f>SUM(B8:M8)</f>
        <v>0</v>
      </c>
    </row>
    <row r="9" spans="1:15" s="6" customFormat="1">
      <c r="A9" s="13" t="s">
        <v>30</v>
      </c>
      <c r="B9" s="12">
        <f t="shared" ref="B9:N9" si="0">SUM(B5:B8)</f>
        <v>1253586</v>
      </c>
      <c r="C9" s="12">
        <f t="shared" si="0"/>
        <v>4879558</v>
      </c>
      <c r="D9" s="12">
        <f t="shared" si="0"/>
        <v>3797003</v>
      </c>
      <c r="E9" s="12">
        <v>3546355</v>
      </c>
      <c r="F9" s="12">
        <f t="shared" si="0"/>
        <v>2635296</v>
      </c>
      <c r="G9" s="12">
        <f t="shared" si="0"/>
        <v>2544180</v>
      </c>
      <c r="H9" s="12">
        <f t="shared" si="0"/>
        <v>3482514</v>
      </c>
      <c r="I9" s="12">
        <f t="shared" si="0"/>
        <v>3565573</v>
      </c>
      <c r="J9" s="12">
        <f t="shared" si="0"/>
        <v>3284901</v>
      </c>
      <c r="K9" s="12">
        <f t="shared" si="0"/>
        <v>2969064.837470016</v>
      </c>
      <c r="L9" s="12">
        <f t="shared" si="0"/>
        <v>3188260.281904418</v>
      </c>
      <c r="M9" s="12">
        <f t="shared" si="0"/>
        <v>1582939.67901074</v>
      </c>
      <c r="N9" s="12">
        <f t="shared" si="0"/>
        <v>37068283.798385181</v>
      </c>
    </row>
    <row r="10" spans="1:15" s="6" customFormat="1" ht="6.75" customHeight="1"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</row>
    <row r="11" spans="1:15" s="6" customFormat="1">
      <c r="A11" s="13" t="s">
        <v>31</v>
      </c>
      <c r="B11" s="7">
        <v>7663</v>
      </c>
      <c r="C11" s="7">
        <v>2297</v>
      </c>
      <c r="D11" s="7">
        <v>6582</v>
      </c>
      <c r="E11" s="7">
        <v>62</v>
      </c>
      <c r="F11" s="7">
        <f>5776-5686</f>
        <v>90</v>
      </c>
      <c r="G11" s="7">
        <v>2997</v>
      </c>
      <c r="H11" s="7">
        <f>13058-6989</f>
        <v>6069</v>
      </c>
      <c r="I11" s="7">
        <f>9542-7182</f>
        <v>2360</v>
      </c>
      <c r="J11" s="7">
        <f>11101-10718</f>
        <v>383</v>
      </c>
      <c r="K11" s="7"/>
      <c r="L11" s="7"/>
      <c r="M11" s="7"/>
      <c r="N11" s="7">
        <f>SUM(B11:M11)</f>
        <v>28503</v>
      </c>
    </row>
    <row r="12" spans="1:15" s="6" customFormat="1" ht="7.5" customHeight="1">
      <c r="B12" s="7"/>
      <c r="C12" s="7"/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</row>
    <row r="13" spans="1:15" s="6" customFormat="1" ht="13.5" thickBot="1">
      <c r="A13" s="13" t="s">
        <v>32</v>
      </c>
      <c r="B13" s="14">
        <f t="shared" ref="B13:N13" si="1">B9+B11</f>
        <v>1261249</v>
      </c>
      <c r="C13" s="14">
        <f>C9+C11</f>
        <v>4881855</v>
      </c>
      <c r="D13" s="14">
        <f t="shared" si="1"/>
        <v>3803585</v>
      </c>
      <c r="E13" s="14">
        <f t="shared" si="1"/>
        <v>3546417</v>
      </c>
      <c r="F13" s="14">
        <f t="shared" si="1"/>
        <v>2635386</v>
      </c>
      <c r="G13" s="14">
        <f t="shared" si="1"/>
        <v>2547177</v>
      </c>
      <c r="H13" s="14">
        <f t="shared" si="1"/>
        <v>3488583</v>
      </c>
      <c r="I13" s="14">
        <f t="shared" si="1"/>
        <v>3567933</v>
      </c>
      <c r="J13" s="14">
        <f t="shared" si="1"/>
        <v>3285284</v>
      </c>
      <c r="K13" s="14">
        <f t="shared" si="1"/>
        <v>2969064.837470016</v>
      </c>
      <c r="L13" s="14">
        <f t="shared" si="1"/>
        <v>3188260.281904418</v>
      </c>
      <c r="M13" s="14">
        <f t="shared" si="1"/>
        <v>1582939.67901074</v>
      </c>
      <c r="N13" s="14">
        <f t="shared" si="1"/>
        <v>37096786.798385181</v>
      </c>
    </row>
    <row r="14" spans="1:15" s="6" customFormat="1" ht="13.5" thickTop="1">
      <c r="B14" s="7"/>
      <c r="C14" s="7"/>
      <c r="D14" s="7"/>
      <c r="E14" s="7"/>
      <c r="F14" s="7"/>
      <c r="G14" s="7"/>
      <c r="H14" s="7"/>
      <c r="I14" s="7"/>
      <c r="J14" s="7"/>
      <c r="K14" s="7"/>
      <c r="L14" s="7"/>
      <c r="M14" s="7"/>
    </row>
    <row r="15" spans="1:15" s="6" customFormat="1" hidden="1">
      <c r="A15" s="13" t="s">
        <v>33</v>
      </c>
      <c r="B15" s="7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</row>
    <row r="16" spans="1:15" s="6" customFormat="1" hidden="1">
      <c r="A16" s="6" t="s">
        <v>34</v>
      </c>
      <c r="B16" s="53">
        <v>620285</v>
      </c>
      <c r="C16" s="53">
        <v>2968543</v>
      </c>
      <c r="D16" s="53">
        <v>1627085</v>
      </c>
      <c r="E16" s="53">
        <v>1339249</v>
      </c>
      <c r="F16" s="53">
        <v>866632</v>
      </c>
      <c r="G16" s="53">
        <v>917825</v>
      </c>
      <c r="H16" s="53">
        <v>2106719</v>
      </c>
      <c r="I16" s="53">
        <v>1431976</v>
      </c>
      <c r="J16" s="53">
        <v>1168366</v>
      </c>
      <c r="K16" s="53">
        <v>1014457.82475312</v>
      </c>
      <c r="L16" s="53">
        <v>1202846.3247627199</v>
      </c>
      <c r="M16" s="53">
        <v>808585.32395320502</v>
      </c>
      <c r="N16" s="7">
        <f>SUM(B16:M16)</f>
        <v>16072569.473469047</v>
      </c>
    </row>
    <row r="17" spans="1:44" s="6" customFormat="1" hidden="1">
      <c r="B17" s="27"/>
      <c r="C17" s="27"/>
      <c r="D17" s="27"/>
      <c r="E17" s="27"/>
      <c r="F17" s="27"/>
      <c r="G17" s="27"/>
      <c r="H17" s="27"/>
      <c r="I17" s="27"/>
      <c r="J17" s="27"/>
      <c r="K17" s="27"/>
      <c r="L17" s="27"/>
      <c r="M17" s="27"/>
      <c r="N17" s="7">
        <f>SUM(B17:M17)</f>
        <v>0</v>
      </c>
    </row>
    <row r="18" spans="1:44" s="6" customFormat="1" hidden="1">
      <c r="B18" s="7"/>
      <c r="C18" s="7"/>
      <c r="D18" s="7"/>
      <c r="E18" s="7"/>
      <c r="F18" s="7"/>
      <c r="G18" s="7"/>
      <c r="H18" s="7"/>
      <c r="I18" s="7"/>
      <c r="J18" s="7"/>
      <c r="K18" s="7"/>
      <c r="L18" s="7"/>
      <c r="M18" s="7"/>
      <c r="N18" s="7">
        <v>0</v>
      </c>
    </row>
    <row r="19" spans="1:44" s="6" customFormat="1" hidden="1">
      <c r="B19" s="15"/>
      <c r="C19" s="15"/>
      <c r="D19" s="15"/>
      <c r="E19" s="15"/>
      <c r="F19" s="15"/>
      <c r="G19" s="15"/>
      <c r="H19" s="15"/>
      <c r="I19" s="15"/>
      <c r="J19" s="15"/>
      <c r="K19" s="15"/>
      <c r="L19" s="15"/>
      <c r="M19" s="15"/>
      <c r="N19" s="15">
        <f>SUM(B19:M19)</f>
        <v>0</v>
      </c>
    </row>
    <row r="20" spans="1:44" s="6" customFormat="1">
      <c r="A20" s="13" t="s">
        <v>35</v>
      </c>
      <c r="B20" s="12">
        <f t="shared" ref="B20:N20" si="2">SUM(B16:B19)</f>
        <v>620285</v>
      </c>
      <c r="C20" s="12">
        <f t="shared" si="2"/>
        <v>2968543</v>
      </c>
      <c r="D20" s="12">
        <f t="shared" si="2"/>
        <v>1627085</v>
      </c>
      <c r="E20" s="12">
        <f t="shared" si="2"/>
        <v>1339249</v>
      </c>
      <c r="F20" s="12">
        <f t="shared" si="2"/>
        <v>866632</v>
      </c>
      <c r="G20" s="12">
        <f t="shared" si="2"/>
        <v>917825</v>
      </c>
      <c r="H20" s="12">
        <f t="shared" si="2"/>
        <v>2106719</v>
      </c>
      <c r="I20" s="12">
        <f t="shared" si="2"/>
        <v>1431976</v>
      </c>
      <c r="J20" s="12">
        <f t="shared" si="2"/>
        <v>1168366</v>
      </c>
      <c r="K20" s="12">
        <f t="shared" si="2"/>
        <v>1014457.82475312</v>
      </c>
      <c r="L20" s="12">
        <f t="shared" si="2"/>
        <v>1202846.3247627199</v>
      </c>
      <c r="M20" s="12">
        <f t="shared" si="2"/>
        <v>808585.32395320502</v>
      </c>
      <c r="N20" s="12">
        <f t="shared" si="2"/>
        <v>16072569.473469047</v>
      </c>
    </row>
    <row r="21" spans="1:44" s="6" customFormat="1">
      <c r="B21" s="7"/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</row>
    <row r="22" spans="1:44" s="6" customFormat="1" hidden="1">
      <c r="A22" s="13" t="s">
        <v>36</v>
      </c>
      <c r="B22" s="7"/>
      <c r="C22" s="7"/>
      <c r="D22" s="7"/>
      <c r="E22" s="7"/>
      <c r="F22" s="7"/>
      <c r="G22" s="7"/>
      <c r="H22" s="7"/>
      <c r="I22" s="7"/>
      <c r="J22" s="7"/>
      <c r="K22" s="7"/>
      <c r="L22" s="7"/>
      <c r="M22" s="7"/>
    </row>
    <row r="23" spans="1:44" s="6" customFormat="1" hidden="1">
      <c r="A23" s="6" t="s">
        <v>37</v>
      </c>
      <c r="B23" s="7">
        <f t="shared" ref="B23:M26" si="3">+B5-B16</f>
        <v>579197</v>
      </c>
      <c r="C23" s="7">
        <f t="shared" si="3"/>
        <v>1860127</v>
      </c>
      <c r="D23" s="7">
        <f t="shared" si="3"/>
        <v>2121943</v>
      </c>
      <c r="E23" s="7">
        <f t="shared" si="3"/>
        <v>2207106</v>
      </c>
      <c r="F23" s="7">
        <f t="shared" si="3"/>
        <v>1718536</v>
      </c>
      <c r="G23" s="7">
        <f t="shared" si="3"/>
        <v>1525440</v>
      </c>
      <c r="H23" s="7">
        <f t="shared" si="3"/>
        <v>1319841</v>
      </c>
      <c r="I23" s="7">
        <f t="shared" si="3"/>
        <v>2069531</v>
      </c>
      <c r="J23" s="7">
        <f t="shared" si="3"/>
        <v>2045941</v>
      </c>
      <c r="K23" s="7">
        <f t="shared" si="3"/>
        <v>1846831.2970634401</v>
      </c>
      <c r="L23" s="7">
        <f t="shared" si="3"/>
        <v>1681712.6098044</v>
      </c>
      <c r="M23" s="7">
        <f t="shared" si="3"/>
        <v>728278.62305753492</v>
      </c>
      <c r="N23" s="7">
        <f>SUM(B23:M23)</f>
        <v>19704484.529925376</v>
      </c>
    </row>
    <row r="24" spans="1:44" s="6" customFormat="1" hidden="1">
      <c r="A24" s="6" t="s">
        <v>37</v>
      </c>
      <c r="B24" s="7">
        <f t="shared" si="3"/>
        <v>54104</v>
      </c>
      <c r="C24" s="7">
        <f t="shared" si="3"/>
        <v>50888</v>
      </c>
      <c r="D24" s="7">
        <f t="shared" si="3"/>
        <v>47975</v>
      </c>
      <c r="E24" s="7">
        <f t="shared" si="3"/>
        <v>339053</v>
      </c>
      <c r="F24" s="7">
        <f t="shared" si="3"/>
        <v>50128</v>
      </c>
      <c r="G24" s="7">
        <f t="shared" si="3"/>
        <v>100915</v>
      </c>
      <c r="H24" s="7">
        <f t="shared" si="3"/>
        <v>55954</v>
      </c>
      <c r="I24" s="7">
        <f t="shared" si="3"/>
        <v>64066</v>
      </c>
      <c r="J24" s="7">
        <f t="shared" si="3"/>
        <v>70594</v>
      </c>
      <c r="K24" s="7">
        <f t="shared" si="3"/>
        <v>107775.7156534557</v>
      </c>
      <c r="L24" s="7">
        <f t="shared" si="3"/>
        <v>303701.34733729798</v>
      </c>
      <c r="M24" s="7">
        <f t="shared" si="3"/>
        <v>46075.731999999996</v>
      </c>
      <c r="N24" s="7">
        <f>SUM(B24:M24)</f>
        <v>1291229.7949907538</v>
      </c>
    </row>
    <row r="25" spans="1:44" s="6" customFormat="1" hidden="1">
      <c r="A25" s="6" t="s">
        <v>38</v>
      </c>
      <c r="B25" s="7">
        <f t="shared" si="3"/>
        <v>0</v>
      </c>
      <c r="C25" s="7">
        <f t="shared" si="3"/>
        <v>0</v>
      </c>
      <c r="D25" s="7">
        <f t="shared" si="3"/>
        <v>0</v>
      </c>
      <c r="E25" s="7">
        <f t="shared" si="3"/>
        <v>0</v>
      </c>
      <c r="F25" s="7">
        <f t="shared" si="3"/>
        <v>0</v>
      </c>
      <c r="G25" s="7">
        <f t="shared" si="3"/>
        <v>0</v>
      </c>
      <c r="H25" s="7">
        <f t="shared" si="3"/>
        <v>0</v>
      </c>
      <c r="I25" s="7">
        <f t="shared" si="3"/>
        <v>0</v>
      </c>
      <c r="J25" s="7">
        <f t="shared" si="3"/>
        <v>0</v>
      </c>
      <c r="K25" s="7">
        <f t="shared" si="3"/>
        <v>0</v>
      </c>
      <c r="L25" s="7">
        <f t="shared" si="3"/>
        <v>0</v>
      </c>
      <c r="M25" s="7">
        <f t="shared" si="3"/>
        <v>0</v>
      </c>
      <c r="N25" s="7">
        <f>SUM(B25:M25)</f>
        <v>0</v>
      </c>
    </row>
    <row r="26" spans="1:44" s="6" customFormat="1" hidden="1">
      <c r="A26" s="6" t="s">
        <v>38</v>
      </c>
      <c r="B26" s="15">
        <f t="shared" si="3"/>
        <v>0</v>
      </c>
      <c r="C26" s="15">
        <f t="shared" si="3"/>
        <v>0</v>
      </c>
      <c r="D26" s="15">
        <f t="shared" si="3"/>
        <v>0</v>
      </c>
      <c r="E26" s="15">
        <f t="shared" si="3"/>
        <v>0</v>
      </c>
      <c r="F26" s="15">
        <f t="shared" si="3"/>
        <v>0</v>
      </c>
      <c r="G26" s="15">
        <f t="shared" si="3"/>
        <v>0</v>
      </c>
      <c r="H26" s="15">
        <f t="shared" si="3"/>
        <v>0</v>
      </c>
      <c r="I26" s="15">
        <f t="shared" si="3"/>
        <v>0</v>
      </c>
      <c r="J26" s="15">
        <f t="shared" si="3"/>
        <v>0</v>
      </c>
      <c r="K26" s="15">
        <f t="shared" si="3"/>
        <v>0</v>
      </c>
      <c r="L26" s="15">
        <f t="shared" si="3"/>
        <v>0</v>
      </c>
      <c r="M26" s="15">
        <f t="shared" si="3"/>
        <v>0</v>
      </c>
      <c r="N26" s="15">
        <f>SUM(B26:M26)</f>
        <v>0</v>
      </c>
    </row>
    <row r="27" spans="1:44" s="6" customFormat="1">
      <c r="A27" s="13" t="s">
        <v>39</v>
      </c>
      <c r="B27" s="12">
        <f t="shared" ref="B27:N27" si="4">SUM(B23:B26)</f>
        <v>633301</v>
      </c>
      <c r="C27" s="12">
        <f t="shared" si="4"/>
        <v>1911015</v>
      </c>
      <c r="D27" s="12">
        <f t="shared" si="4"/>
        <v>2169918</v>
      </c>
      <c r="E27" s="12">
        <f t="shared" si="4"/>
        <v>2546159</v>
      </c>
      <c r="F27" s="12">
        <f t="shared" si="4"/>
        <v>1768664</v>
      </c>
      <c r="G27" s="12">
        <f t="shared" si="4"/>
        <v>1626355</v>
      </c>
      <c r="H27" s="12">
        <f t="shared" si="4"/>
        <v>1375795</v>
      </c>
      <c r="I27" s="12">
        <f t="shared" si="4"/>
        <v>2133597</v>
      </c>
      <c r="J27" s="12">
        <f t="shared" si="4"/>
        <v>2116535</v>
      </c>
      <c r="K27" s="12">
        <f t="shared" si="4"/>
        <v>1954607.0127168959</v>
      </c>
      <c r="L27" s="12">
        <f t="shared" si="4"/>
        <v>1985413.9571416979</v>
      </c>
      <c r="M27" s="12">
        <f>SUM(M23:M26)</f>
        <v>774354.35505753488</v>
      </c>
      <c r="N27" s="12">
        <f t="shared" si="4"/>
        <v>20995714.324916132</v>
      </c>
    </row>
    <row r="28" spans="1:44" s="6" customFormat="1">
      <c r="B28" s="7"/>
      <c r="C28" s="7"/>
      <c r="D28" s="7"/>
      <c r="E28" s="7"/>
      <c r="F28" s="7"/>
      <c r="G28" s="7"/>
      <c r="H28" s="7"/>
      <c r="I28" s="7"/>
      <c r="J28" s="7"/>
      <c r="K28" s="7"/>
      <c r="L28" s="7"/>
      <c r="M28" s="7"/>
    </row>
    <row r="29" spans="1:44" s="6" customFormat="1" hidden="1">
      <c r="A29" s="13" t="s">
        <v>40</v>
      </c>
      <c r="B29" s="7"/>
      <c r="C29" s="7"/>
      <c r="D29" s="7"/>
      <c r="E29" s="7"/>
      <c r="F29" s="7"/>
      <c r="G29" s="7"/>
      <c r="H29" s="7"/>
      <c r="I29" s="7"/>
      <c r="J29" s="7"/>
      <c r="K29" s="7"/>
      <c r="L29" s="7"/>
      <c r="M29" s="7"/>
    </row>
    <row r="30" spans="1:44" s="6" customFormat="1" hidden="1">
      <c r="A30" s="6" t="s">
        <v>41</v>
      </c>
      <c r="B30" s="53">
        <v>392880</v>
      </c>
      <c r="C30" s="53">
        <v>559131</v>
      </c>
      <c r="D30" s="53">
        <v>664356</v>
      </c>
      <c r="E30" s="53">
        <v>808302</v>
      </c>
      <c r="F30" s="53">
        <v>577909</v>
      </c>
      <c r="G30" s="53">
        <v>554216</v>
      </c>
      <c r="H30" s="53">
        <v>599925</v>
      </c>
      <c r="I30" s="53">
        <v>700444</v>
      </c>
      <c r="J30" s="53">
        <v>675949</v>
      </c>
      <c r="K30" s="53">
        <v>727810.13162081898</v>
      </c>
      <c r="L30" s="53">
        <v>615430.25565265596</v>
      </c>
      <c r="M30" s="53">
        <v>456542.16991265502</v>
      </c>
      <c r="N30" s="7">
        <f>SUM(B30:M30)</f>
        <v>7332894.5571861295</v>
      </c>
    </row>
    <row r="31" spans="1:44" s="6" customFormat="1" hidden="1">
      <c r="A31" s="6" t="s">
        <v>42</v>
      </c>
      <c r="B31" s="53">
        <v>216187</v>
      </c>
      <c r="C31" s="53">
        <v>190413</v>
      </c>
      <c r="D31" s="53">
        <v>232147</v>
      </c>
      <c r="E31" s="53">
        <v>210938</v>
      </c>
      <c r="F31" s="53">
        <v>193412</v>
      </c>
      <c r="G31" s="53">
        <v>167260</v>
      </c>
      <c r="H31" s="53">
        <v>226827</v>
      </c>
      <c r="I31" s="53">
        <v>203520</v>
      </c>
      <c r="J31" s="53">
        <v>211437</v>
      </c>
      <c r="K31" s="53">
        <v>223370.57771881</v>
      </c>
      <c r="L31" s="53">
        <v>196340.080043806</v>
      </c>
      <c r="M31" s="53">
        <v>191011.551540168</v>
      </c>
      <c r="N31" s="7">
        <f>SUM(B31:M31)</f>
        <v>2462863.2093027839</v>
      </c>
    </row>
    <row r="32" spans="1:44" s="6" customFormat="1" ht="15" hidden="1">
      <c r="A32" s="6" t="s">
        <v>38</v>
      </c>
      <c r="B32" s="65"/>
      <c r="C32" s="65"/>
      <c r="D32" s="65"/>
      <c r="E32" s="65"/>
      <c r="F32" s="68"/>
      <c r="G32" s="68"/>
      <c r="H32" s="68"/>
      <c r="I32" s="68"/>
      <c r="J32" s="68"/>
      <c r="K32" s="68"/>
      <c r="L32" s="68"/>
      <c r="M32" s="68"/>
      <c r="N32" s="7">
        <f>SUM(B32:M32)</f>
        <v>0</v>
      </c>
      <c r="P32" s="6">
        <f>+B32*-1</f>
        <v>0</v>
      </c>
      <c r="Q32" s="6">
        <f t="shared" ref="Q32:AF33" si="5">+C32*-1</f>
        <v>0</v>
      </c>
      <c r="R32" s="6">
        <f t="shared" si="5"/>
        <v>0</v>
      </c>
      <c r="S32" s="6">
        <f t="shared" si="5"/>
        <v>0</v>
      </c>
      <c r="T32" s="6">
        <f t="shared" si="5"/>
        <v>0</v>
      </c>
      <c r="U32" s="6">
        <f t="shared" si="5"/>
        <v>0</v>
      </c>
      <c r="V32" s="6">
        <f t="shared" si="5"/>
        <v>0</v>
      </c>
      <c r="W32" s="6">
        <f t="shared" si="5"/>
        <v>0</v>
      </c>
      <c r="X32" s="6">
        <f t="shared" si="5"/>
        <v>0</v>
      </c>
      <c r="Y32" s="6">
        <f t="shared" si="5"/>
        <v>0</v>
      </c>
      <c r="Z32" s="6">
        <f t="shared" si="5"/>
        <v>0</v>
      </c>
      <c r="AA32" s="6">
        <f t="shared" si="5"/>
        <v>0</v>
      </c>
      <c r="AB32" s="6">
        <f t="shared" si="5"/>
        <v>0</v>
      </c>
      <c r="AC32" s="6">
        <f t="shared" si="5"/>
        <v>0</v>
      </c>
      <c r="AD32" s="6">
        <f t="shared" si="5"/>
        <v>0</v>
      </c>
      <c r="AE32" s="6">
        <f t="shared" si="5"/>
        <v>0</v>
      </c>
      <c r="AF32" s="6">
        <f t="shared" si="5"/>
        <v>0</v>
      </c>
      <c r="AG32" s="6">
        <f t="shared" ref="AG32:AR33" si="6">+S32*-1</f>
        <v>0</v>
      </c>
      <c r="AH32" s="6">
        <f t="shared" si="6"/>
        <v>0</v>
      </c>
      <c r="AI32" s="6">
        <f t="shared" si="6"/>
        <v>0</v>
      </c>
      <c r="AJ32" s="6">
        <f t="shared" si="6"/>
        <v>0</v>
      </c>
      <c r="AK32" s="6">
        <f t="shared" si="6"/>
        <v>0</v>
      </c>
      <c r="AL32" s="6">
        <f t="shared" si="6"/>
        <v>0</v>
      </c>
      <c r="AM32" s="6">
        <f t="shared" si="6"/>
        <v>0</v>
      </c>
      <c r="AN32" s="6">
        <f t="shared" si="6"/>
        <v>0</v>
      </c>
      <c r="AO32" s="6">
        <f t="shared" si="6"/>
        <v>0</v>
      </c>
      <c r="AP32" s="6">
        <f t="shared" si="6"/>
        <v>0</v>
      </c>
      <c r="AQ32" s="6">
        <f t="shared" si="6"/>
        <v>0</v>
      </c>
      <c r="AR32" s="6">
        <f t="shared" si="6"/>
        <v>0</v>
      </c>
    </row>
    <row r="33" spans="1:44" s="6" customFormat="1" hidden="1">
      <c r="B33" s="15"/>
      <c r="C33" s="15"/>
      <c r="D33" s="15"/>
      <c r="E33" s="15"/>
      <c r="F33" s="15"/>
      <c r="G33" s="15"/>
      <c r="H33" s="15"/>
      <c r="I33" s="15"/>
      <c r="J33" s="15"/>
      <c r="K33" s="15"/>
      <c r="L33" s="15"/>
      <c r="M33" s="15"/>
      <c r="N33" s="15">
        <f>SUM(B33:M33)</f>
        <v>0</v>
      </c>
      <c r="Q33" s="6">
        <f t="shared" si="5"/>
        <v>0</v>
      </c>
      <c r="R33" s="6">
        <f t="shared" si="5"/>
        <v>0</v>
      </c>
      <c r="S33" s="6">
        <f t="shared" si="5"/>
        <v>0</v>
      </c>
      <c r="T33" s="6">
        <f t="shared" si="5"/>
        <v>0</v>
      </c>
      <c r="U33" s="6">
        <f t="shared" si="5"/>
        <v>0</v>
      </c>
      <c r="V33" s="6">
        <f t="shared" si="5"/>
        <v>0</v>
      </c>
      <c r="W33" s="6">
        <f t="shared" si="5"/>
        <v>0</v>
      </c>
      <c r="X33" s="6">
        <f t="shared" si="5"/>
        <v>0</v>
      </c>
      <c r="Y33" s="6">
        <f t="shared" si="5"/>
        <v>0</v>
      </c>
      <c r="Z33" s="6">
        <f t="shared" si="5"/>
        <v>0</v>
      </c>
      <c r="AA33" s="6">
        <f t="shared" si="5"/>
        <v>0</v>
      </c>
      <c r="AB33" s="6">
        <f t="shared" si="5"/>
        <v>0</v>
      </c>
      <c r="AC33" s="6">
        <f t="shared" si="5"/>
        <v>0</v>
      </c>
      <c r="AD33" s="6">
        <f t="shared" si="5"/>
        <v>0</v>
      </c>
      <c r="AE33" s="6">
        <f t="shared" si="5"/>
        <v>0</v>
      </c>
      <c r="AF33" s="6">
        <f t="shared" si="5"/>
        <v>0</v>
      </c>
      <c r="AG33" s="6">
        <f t="shared" si="6"/>
        <v>0</v>
      </c>
      <c r="AH33" s="6">
        <f t="shared" si="6"/>
        <v>0</v>
      </c>
      <c r="AI33" s="6">
        <f t="shared" si="6"/>
        <v>0</v>
      </c>
      <c r="AJ33" s="6">
        <f t="shared" si="6"/>
        <v>0</v>
      </c>
      <c r="AK33" s="6">
        <f t="shared" si="6"/>
        <v>0</v>
      </c>
      <c r="AL33" s="6">
        <f t="shared" si="6"/>
        <v>0</v>
      </c>
      <c r="AM33" s="6">
        <f t="shared" si="6"/>
        <v>0</v>
      </c>
      <c r="AN33" s="6">
        <f t="shared" si="6"/>
        <v>0</v>
      </c>
      <c r="AO33" s="6">
        <f t="shared" si="6"/>
        <v>0</v>
      </c>
      <c r="AP33" s="6">
        <f t="shared" si="6"/>
        <v>0</v>
      </c>
      <c r="AQ33" s="6">
        <f t="shared" si="6"/>
        <v>0</v>
      </c>
      <c r="AR33" s="6">
        <f t="shared" si="6"/>
        <v>0</v>
      </c>
    </row>
    <row r="34" spans="1:44" s="6" customFormat="1">
      <c r="A34" s="13" t="s">
        <v>43</v>
      </c>
      <c r="B34" s="12">
        <f t="shared" ref="B34:N34" si="7">SUM(B30:B33)</f>
        <v>609067</v>
      </c>
      <c r="C34" s="12">
        <f t="shared" si="7"/>
        <v>749544</v>
      </c>
      <c r="D34" s="12">
        <f t="shared" si="7"/>
        <v>896503</v>
      </c>
      <c r="E34" s="12">
        <f t="shared" si="7"/>
        <v>1019240</v>
      </c>
      <c r="F34" s="12">
        <f t="shared" si="7"/>
        <v>771321</v>
      </c>
      <c r="G34" s="12">
        <f t="shared" si="7"/>
        <v>721476</v>
      </c>
      <c r="H34" s="12">
        <f t="shared" si="7"/>
        <v>826752</v>
      </c>
      <c r="I34" s="12">
        <f t="shared" si="7"/>
        <v>903964</v>
      </c>
      <c r="J34" s="12">
        <f t="shared" si="7"/>
        <v>887386</v>
      </c>
      <c r="K34" s="12">
        <f t="shared" si="7"/>
        <v>951180.70933962893</v>
      </c>
      <c r="L34" s="12">
        <f t="shared" si="7"/>
        <v>811770.33569646196</v>
      </c>
      <c r="M34" s="12">
        <f t="shared" si="7"/>
        <v>647553.72145282303</v>
      </c>
      <c r="N34" s="12">
        <f t="shared" si="7"/>
        <v>9795757.7664889134</v>
      </c>
      <c r="O34" s="7"/>
    </row>
    <row r="35" spans="1:44" s="6" customFormat="1">
      <c r="B35" s="7"/>
      <c r="C35" s="7"/>
      <c r="D35" s="7"/>
      <c r="E35" s="7"/>
      <c r="F35" s="7"/>
      <c r="G35" s="7"/>
      <c r="H35" s="7"/>
      <c r="I35" s="7"/>
      <c r="J35" s="7"/>
      <c r="K35" s="7"/>
      <c r="L35" s="7"/>
      <c r="M35" s="7"/>
    </row>
    <row r="36" spans="1:44" s="6" customFormat="1" hidden="1">
      <c r="A36" s="13" t="s">
        <v>44</v>
      </c>
      <c r="B36" s="7"/>
      <c r="C36" s="7"/>
      <c r="D36" s="7"/>
      <c r="E36" s="7"/>
      <c r="F36" s="7"/>
      <c r="G36" s="7"/>
      <c r="H36" s="7"/>
      <c r="I36" s="7"/>
      <c r="J36" s="7"/>
      <c r="K36" s="7"/>
      <c r="L36" s="7"/>
      <c r="M36" s="7"/>
    </row>
    <row r="37" spans="1:44" s="6" customFormat="1" hidden="1">
      <c r="A37" s="6" t="s">
        <v>45</v>
      </c>
      <c r="B37" s="53">
        <v>957334</v>
      </c>
      <c r="C37" s="53">
        <v>1284431</v>
      </c>
      <c r="D37" s="53">
        <v>1445140</v>
      </c>
      <c r="E37" s="53">
        <v>1605674</v>
      </c>
      <c r="F37" s="53">
        <v>1524417</v>
      </c>
      <c r="G37" s="66">
        <v>1260096</v>
      </c>
      <c r="H37" s="66">
        <v>1231421</v>
      </c>
      <c r="I37" s="66">
        <v>1441090</v>
      </c>
      <c r="J37" s="66">
        <v>1481996</v>
      </c>
      <c r="K37" s="53">
        <v>1521178.5687367001</v>
      </c>
      <c r="L37" s="53">
        <v>1366856.0727674812</v>
      </c>
      <c r="M37" s="53">
        <v>1089068.663147087</v>
      </c>
      <c r="N37" s="7">
        <f>SUM(B37:M37)</f>
        <v>16208702.304651268</v>
      </c>
      <c r="O37" s="53"/>
      <c r="P37" s="62"/>
    </row>
    <row r="38" spans="1:44" s="6" customFormat="1" hidden="1">
      <c r="A38" s="6" t="s">
        <v>46</v>
      </c>
      <c r="B38" s="7">
        <f>-B34</f>
        <v>-609067</v>
      </c>
      <c r="C38" s="7">
        <f t="shared" ref="C38:M38" si="8">-C34</f>
        <v>-749544</v>
      </c>
      <c r="D38" s="7">
        <f t="shared" si="8"/>
        <v>-896503</v>
      </c>
      <c r="E38" s="7">
        <f t="shared" si="8"/>
        <v>-1019240</v>
      </c>
      <c r="F38" s="7">
        <f t="shared" si="8"/>
        <v>-771321</v>
      </c>
      <c r="G38" s="7">
        <f t="shared" si="8"/>
        <v>-721476</v>
      </c>
      <c r="H38" s="7">
        <f t="shared" si="8"/>
        <v>-826752</v>
      </c>
      <c r="I38" s="7">
        <f t="shared" si="8"/>
        <v>-903964</v>
      </c>
      <c r="J38" s="7">
        <f t="shared" si="8"/>
        <v>-887386</v>
      </c>
      <c r="K38" s="7">
        <f t="shared" si="8"/>
        <v>-951180.70933962893</v>
      </c>
      <c r="L38" s="7">
        <f t="shared" si="8"/>
        <v>-811770.33569646196</v>
      </c>
      <c r="M38" s="7">
        <f t="shared" si="8"/>
        <v>-647553.72145282303</v>
      </c>
      <c r="N38" s="7">
        <f>SUM(B38:M38)</f>
        <v>-9795757.7664889134</v>
      </c>
    </row>
    <row r="39" spans="1:44" s="6" customFormat="1" hidden="1">
      <c r="A39" s="6" t="s">
        <v>47</v>
      </c>
      <c r="B39" s="53">
        <v>-73369</v>
      </c>
      <c r="C39" s="53">
        <v>-72678</v>
      </c>
      <c r="D39" s="53">
        <v>-71948</v>
      </c>
      <c r="E39" s="53">
        <v>-72678</v>
      </c>
      <c r="F39" s="53">
        <v>-72867</v>
      </c>
      <c r="G39" s="53">
        <v>-72836</v>
      </c>
      <c r="H39" s="53">
        <v>-69729</v>
      </c>
      <c r="I39" s="53">
        <v>-69080</v>
      </c>
      <c r="J39" s="53">
        <v>-82065.061666666603</v>
      </c>
      <c r="K39" s="53">
        <v>-81467.421666666603</v>
      </c>
      <c r="L39" s="53">
        <v>-81449.971666666606</v>
      </c>
      <c r="M39" s="53">
        <v>-80077.631666666595</v>
      </c>
      <c r="N39" s="7">
        <v>-971805.1199999993</v>
      </c>
    </row>
    <row r="40" spans="1:44" s="6" customFormat="1" hidden="1">
      <c r="A40" s="6" t="s">
        <v>78</v>
      </c>
      <c r="B40" s="53"/>
      <c r="C40" s="53"/>
      <c r="D40" s="53"/>
      <c r="E40" s="53"/>
      <c r="F40" s="53"/>
      <c r="G40" s="53"/>
      <c r="H40" s="53"/>
      <c r="I40" s="53"/>
      <c r="J40" s="53"/>
      <c r="K40" s="53"/>
      <c r="L40" s="53"/>
      <c r="M40" s="53"/>
      <c r="N40" s="7">
        <f>SUM(B40:M40)</f>
        <v>0</v>
      </c>
    </row>
    <row r="41" spans="1:44" s="6" customFormat="1" hidden="1">
      <c r="A41" s="6" t="s">
        <v>48</v>
      </c>
      <c r="B41" s="60">
        <v>-10663.666666666701</v>
      </c>
      <c r="C41" s="60">
        <v>-10663.666666666701</v>
      </c>
      <c r="D41" s="60">
        <v>-10663.666666666701</v>
      </c>
      <c r="E41" s="60">
        <v>-10663.666666666701</v>
      </c>
      <c r="F41" s="60">
        <v>-10663.666666666701</v>
      </c>
      <c r="G41" s="60">
        <v>-10663.666666666701</v>
      </c>
      <c r="H41" s="60">
        <v>-10663.666666666701</v>
      </c>
      <c r="I41" s="60">
        <v>-10663.666666666701</v>
      </c>
      <c r="J41" s="60">
        <v>-10964</v>
      </c>
      <c r="K41" s="60">
        <v>-10864</v>
      </c>
      <c r="L41" s="60">
        <v>-10964</v>
      </c>
      <c r="M41" s="60">
        <v>-10664</v>
      </c>
      <c r="N41" s="15">
        <f>SUM(B41:M41)</f>
        <v>-128765.3333333336</v>
      </c>
    </row>
    <row r="42" spans="1:44" s="6" customFormat="1">
      <c r="A42" s="13" t="s">
        <v>49</v>
      </c>
      <c r="B42" s="12">
        <f t="shared" ref="B42:N42" si="9">SUM(B37:B41)</f>
        <v>264234.33333333331</v>
      </c>
      <c r="C42" s="12">
        <f t="shared" si="9"/>
        <v>451545.33333333331</v>
      </c>
      <c r="D42" s="12">
        <f t="shared" si="9"/>
        <v>466025.33333333331</v>
      </c>
      <c r="E42" s="12">
        <f t="shared" si="9"/>
        <v>503092.33333333331</v>
      </c>
      <c r="F42" s="12">
        <f t="shared" si="9"/>
        <v>669565.33333333326</v>
      </c>
      <c r="G42" s="12">
        <f t="shared" si="9"/>
        <v>455120.33333333331</v>
      </c>
      <c r="H42" s="12">
        <f t="shared" si="9"/>
        <v>324276.33333333331</v>
      </c>
      <c r="I42" s="12">
        <f t="shared" si="9"/>
        <v>457382.33333333331</v>
      </c>
      <c r="J42" s="12">
        <f t="shared" si="9"/>
        <v>501580.93833333341</v>
      </c>
      <c r="K42" s="12">
        <f t="shared" si="9"/>
        <v>477666.43773040455</v>
      </c>
      <c r="L42" s="12">
        <f t="shared" si="9"/>
        <v>462671.76540435263</v>
      </c>
      <c r="M42" s="12">
        <f t="shared" si="9"/>
        <v>350773.31002759736</v>
      </c>
      <c r="N42" s="12">
        <f t="shared" si="9"/>
        <v>5312374.0848290212</v>
      </c>
    </row>
    <row r="43" spans="1:44">
      <c r="A43" s="1"/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2"/>
      <c r="N43" s="12"/>
      <c r="O43" s="6"/>
    </row>
    <row r="44" spans="1:44" hidden="1">
      <c r="A44" s="13" t="s">
        <v>50</v>
      </c>
      <c r="B44" s="53">
        <v>275362</v>
      </c>
      <c r="C44" s="53">
        <v>282653</v>
      </c>
      <c r="D44" s="53">
        <v>316557</v>
      </c>
      <c r="E44" s="53">
        <v>459677</v>
      </c>
      <c r="F44" s="53">
        <v>293116</v>
      </c>
      <c r="G44" s="53">
        <v>257165</v>
      </c>
      <c r="H44" s="53">
        <v>315444</v>
      </c>
      <c r="I44" s="53">
        <v>284299</v>
      </c>
      <c r="J44" s="53">
        <v>316356</v>
      </c>
      <c r="K44" s="53">
        <v>331200.75545716879</v>
      </c>
      <c r="L44" s="53">
        <v>295624.06633946812</v>
      </c>
      <c r="M44" s="53">
        <v>637691.65717914759</v>
      </c>
      <c r="N44" s="12">
        <f>SUM(B44:M44)</f>
        <v>4065145.4789757845</v>
      </c>
      <c r="O44" s="6"/>
    </row>
    <row r="45" spans="1:44" hidden="1">
      <c r="A45" s="6" t="s">
        <v>51</v>
      </c>
      <c r="B45" s="22">
        <v>0</v>
      </c>
      <c r="C45" s="22">
        <v>-10000</v>
      </c>
      <c r="D45" s="22">
        <v>-10000</v>
      </c>
      <c r="E45" s="22">
        <v>-10000</v>
      </c>
      <c r="F45" s="22">
        <v>-10000</v>
      </c>
      <c r="G45" s="22">
        <v>-10000</v>
      </c>
      <c r="H45" s="22">
        <v>-10000</v>
      </c>
      <c r="I45" s="22">
        <v>-10000</v>
      </c>
      <c r="J45" s="22">
        <v>-10000</v>
      </c>
      <c r="K45" s="22">
        <v>-5000</v>
      </c>
      <c r="L45" s="22">
        <v>-5000</v>
      </c>
      <c r="M45" s="22">
        <v>-5000</v>
      </c>
      <c r="N45" s="22">
        <f>SUM(B45:M45)</f>
        <v>-95000</v>
      </c>
      <c r="O45" s="6"/>
    </row>
    <row r="46" spans="1:44">
      <c r="A46" s="1" t="s">
        <v>50</v>
      </c>
      <c r="B46" s="12">
        <f>SUM(B44:B45)</f>
        <v>275362</v>
      </c>
      <c r="C46" s="12">
        <f>SUM(C44:C45)</f>
        <v>272653</v>
      </c>
      <c r="D46" s="12">
        <f t="shared" ref="D46:N46" si="10">SUM(D44:D45)</f>
        <v>306557</v>
      </c>
      <c r="E46" s="12">
        <f t="shared" si="10"/>
        <v>449677</v>
      </c>
      <c r="F46" s="12">
        <f t="shared" si="10"/>
        <v>283116</v>
      </c>
      <c r="G46" s="12">
        <f t="shared" si="10"/>
        <v>247165</v>
      </c>
      <c r="H46" s="12">
        <f t="shared" si="10"/>
        <v>305444</v>
      </c>
      <c r="I46" s="12">
        <f t="shared" si="10"/>
        <v>274299</v>
      </c>
      <c r="J46" s="12">
        <f t="shared" si="10"/>
        <v>306356</v>
      </c>
      <c r="K46" s="12">
        <f t="shared" si="10"/>
        <v>326200.75545716879</v>
      </c>
      <c r="L46" s="12">
        <f t="shared" si="10"/>
        <v>290624.06633946812</v>
      </c>
      <c r="M46" s="12">
        <f t="shared" si="10"/>
        <v>632691.65717914759</v>
      </c>
      <c r="N46" s="12">
        <f t="shared" si="10"/>
        <v>3970145.4789757845</v>
      </c>
      <c r="O46" s="6"/>
    </row>
    <row r="47" spans="1:44">
      <c r="B47" s="7"/>
      <c r="C47" s="7"/>
      <c r="D47" s="7"/>
      <c r="E47" s="7"/>
      <c r="F47" s="7"/>
      <c r="G47" s="7"/>
      <c r="H47" s="7"/>
      <c r="I47" s="7"/>
      <c r="J47" s="7"/>
      <c r="K47" s="6"/>
      <c r="L47" s="6"/>
      <c r="M47" s="6"/>
      <c r="N47" s="6"/>
      <c r="O47" s="6"/>
    </row>
    <row r="48" spans="1:44">
      <c r="A48" s="13" t="s">
        <v>52</v>
      </c>
      <c r="B48" s="19">
        <f t="shared" ref="B48:N48" si="11">+B20+B34+B42+B46</f>
        <v>1768948.3333333333</v>
      </c>
      <c r="C48" s="19">
        <f t="shared" si="11"/>
        <v>4442285.333333334</v>
      </c>
      <c r="D48" s="19">
        <f t="shared" si="11"/>
        <v>3296170.3333333335</v>
      </c>
      <c r="E48" s="19">
        <f t="shared" si="11"/>
        <v>3311258.3333333335</v>
      </c>
      <c r="F48" s="19">
        <f t="shared" si="11"/>
        <v>2590634.333333333</v>
      </c>
      <c r="G48" s="19">
        <f t="shared" si="11"/>
        <v>2341586.333333333</v>
      </c>
      <c r="H48" s="19">
        <f t="shared" si="11"/>
        <v>3563191.3333333335</v>
      </c>
      <c r="I48" s="19">
        <f t="shared" si="11"/>
        <v>3067621.3333333335</v>
      </c>
      <c r="J48" s="19">
        <f t="shared" si="11"/>
        <v>2863688.9383333335</v>
      </c>
      <c r="K48" s="19">
        <f t="shared" si="11"/>
        <v>2769505.7272803225</v>
      </c>
      <c r="L48" s="19">
        <f t="shared" si="11"/>
        <v>2767912.4922030023</v>
      </c>
      <c r="M48" s="19">
        <f t="shared" si="11"/>
        <v>2439604.0126127731</v>
      </c>
      <c r="N48" s="19">
        <f t="shared" si="11"/>
        <v>35150846.803762764</v>
      </c>
      <c r="O48" s="6"/>
    </row>
    <row r="49" spans="1:17">
      <c r="B49" s="7"/>
      <c r="C49" s="7"/>
      <c r="D49" s="7"/>
      <c r="E49" s="7"/>
      <c r="F49" s="7"/>
      <c r="G49" s="7"/>
      <c r="H49" s="7"/>
      <c r="I49" s="7"/>
      <c r="J49" s="7"/>
      <c r="K49" s="6"/>
      <c r="L49" s="6"/>
      <c r="M49" s="6"/>
      <c r="N49" s="6"/>
      <c r="O49" s="6"/>
    </row>
    <row r="50" spans="1:17">
      <c r="A50" s="1" t="s">
        <v>53</v>
      </c>
      <c r="B50" s="12">
        <f t="shared" ref="B50:M50" si="12">+B13-B48</f>
        <v>-507699.33333333326</v>
      </c>
      <c r="C50" s="12">
        <f t="shared" si="12"/>
        <v>439569.66666666605</v>
      </c>
      <c r="D50" s="12">
        <f t="shared" si="12"/>
        <v>507414.66666666651</v>
      </c>
      <c r="E50" s="12">
        <f t="shared" si="12"/>
        <v>235158.66666666651</v>
      </c>
      <c r="F50" s="12">
        <f t="shared" si="12"/>
        <v>44751.666666666977</v>
      </c>
      <c r="G50" s="12">
        <f t="shared" si="12"/>
        <v>205590.66666666698</v>
      </c>
      <c r="H50" s="12">
        <f t="shared" si="12"/>
        <v>-74608.333333333489</v>
      </c>
      <c r="I50" s="12">
        <f t="shared" si="12"/>
        <v>500311.66666666651</v>
      </c>
      <c r="J50" s="12">
        <f t="shared" si="12"/>
        <v>421595.06166666653</v>
      </c>
      <c r="K50" s="12">
        <f t="shared" si="12"/>
        <v>199559.11018969351</v>
      </c>
      <c r="L50" s="12">
        <f t="shared" si="12"/>
        <v>420347.78970141569</v>
      </c>
      <c r="M50" s="12">
        <f t="shared" si="12"/>
        <v>-856664.33360203309</v>
      </c>
      <c r="N50" s="12">
        <f>SUM(B50:M50)</f>
        <v>1535326.9612890757</v>
      </c>
      <c r="O50" s="6"/>
      <c r="P50" s="25"/>
    </row>
    <row r="51" spans="1:17" ht="7.5" customHeight="1">
      <c r="B51" s="7"/>
      <c r="C51" s="7"/>
      <c r="D51" s="7"/>
      <c r="E51" s="7"/>
      <c r="F51" s="7"/>
      <c r="G51" s="7"/>
      <c r="H51" s="7"/>
      <c r="I51" s="7"/>
      <c r="J51" s="7"/>
      <c r="K51" s="6"/>
      <c r="L51" s="6"/>
      <c r="M51" s="6"/>
      <c r="N51" s="6"/>
      <c r="O51" s="6"/>
    </row>
    <row r="52" spans="1:17">
      <c r="A52" s="1" t="s">
        <v>54</v>
      </c>
      <c r="B52" s="7"/>
      <c r="C52" s="7"/>
      <c r="D52" s="7"/>
      <c r="E52" s="7"/>
      <c r="F52" s="7"/>
      <c r="G52" s="7"/>
      <c r="H52" s="7"/>
      <c r="I52" s="7"/>
      <c r="J52" s="7"/>
      <c r="K52" s="6"/>
      <c r="L52" s="6"/>
      <c r="M52" s="6"/>
      <c r="N52" s="6"/>
      <c r="O52" s="6"/>
    </row>
    <row r="53" spans="1:17" s="6" customFormat="1">
      <c r="A53" s="6" t="s">
        <v>55</v>
      </c>
      <c r="B53" s="10">
        <v>24982</v>
      </c>
      <c r="C53" s="10">
        <v>358462</v>
      </c>
      <c r="D53" s="10">
        <v>50664</v>
      </c>
      <c r="E53" s="10">
        <v>150552</v>
      </c>
      <c r="F53" s="10">
        <v>810</v>
      </c>
      <c r="G53" s="10">
        <v>66952</v>
      </c>
      <c r="H53" s="23">
        <v>23487</v>
      </c>
      <c r="I53" s="10"/>
      <c r="J53" s="10">
        <v>28864</v>
      </c>
      <c r="K53" s="10">
        <v>0</v>
      </c>
      <c r="L53" s="10">
        <v>0</v>
      </c>
      <c r="M53" s="10">
        <v>455000</v>
      </c>
      <c r="N53" s="10">
        <f>SUM(B53:M53)</f>
        <v>1159773</v>
      </c>
      <c r="P53" s="40"/>
    </row>
    <row r="54" spans="1:17" s="6" customFormat="1">
      <c r="A54" s="6" t="s">
        <v>56</v>
      </c>
      <c r="B54" s="10"/>
      <c r="C54" s="10"/>
      <c r="D54" s="47">
        <v>-520000</v>
      </c>
      <c r="E54" s="10"/>
      <c r="F54" s="10">
        <v>85000</v>
      </c>
      <c r="G54" s="10"/>
      <c r="H54" s="10"/>
      <c r="I54" s="10"/>
      <c r="J54" s="10"/>
      <c r="K54" s="10"/>
      <c r="L54" s="10"/>
      <c r="M54" s="10"/>
      <c r="N54" s="10">
        <f>SUM(B54:M54)</f>
        <v>-435000</v>
      </c>
      <c r="P54" s="7"/>
      <c r="Q54" s="6">
        <v>0</v>
      </c>
    </row>
    <row r="55" spans="1:17" s="6" customFormat="1">
      <c r="A55" s="6" t="s">
        <v>57</v>
      </c>
      <c r="B55" s="10">
        <f>50000+228312</f>
        <v>278312</v>
      </c>
      <c r="C55" s="10">
        <v>50000</v>
      </c>
      <c r="D55" s="10">
        <v>50000</v>
      </c>
      <c r="E55" s="10">
        <v>50000</v>
      </c>
      <c r="F55" s="10">
        <v>50000</v>
      </c>
      <c r="G55" s="10">
        <v>50000</v>
      </c>
      <c r="H55" s="10">
        <v>50000</v>
      </c>
      <c r="I55" s="10">
        <v>50000</v>
      </c>
      <c r="J55" s="10">
        <v>50000</v>
      </c>
      <c r="K55" s="10">
        <v>50000</v>
      </c>
      <c r="L55" s="10"/>
      <c r="M55" s="10"/>
      <c r="N55" s="10">
        <f>SUM(B55:M55)</f>
        <v>728312</v>
      </c>
      <c r="P55" s="7"/>
    </row>
    <row r="56" spans="1:17" s="6" customFormat="1">
      <c r="A56" s="37" t="s">
        <v>58</v>
      </c>
      <c r="B56" s="7">
        <v>-26129</v>
      </c>
      <c r="C56" s="7">
        <f>-44-9248</f>
        <v>-9292</v>
      </c>
      <c r="D56" s="7">
        <f>-15614+D11</f>
        <v>-9032</v>
      </c>
      <c r="E56" s="7">
        <f>-5908-140</f>
        <v>-6048</v>
      </c>
      <c r="F56" s="7">
        <f>-5524.48-161.91</f>
        <v>-5686.3899999999994</v>
      </c>
      <c r="G56" s="7">
        <v>-82140</v>
      </c>
      <c r="H56" s="10">
        <v>-6989.05</v>
      </c>
      <c r="I56" s="7">
        <v>-9542</v>
      </c>
      <c r="J56" s="7">
        <v>-10718</v>
      </c>
      <c r="K56" s="7">
        <v>-9000</v>
      </c>
      <c r="L56" s="7">
        <v>-9000</v>
      </c>
      <c r="M56" s="7">
        <v>-9000</v>
      </c>
      <c r="N56" s="7">
        <f>SUM(B56:M56)</f>
        <v>-192576.44</v>
      </c>
      <c r="P56" s="56"/>
    </row>
    <row r="57" spans="1:17" s="6" customFormat="1">
      <c r="A57" s="6" t="s">
        <v>59</v>
      </c>
      <c r="B57" s="22">
        <v>-262370</v>
      </c>
      <c r="C57" s="22">
        <v>-26645</v>
      </c>
      <c r="D57" s="22">
        <v>-47784</v>
      </c>
      <c r="E57" s="22">
        <v>155784</v>
      </c>
      <c r="F57" s="22">
        <f>4377.86-5778.42</f>
        <v>-1400.5600000000004</v>
      </c>
      <c r="G57" s="22">
        <v>11216</v>
      </c>
      <c r="H57" s="10">
        <v>-179840.6</v>
      </c>
      <c r="I57" s="22">
        <v>-155270</v>
      </c>
      <c r="J57" s="22">
        <v>-114783</v>
      </c>
      <c r="K57" s="22">
        <v>-25000</v>
      </c>
      <c r="L57" s="22">
        <v>-25000</v>
      </c>
      <c r="M57" s="22">
        <v>-25000</v>
      </c>
      <c r="N57" s="22">
        <f>SUM(B57:M57)</f>
        <v>-696093.16</v>
      </c>
      <c r="P57" s="7"/>
    </row>
    <row r="58" spans="1:17" s="6" customFormat="1">
      <c r="A58" s="13" t="s">
        <v>60</v>
      </c>
      <c r="B58" s="19">
        <f t="shared" ref="B58:N58" si="13">SUM(B53:B57)</f>
        <v>14795</v>
      </c>
      <c r="C58" s="19">
        <f t="shared" si="13"/>
        <v>372525</v>
      </c>
      <c r="D58" s="19">
        <f t="shared" si="13"/>
        <v>-476152</v>
      </c>
      <c r="E58" s="19">
        <f t="shared" si="13"/>
        <v>350288</v>
      </c>
      <c r="F58" s="19">
        <f t="shared" si="13"/>
        <v>128723.05</v>
      </c>
      <c r="G58" s="19">
        <f t="shared" si="13"/>
        <v>46028</v>
      </c>
      <c r="H58" s="19">
        <f>SUM(H53:H57)</f>
        <v>-113342.65000000001</v>
      </c>
      <c r="I58" s="19">
        <f t="shared" si="13"/>
        <v>-114812</v>
      </c>
      <c r="J58" s="19">
        <f t="shared" si="13"/>
        <v>-46637</v>
      </c>
      <c r="K58" s="19">
        <f t="shared" si="13"/>
        <v>16000</v>
      </c>
      <c r="L58" s="19">
        <f t="shared" si="13"/>
        <v>-34000</v>
      </c>
      <c r="M58" s="19">
        <f t="shared" si="13"/>
        <v>421000</v>
      </c>
      <c r="N58" s="19">
        <f t="shared" si="13"/>
        <v>564415.4</v>
      </c>
    </row>
    <row r="59" spans="1:17">
      <c r="B59" s="7"/>
      <c r="C59" s="7"/>
      <c r="D59" s="7"/>
      <c r="E59" s="7"/>
      <c r="F59" s="7"/>
      <c r="G59" s="7"/>
      <c r="H59" s="7"/>
      <c r="I59" s="7"/>
      <c r="J59" s="7"/>
      <c r="K59" s="7"/>
      <c r="L59" s="7"/>
      <c r="M59" s="7"/>
      <c r="N59" s="7"/>
      <c r="O59" s="6"/>
    </row>
    <row r="60" spans="1:17">
      <c r="A60" s="1" t="s">
        <v>61</v>
      </c>
      <c r="B60" s="12">
        <v>10990495</v>
      </c>
      <c r="C60" s="7"/>
      <c r="D60" s="7"/>
      <c r="E60" s="7"/>
      <c r="F60" s="7"/>
      <c r="G60" s="7"/>
      <c r="H60" s="7" t="s">
        <v>38</v>
      </c>
      <c r="I60" s="7"/>
      <c r="J60" s="7"/>
      <c r="K60" s="6"/>
      <c r="L60" s="6"/>
      <c r="M60" s="6"/>
      <c r="N60" s="6"/>
      <c r="O60" s="6"/>
    </row>
    <row r="61" spans="1:17">
      <c r="A61" s="13" t="s">
        <v>62</v>
      </c>
      <c r="B61" s="19">
        <f t="shared" ref="B61:N61" si="14">+B58+B48</f>
        <v>1783743.3333333333</v>
      </c>
      <c r="C61" s="19">
        <f t="shared" si="14"/>
        <v>4814810.333333334</v>
      </c>
      <c r="D61" s="19">
        <f t="shared" si="14"/>
        <v>2820018.3333333335</v>
      </c>
      <c r="E61" s="19">
        <f t="shared" si="14"/>
        <v>3661546.3333333335</v>
      </c>
      <c r="F61" s="19">
        <f t="shared" si="14"/>
        <v>2719357.3833333328</v>
      </c>
      <c r="G61" s="19">
        <f t="shared" si="14"/>
        <v>2387614.333333333</v>
      </c>
      <c r="H61" s="19">
        <f t="shared" si="14"/>
        <v>3449848.6833333336</v>
      </c>
      <c r="I61" s="19">
        <f t="shared" si="14"/>
        <v>2952809.3333333335</v>
      </c>
      <c r="J61" s="19">
        <f t="shared" si="14"/>
        <v>2817051.9383333335</v>
      </c>
      <c r="K61" s="19">
        <f t="shared" si="14"/>
        <v>2785505.7272803225</v>
      </c>
      <c r="L61" s="19">
        <f t="shared" si="14"/>
        <v>2733912.4922030023</v>
      </c>
      <c r="M61" s="19">
        <f t="shared" si="14"/>
        <v>2860604.0126127731</v>
      </c>
      <c r="N61" s="19">
        <f t="shared" si="14"/>
        <v>35715262.203762762</v>
      </c>
      <c r="O61" s="6"/>
    </row>
    <row r="62" spans="1:17" ht="13.5" thickBot="1">
      <c r="A62" s="13" t="s">
        <v>63</v>
      </c>
      <c r="B62" s="30">
        <f t="shared" ref="B62:N62" si="15">+B13-B61</f>
        <v>-522494.33333333326</v>
      </c>
      <c r="C62" s="30">
        <f t="shared" si="15"/>
        <v>67044.666666666046</v>
      </c>
      <c r="D62" s="30">
        <f t="shared" si="15"/>
        <v>983566.66666666651</v>
      </c>
      <c r="E62" s="30">
        <f t="shared" si="15"/>
        <v>-115129.33333333349</v>
      </c>
      <c r="F62" s="30">
        <f t="shared" si="15"/>
        <v>-83971.383333332837</v>
      </c>
      <c r="G62" s="30">
        <f t="shared" si="15"/>
        <v>159562.66666666698</v>
      </c>
      <c r="H62" s="30">
        <f t="shared" si="15"/>
        <v>38734.316666666418</v>
      </c>
      <c r="I62" s="30">
        <f t="shared" si="15"/>
        <v>615123.66666666651</v>
      </c>
      <c r="J62" s="30">
        <f t="shared" si="15"/>
        <v>468232.06166666653</v>
      </c>
      <c r="K62" s="14">
        <f t="shared" si="15"/>
        <v>183559.11018969351</v>
      </c>
      <c r="L62" s="14">
        <f t="shared" si="15"/>
        <v>454347.78970141569</v>
      </c>
      <c r="M62" s="14">
        <f t="shared" si="15"/>
        <v>-1277664.3336020331</v>
      </c>
      <c r="N62" s="14">
        <f t="shared" si="15"/>
        <v>1381524.5946224183</v>
      </c>
      <c r="O62" s="6"/>
      <c r="P62" s="25"/>
    </row>
    <row r="63" spans="1:17" s="6" customFormat="1" ht="13.5" thickTop="1">
      <c r="A63" s="13" t="s">
        <v>64</v>
      </c>
      <c r="B63" s="32">
        <f>+B62</f>
        <v>-522494.33333333326</v>
      </c>
      <c r="C63" s="32">
        <f t="shared" ref="C63:M63" si="16">B63+C62</f>
        <v>-455449.66666666721</v>
      </c>
      <c r="D63" s="32">
        <f t="shared" si="16"/>
        <v>528116.9999999993</v>
      </c>
      <c r="E63" s="32">
        <f t="shared" si="16"/>
        <v>412987.66666666581</v>
      </c>
      <c r="F63" s="32">
        <f t="shared" si="16"/>
        <v>329016.28333333298</v>
      </c>
      <c r="G63" s="32">
        <f t="shared" si="16"/>
        <v>488578.94999999995</v>
      </c>
      <c r="H63" s="32">
        <f t="shared" si="16"/>
        <v>527313.26666666637</v>
      </c>
      <c r="I63" s="32">
        <f t="shared" si="16"/>
        <v>1142436.9333333329</v>
      </c>
      <c r="J63" s="32">
        <f t="shared" si="16"/>
        <v>1610668.9949999994</v>
      </c>
      <c r="K63" s="12">
        <f t="shared" si="16"/>
        <v>1794228.1051896929</v>
      </c>
      <c r="L63" s="12">
        <f t="shared" si="16"/>
        <v>2248575.8948911084</v>
      </c>
      <c r="M63" s="12">
        <f t="shared" si="16"/>
        <v>970911.5612890753</v>
      </c>
      <c r="N63" s="12"/>
    </row>
    <row r="64" spans="1:17">
      <c r="A64" s="13" t="s">
        <v>65</v>
      </c>
      <c r="B64" s="12">
        <f t="shared" ref="B64:M64" si="17">+$B$60+B63</f>
        <v>10468000.666666666</v>
      </c>
      <c r="C64" s="12">
        <f t="shared" si="17"/>
        <v>10535045.333333332</v>
      </c>
      <c r="D64" s="12">
        <f t="shared" si="17"/>
        <v>11518612</v>
      </c>
      <c r="E64" s="12">
        <f t="shared" si="17"/>
        <v>11403482.666666666</v>
      </c>
      <c r="F64" s="12">
        <f t="shared" si="17"/>
        <v>11319511.283333333</v>
      </c>
      <c r="G64" s="12">
        <f t="shared" si="17"/>
        <v>11479073.949999999</v>
      </c>
      <c r="H64" s="12">
        <f t="shared" si="17"/>
        <v>11517808.266666666</v>
      </c>
      <c r="I64" s="12">
        <f t="shared" si="17"/>
        <v>12132931.933333334</v>
      </c>
      <c r="J64" s="12">
        <f t="shared" si="17"/>
        <v>12601163.994999999</v>
      </c>
      <c r="K64" s="12">
        <f t="shared" si="17"/>
        <v>12784723.105189692</v>
      </c>
      <c r="L64" s="12">
        <f t="shared" si="17"/>
        <v>13239070.894891109</v>
      </c>
      <c r="M64" s="12">
        <f t="shared" si="17"/>
        <v>11961406.561289076</v>
      </c>
      <c r="N64" s="12"/>
      <c r="O64" s="6"/>
      <c r="P64" s="29"/>
    </row>
    <row r="65" spans="1:16">
      <c r="A65" s="6"/>
      <c r="B65" s="7"/>
      <c r="C65" s="7"/>
      <c r="D65" s="7"/>
      <c r="E65" s="7"/>
      <c r="F65" s="7"/>
      <c r="G65" s="7"/>
      <c r="H65" s="7"/>
      <c r="I65" s="7"/>
      <c r="J65" s="7"/>
      <c r="K65" s="6"/>
      <c r="L65" s="6"/>
      <c r="M65" s="6"/>
      <c r="N65" s="6"/>
      <c r="O65" s="6"/>
    </row>
    <row r="66" spans="1:16" s="6" customFormat="1">
      <c r="A66" s="17" t="s">
        <v>79</v>
      </c>
      <c r="B66" s="18"/>
      <c r="C66" s="18"/>
      <c r="D66" s="18"/>
      <c r="E66" s="18"/>
      <c r="F66" s="18"/>
      <c r="G66" s="18"/>
      <c r="H66" s="18"/>
      <c r="I66" s="18"/>
      <c r="J66" s="18"/>
      <c r="K66" s="18"/>
      <c r="L66" s="18"/>
      <c r="M66" s="18"/>
      <c r="N66" s="18"/>
    </row>
    <row r="67" spans="1:16" ht="13.5" thickBot="1">
      <c r="A67" s="13" t="s">
        <v>67</v>
      </c>
      <c r="B67" s="30">
        <v>-923707.19930042047</v>
      </c>
      <c r="C67" s="30">
        <v>408098.02642089035</v>
      </c>
      <c r="D67" s="30">
        <v>1071842.6402638261</v>
      </c>
      <c r="E67" s="30">
        <v>445993.46125483606</v>
      </c>
      <c r="F67" s="30">
        <v>-265749.60705118906</v>
      </c>
      <c r="G67" s="30">
        <v>-389702.61557580205</v>
      </c>
      <c r="H67" s="30">
        <v>-14360.90837025363</v>
      </c>
      <c r="I67" s="30">
        <v>203880.59546278836</v>
      </c>
      <c r="J67" s="30">
        <v>310916.27537100855</v>
      </c>
      <c r="K67" s="30">
        <v>183559.11018969351</v>
      </c>
      <c r="L67" s="30">
        <v>454347.78970141569</v>
      </c>
      <c r="M67" s="30">
        <v>-1277664.3336020331</v>
      </c>
      <c r="N67" s="16"/>
      <c r="O67" s="6"/>
    </row>
    <row r="68" spans="1:16" ht="13.5" thickTop="1">
      <c r="A68" s="13" t="s">
        <v>64</v>
      </c>
      <c r="B68" s="32">
        <v>-923707.19930042047</v>
      </c>
      <c r="C68" s="32">
        <v>-515609.17287953012</v>
      </c>
      <c r="D68" s="32">
        <v>556233.467384296</v>
      </c>
      <c r="E68" s="32">
        <v>1002226.9286391321</v>
      </c>
      <c r="F68" s="32">
        <v>736477.32158794301</v>
      </c>
      <c r="G68" s="32">
        <v>346774.70601214096</v>
      </c>
      <c r="H68" s="32">
        <v>332413.79764188733</v>
      </c>
      <c r="I68" s="32">
        <v>536294.39310467569</v>
      </c>
      <c r="J68" s="32">
        <v>847210.66847568424</v>
      </c>
      <c r="K68" s="32">
        <v>1030769.7786653778</v>
      </c>
      <c r="L68" s="32">
        <v>1485117.5683667934</v>
      </c>
      <c r="M68" s="32">
        <v>207453.23476476036</v>
      </c>
      <c r="N68" s="16"/>
      <c r="O68" s="6"/>
    </row>
    <row r="69" spans="1:16">
      <c r="A69" s="13" t="s">
        <v>65</v>
      </c>
      <c r="B69" s="12">
        <v>10066787.80069958</v>
      </c>
      <c r="C69" s="12">
        <v>10474885.82712047</v>
      </c>
      <c r="D69" s="12">
        <v>11546728.467384296</v>
      </c>
      <c r="E69" s="12">
        <v>11992721.928639133</v>
      </c>
      <c r="F69" s="12">
        <v>11726972.321587943</v>
      </c>
      <c r="G69" s="12">
        <v>11337269.706012141</v>
      </c>
      <c r="H69" s="12">
        <v>11322908.797641888</v>
      </c>
      <c r="I69" s="12">
        <v>11526789.393104676</v>
      </c>
      <c r="J69" s="12">
        <v>11837705.668475684</v>
      </c>
      <c r="K69" s="12">
        <v>12021264.778665379</v>
      </c>
      <c r="L69" s="12">
        <v>12475612.568366794</v>
      </c>
      <c r="M69" s="12">
        <v>11197948.23476476</v>
      </c>
      <c r="N69" s="12"/>
      <c r="O69" s="6"/>
    </row>
    <row r="70" spans="1:16">
      <c r="A70" s="6"/>
      <c r="B70" s="6"/>
      <c r="C70" s="6"/>
      <c r="D70" s="6"/>
      <c r="E70" s="6"/>
      <c r="F70" s="6"/>
      <c r="H70" s="6"/>
      <c r="I70" s="6"/>
      <c r="J70" s="6"/>
      <c r="K70" s="6"/>
      <c r="L70" s="6"/>
      <c r="M70" s="6"/>
      <c r="N70" s="6"/>
      <c r="O70" s="6"/>
    </row>
    <row r="71" spans="1:16">
      <c r="A71" s="24" t="s">
        <v>68</v>
      </c>
      <c r="B71" s="18"/>
      <c r="C71" s="18"/>
      <c r="D71" s="18"/>
      <c r="E71" s="18"/>
      <c r="F71" s="18"/>
      <c r="G71" s="18"/>
      <c r="H71" s="18"/>
      <c r="I71" s="18"/>
      <c r="J71" s="18"/>
      <c r="K71" s="18"/>
      <c r="L71" s="18"/>
      <c r="M71" s="18"/>
      <c r="N71" s="18"/>
      <c r="O71" s="6"/>
    </row>
    <row r="72" spans="1:16">
      <c r="A72" s="13" t="s">
        <v>63</v>
      </c>
      <c r="B72" s="16">
        <f t="shared" ref="B72:N74" si="18">+B62-B67</f>
        <v>401212.86596708721</v>
      </c>
      <c r="C72" s="16">
        <f t="shared" si="18"/>
        <v>-341053.35975422431</v>
      </c>
      <c r="D72" s="16">
        <f t="shared" si="18"/>
        <v>-88275.973597159609</v>
      </c>
      <c r="E72" s="16">
        <f t="shared" si="18"/>
        <v>-561122.79458816955</v>
      </c>
      <c r="F72" s="16">
        <f t="shared" si="18"/>
        <v>181778.22371785622</v>
      </c>
      <c r="G72" s="16">
        <f t="shared" si="18"/>
        <v>549265.28224246902</v>
      </c>
      <c r="H72" s="16">
        <f t="shared" si="18"/>
        <v>53095.225036920048</v>
      </c>
      <c r="I72" s="16">
        <f t="shared" si="18"/>
        <v>411243.07120387815</v>
      </c>
      <c r="J72" s="16">
        <f t="shared" si="18"/>
        <v>157315.78629565798</v>
      </c>
      <c r="K72" s="16">
        <f t="shared" si="18"/>
        <v>0</v>
      </c>
      <c r="L72" s="16">
        <f t="shared" si="18"/>
        <v>0</v>
      </c>
      <c r="M72" s="16">
        <f t="shared" si="18"/>
        <v>0</v>
      </c>
      <c r="N72" s="6"/>
      <c r="O72" s="6"/>
      <c r="P72" s="16">
        <f>+N62-N67</f>
        <v>1381524.5946224183</v>
      </c>
    </row>
    <row r="73" spans="1:16" s="6" customFormat="1">
      <c r="A73" s="13" t="s">
        <v>64</v>
      </c>
      <c r="B73" s="16">
        <f t="shared" si="18"/>
        <v>401212.86596708721</v>
      </c>
      <c r="C73" s="16">
        <f t="shared" si="18"/>
        <v>60159.506212862907</v>
      </c>
      <c r="D73" s="16">
        <f t="shared" si="18"/>
        <v>-28116.467384296702</v>
      </c>
      <c r="E73" s="16">
        <f t="shared" si="18"/>
        <v>-589239.26197246625</v>
      </c>
      <c r="F73" s="16">
        <f t="shared" si="18"/>
        <v>-407461.03825461003</v>
      </c>
      <c r="G73" s="16">
        <f t="shared" si="18"/>
        <v>141804.24398785899</v>
      </c>
      <c r="H73" s="16">
        <f t="shared" si="18"/>
        <v>194899.46902477904</v>
      </c>
      <c r="I73" s="16">
        <f t="shared" si="18"/>
        <v>606142.54022865719</v>
      </c>
      <c r="J73" s="16">
        <f t="shared" si="18"/>
        <v>763458.32652431517</v>
      </c>
      <c r="K73" s="16">
        <f t="shared" si="18"/>
        <v>763458.32652431517</v>
      </c>
      <c r="L73" s="16">
        <f t="shared" si="18"/>
        <v>763458.32652431494</v>
      </c>
      <c r="M73" s="16">
        <f t="shared" si="18"/>
        <v>763458.32652431494</v>
      </c>
      <c r="N73" s="16">
        <f t="shared" si="18"/>
        <v>0</v>
      </c>
    </row>
    <row r="74" spans="1:16">
      <c r="A74" s="1" t="s">
        <v>65</v>
      </c>
      <c r="B74" s="16">
        <f t="shared" si="18"/>
        <v>401212.86596708558</v>
      </c>
      <c r="C74" s="16">
        <f t="shared" si="18"/>
        <v>60159.506212862208</v>
      </c>
      <c r="D74" s="16">
        <f t="shared" si="18"/>
        <v>-28116.467384295538</v>
      </c>
      <c r="E74" s="16">
        <f t="shared" si="18"/>
        <v>-589239.26197246648</v>
      </c>
      <c r="F74" s="16">
        <f t="shared" si="18"/>
        <v>-407461.03825460933</v>
      </c>
      <c r="G74" s="16">
        <f t="shared" si="18"/>
        <v>141804.2439878583</v>
      </c>
      <c r="H74" s="16">
        <f t="shared" si="18"/>
        <v>194899.46902477741</v>
      </c>
      <c r="I74" s="16">
        <f t="shared" si="18"/>
        <v>606142.54022865742</v>
      </c>
      <c r="J74" s="16">
        <f t="shared" si="18"/>
        <v>763458.3265243154</v>
      </c>
      <c r="K74" s="16">
        <f t="shared" si="18"/>
        <v>763458.32652431354</v>
      </c>
      <c r="L74" s="16">
        <f t="shared" si="18"/>
        <v>763458.3265243154</v>
      </c>
      <c r="M74" s="16">
        <f t="shared" si="18"/>
        <v>763458.3265243154</v>
      </c>
      <c r="N74" s="16"/>
      <c r="O74" s="6"/>
    </row>
    <row r="75" spans="1:16">
      <c r="B75" s="6"/>
      <c r="C75" s="6"/>
      <c r="D75" s="6"/>
      <c r="E75" s="6"/>
      <c r="F75" s="6"/>
      <c r="H75" s="6"/>
      <c r="I75" s="6"/>
      <c r="J75" s="6"/>
      <c r="K75" s="6"/>
      <c r="L75" s="6"/>
      <c r="M75" s="6"/>
      <c r="N75" s="6"/>
    </row>
    <row r="76" spans="1:16">
      <c r="A76" s="1"/>
      <c r="B76" s="4"/>
      <c r="C76" s="8"/>
      <c r="D76" s="8"/>
      <c r="E76" s="8"/>
      <c r="F76" s="8"/>
      <c r="H76" s="20"/>
      <c r="J76" s="6"/>
      <c r="K76" s="6"/>
    </row>
    <row r="77" spans="1:16">
      <c r="A77" s="1"/>
      <c r="B77" s="4"/>
      <c r="C77" s="8"/>
      <c r="D77" s="8"/>
      <c r="E77" s="8"/>
      <c r="F77" s="8"/>
      <c r="H77" s="20"/>
      <c r="J77" s="6"/>
    </row>
    <row r="78" spans="1:16">
      <c r="A78" s="1"/>
      <c r="B78" s="4"/>
      <c r="D78" s="8"/>
      <c r="E78" s="8"/>
      <c r="F78" s="8"/>
      <c r="H78" s="61"/>
      <c r="J78" s="6"/>
    </row>
    <row r="79" spans="1:16">
      <c r="E79" s="6"/>
      <c r="H79" s="20"/>
      <c r="J79" s="6"/>
      <c r="N79" s="25"/>
    </row>
    <row r="80" spans="1:16">
      <c r="A80" t="s">
        <v>69</v>
      </c>
      <c r="B80" t="s">
        <v>69</v>
      </c>
      <c r="C80" t="s">
        <v>69</v>
      </c>
      <c r="D80" t="s">
        <v>69</v>
      </c>
      <c r="E80" s="6" t="s">
        <v>69</v>
      </c>
      <c r="F80" t="s">
        <v>69</v>
      </c>
      <c r="G80" s="6" t="s">
        <v>69</v>
      </c>
      <c r="H80" t="s">
        <v>69</v>
      </c>
      <c r="I80" t="s">
        <v>69</v>
      </c>
      <c r="J80" s="6" t="s">
        <v>69</v>
      </c>
      <c r="K80" t="s">
        <v>69</v>
      </c>
      <c r="L80" t="s">
        <v>69</v>
      </c>
      <c r="M80" t="s">
        <v>69</v>
      </c>
      <c r="N80" t="s">
        <v>69</v>
      </c>
    </row>
    <row r="81" spans="1:14">
      <c r="E81" s="6"/>
      <c r="J81" s="6"/>
    </row>
    <row r="82" spans="1:14">
      <c r="A82" s="33" t="s">
        <v>70</v>
      </c>
      <c r="B82" s="47">
        <v>52000</v>
      </c>
      <c r="C82" s="47">
        <v>20000</v>
      </c>
      <c r="D82" s="47">
        <v>10000</v>
      </c>
      <c r="E82" s="47">
        <v>44355</v>
      </c>
      <c r="F82" s="47">
        <v>186840</v>
      </c>
      <c r="G82" s="10">
        <v>202000</v>
      </c>
      <c r="H82" s="54">
        <v>197000</v>
      </c>
      <c r="I82" s="47">
        <v>142000</v>
      </c>
      <c r="J82" s="47">
        <v>119000</v>
      </c>
      <c r="K82" s="47">
        <v>0</v>
      </c>
      <c r="L82" s="47">
        <v>0</v>
      </c>
      <c r="M82" s="47">
        <v>455000</v>
      </c>
      <c r="N82" s="7">
        <v>1428195</v>
      </c>
    </row>
    <row r="83" spans="1:14">
      <c r="A83" s="33" t="s">
        <v>71</v>
      </c>
      <c r="B83" s="2">
        <f>+B82</f>
        <v>52000</v>
      </c>
      <c r="C83" s="2">
        <f>+B83+C82</f>
        <v>72000</v>
      </c>
      <c r="D83" s="2">
        <f t="shared" ref="D83:M83" si="19">+C83+D82</f>
        <v>82000</v>
      </c>
      <c r="E83" s="7">
        <f t="shared" si="19"/>
        <v>126355</v>
      </c>
      <c r="F83" s="2">
        <f t="shared" si="19"/>
        <v>313195</v>
      </c>
      <c r="G83" s="7">
        <f t="shared" si="19"/>
        <v>515195</v>
      </c>
      <c r="H83" s="2">
        <f t="shared" si="19"/>
        <v>712195</v>
      </c>
      <c r="I83" s="2">
        <f t="shared" si="19"/>
        <v>854195</v>
      </c>
      <c r="J83" s="7">
        <f t="shared" si="19"/>
        <v>973195</v>
      </c>
      <c r="K83" s="2">
        <f t="shared" si="19"/>
        <v>973195</v>
      </c>
      <c r="L83" s="2">
        <f t="shared" si="19"/>
        <v>973195</v>
      </c>
      <c r="M83" s="2">
        <f t="shared" si="19"/>
        <v>1428195</v>
      </c>
    </row>
    <row r="84" spans="1:14">
      <c r="A84" s="33" t="s">
        <v>72</v>
      </c>
      <c r="B84" s="7">
        <f>+B53</f>
        <v>24982</v>
      </c>
      <c r="C84" s="7">
        <f>SUM($B53:C53)</f>
        <v>383444</v>
      </c>
      <c r="D84" s="7">
        <f>SUM($B53:D53)</f>
        <v>434108</v>
      </c>
      <c r="E84" s="7">
        <f>SUM($B53:E53)</f>
        <v>584660</v>
      </c>
      <c r="F84" s="7">
        <f>SUM($B53:F53)</f>
        <v>585470</v>
      </c>
      <c r="G84" s="7">
        <f>SUM($B53:G53)</f>
        <v>652422</v>
      </c>
      <c r="H84" s="7">
        <f>SUM(B53:H53)</f>
        <v>675909</v>
      </c>
      <c r="I84" s="7">
        <f>SUM(B53:I53)</f>
        <v>675909</v>
      </c>
      <c r="J84" s="7">
        <f>SUM(B53:J53)</f>
        <v>704773</v>
      </c>
      <c r="K84" s="7">
        <f>SUM(B53:K53)</f>
        <v>704773</v>
      </c>
      <c r="L84" s="7">
        <f>SUM(B53:L53)</f>
        <v>704773</v>
      </c>
      <c r="M84" s="7">
        <f>SUM(B53:M53)</f>
        <v>1159773</v>
      </c>
    </row>
    <row r="85" spans="1:14">
      <c r="A85" s="33" t="s">
        <v>73</v>
      </c>
      <c r="B85" s="7">
        <f t="shared" ref="B85:G85" si="20">+B83-B84</f>
        <v>27018</v>
      </c>
      <c r="C85" s="7">
        <f t="shared" si="20"/>
        <v>-311444</v>
      </c>
      <c r="D85" s="7">
        <f t="shared" si="20"/>
        <v>-352108</v>
      </c>
      <c r="E85" s="7">
        <f t="shared" si="20"/>
        <v>-458305</v>
      </c>
      <c r="F85" s="7">
        <f t="shared" si="20"/>
        <v>-272275</v>
      </c>
      <c r="G85" s="7">
        <f t="shared" si="20"/>
        <v>-137227</v>
      </c>
      <c r="H85" s="7">
        <f t="shared" ref="H85:M85" si="21">+H83-H84</f>
        <v>36286</v>
      </c>
      <c r="I85" s="7">
        <f t="shared" si="21"/>
        <v>178286</v>
      </c>
      <c r="J85" s="7">
        <f t="shared" si="21"/>
        <v>268422</v>
      </c>
      <c r="K85" s="7">
        <f t="shared" si="21"/>
        <v>268422</v>
      </c>
      <c r="L85" s="7">
        <f t="shared" si="21"/>
        <v>268422</v>
      </c>
      <c r="M85" s="7">
        <f t="shared" si="21"/>
        <v>268422</v>
      </c>
    </row>
    <row r="86" spans="1:14">
      <c r="J86" s="6"/>
      <c r="K86" s="6"/>
    </row>
    <row r="87" spans="1:14">
      <c r="A87" t="s">
        <v>74</v>
      </c>
      <c r="B87" s="35">
        <f>-B56-B57</f>
        <v>288499</v>
      </c>
      <c r="C87" s="35">
        <f t="shared" ref="C87:N87" si="22">-C56-C57</f>
        <v>35937</v>
      </c>
      <c r="D87" s="35">
        <f t="shared" si="22"/>
        <v>56816</v>
      </c>
      <c r="E87" s="35">
        <f t="shared" si="22"/>
        <v>-149736</v>
      </c>
      <c r="F87" s="35">
        <f t="shared" si="22"/>
        <v>7086.95</v>
      </c>
      <c r="G87" s="40">
        <f t="shared" si="22"/>
        <v>70924</v>
      </c>
      <c r="H87" s="35" t="e">
        <f>-#REF!-#REF!</f>
        <v>#REF!</v>
      </c>
      <c r="I87" s="35">
        <f t="shared" si="22"/>
        <v>164812</v>
      </c>
      <c r="J87" s="35">
        <f t="shared" si="22"/>
        <v>125501</v>
      </c>
      <c r="K87" s="40">
        <f t="shared" si="22"/>
        <v>34000</v>
      </c>
      <c r="L87" s="35">
        <f t="shared" si="22"/>
        <v>34000</v>
      </c>
      <c r="M87" s="35">
        <f t="shared" si="22"/>
        <v>34000</v>
      </c>
      <c r="N87" s="35">
        <f t="shared" si="22"/>
        <v>888669.60000000009</v>
      </c>
    </row>
    <row r="88" spans="1:14">
      <c r="C88" s="35">
        <f>+B87+C87</f>
        <v>324436</v>
      </c>
      <c r="D88" s="35">
        <f>+C88+D87</f>
        <v>381252</v>
      </c>
      <c r="E88" s="35">
        <f t="shared" ref="E88:M88" si="23">+D88+E87</f>
        <v>231516</v>
      </c>
      <c r="F88" s="35">
        <f t="shared" si="23"/>
        <v>238602.95</v>
      </c>
      <c r="G88" s="40">
        <f t="shared" si="23"/>
        <v>309526.95</v>
      </c>
      <c r="H88" s="35" t="e">
        <f t="shared" si="23"/>
        <v>#REF!</v>
      </c>
      <c r="I88" s="40" t="e">
        <f t="shared" si="23"/>
        <v>#REF!</v>
      </c>
      <c r="J88" s="40" t="e">
        <f t="shared" si="23"/>
        <v>#REF!</v>
      </c>
      <c r="K88" s="40" t="e">
        <f t="shared" si="23"/>
        <v>#REF!</v>
      </c>
      <c r="L88" s="35" t="e">
        <f t="shared" si="23"/>
        <v>#REF!</v>
      </c>
      <c r="M88" s="35" t="e">
        <f t="shared" si="23"/>
        <v>#REF!</v>
      </c>
    </row>
    <row r="89" spans="1:14">
      <c r="B89" s="6"/>
      <c r="C89" s="6"/>
      <c r="D89" s="6"/>
      <c r="E89" s="6"/>
    </row>
    <row r="90" spans="1:14">
      <c r="B90" s="6"/>
      <c r="C90" s="6"/>
      <c r="D90" s="21"/>
      <c r="E90" s="6"/>
    </row>
    <row r="91" spans="1:14">
      <c r="B91" s="6"/>
      <c r="C91" s="6"/>
      <c r="D91" s="6"/>
      <c r="E91" s="6"/>
    </row>
    <row r="92" spans="1:14">
      <c r="B92" s="6"/>
      <c r="C92" s="6"/>
      <c r="D92" s="6"/>
      <c r="E92" s="6"/>
    </row>
    <row r="93" spans="1:14">
      <c r="B93" s="6"/>
      <c r="C93" s="6"/>
      <c r="D93" s="6"/>
      <c r="E93" s="6"/>
    </row>
    <row r="94" spans="1:14">
      <c r="B94" s="6"/>
      <c r="C94" s="6"/>
      <c r="D94" s="34"/>
      <c r="E94" s="6"/>
    </row>
    <row r="95" spans="1:14">
      <c r="B95" s="6"/>
      <c r="C95" s="6"/>
      <c r="D95" s="6"/>
      <c r="E95" s="6"/>
    </row>
    <row r="96" spans="1:14">
      <c r="B96" s="6"/>
      <c r="C96" s="6"/>
      <c r="D96" s="6"/>
      <c r="E96" s="6"/>
    </row>
  </sheetData>
  <pageMargins left="0.28000000000000003" right="0.25" top="0.99" bottom="0.75" header="0.63" footer="0.23"/>
  <pageSetup scale="67" orientation="landscape" r:id="rId1"/>
  <headerFooter alignWithMargins="0">
    <oddHeader xml:space="preserve">&amp;C&amp;"Arial,Bold"&amp;11 49ER SHOPS, INC.
&amp;UFY2016/2017 OPERATIONAL CASH FLOW </oddHeader>
    <oddFooter>&amp;CCash Flow - FY2016/2017
March 2017</oddFooter>
  </headerFooter>
  <legacy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FF00"/>
    <pageSetUpPr fitToPage="1"/>
  </sheetPr>
  <dimension ref="A1:AR96"/>
  <sheetViews>
    <sheetView showGridLines="0" zoomScale="90" zoomScaleNormal="90" workbookViewId="0">
      <pane xSplit="1" ySplit="3" topLeftCell="B14" activePane="bottomRight" state="frozen"/>
      <selection pane="topRight" activeCell="P45" sqref="P45"/>
      <selection pane="bottomLeft" activeCell="P45" sqref="P45"/>
      <selection pane="bottomRight" activeCell="P45" sqref="P45"/>
    </sheetView>
  </sheetViews>
  <sheetFormatPr defaultRowHeight="12.75"/>
  <cols>
    <col min="1" max="1" width="35.42578125" customWidth="1"/>
    <col min="2" max="2" width="14" customWidth="1"/>
    <col min="3" max="3" width="12.5703125" customWidth="1"/>
    <col min="4" max="4" width="12.140625" customWidth="1"/>
    <col min="5" max="5" width="13.5703125" customWidth="1"/>
    <col min="6" max="6" width="12.85546875" customWidth="1"/>
    <col min="7" max="7" width="12.5703125" style="6" customWidth="1"/>
    <col min="8" max="9" width="12.85546875" customWidth="1"/>
    <col min="10" max="11" width="12.140625" customWidth="1"/>
    <col min="12" max="13" width="12.85546875" customWidth="1"/>
    <col min="14" max="14" width="12.85546875" bestFit="1" customWidth="1"/>
    <col min="15" max="15" width="10.140625" bestFit="1" customWidth="1"/>
    <col min="16" max="16" width="13.140625" bestFit="1" customWidth="1"/>
  </cols>
  <sheetData>
    <row r="1" spans="1:15" ht="13.5" thickBot="1">
      <c r="A1" s="46" t="s">
        <v>89</v>
      </c>
      <c r="E1" s="6"/>
      <c r="F1" s="6"/>
      <c r="J1" s="6"/>
      <c r="K1" s="6"/>
      <c r="N1" s="3"/>
    </row>
    <row r="2" spans="1:15">
      <c r="B2" s="45" t="s">
        <v>24</v>
      </c>
      <c r="C2" s="45" t="s">
        <v>24</v>
      </c>
      <c r="D2" s="45" t="s">
        <v>24</v>
      </c>
      <c r="E2" s="45" t="s">
        <v>24</v>
      </c>
      <c r="F2" s="45" t="s">
        <v>24</v>
      </c>
      <c r="G2" s="45" t="s">
        <v>24</v>
      </c>
      <c r="H2" s="45" t="s">
        <v>24</v>
      </c>
      <c r="I2" s="45" t="s">
        <v>24</v>
      </c>
      <c r="J2" s="45" t="s">
        <v>24</v>
      </c>
      <c r="K2" s="45" t="s">
        <v>24</v>
      </c>
      <c r="L2" s="45" t="s">
        <v>76</v>
      </c>
      <c r="M2" s="45" t="s">
        <v>76</v>
      </c>
      <c r="N2" s="55" t="s">
        <v>25</v>
      </c>
    </row>
    <row r="3" spans="1:15" s="5" customFormat="1">
      <c r="B3" s="11">
        <v>42553</v>
      </c>
      <c r="C3" s="11">
        <v>42584</v>
      </c>
      <c r="D3" s="11">
        <v>42615</v>
      </c>
      <c r="E3" s="11">
        <v>42645</v>
      </c>
      <c r="F3" s="11">
        <v>42676</v>
      </c>
      <c r="G3" s="11">
        <v>42706</v>
      </c>
      <c r="H3" s="11">
        <v>42737</v>
      </c>
      <c r="I3" s="11">
        <v>42768</v>
      </c>
      <c r="J3" s="11">
        <v>42796</v>
      </c>
      <c r="K3" s="11">
        <v>42827</v>
      </c>
      <c r="L3" s="11">
        <v>42857</v>
      </c>
      <c r="M3" s="11">
        <v>42888</v>
      </c>
      <c r="N3" s="57" t="s">
        <v>77</v>
      </c>
    </row>
    <row r="4" spans="1:15" hidden="1">
      <c r="A4" s="1" t="s">
        <v>27</v>
      </c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>
        <f>SUM(B4:M4)</f>
        <v>0</v>
      </c>
      <c r="O4" s="6"/>
    </row>
    <row r="5" spans="1:15" s="6" customFormat="1" hidden="1">
      <c r="A5" s="6" t="s">
        <v>28</v>
      </c>
      <c r="B5" s="53">
        <v>1199482</v>
      </c>
      <c r="C5" s="53">
        <v>4828670</v>
      </c>
      <c r="D5" s="53">
        <v>3749028</v>
      </c>
      <c r="E5" s="53">
        <v>3546355</v>
      </c>
      <c r="F5" s="53">
        <v>2585168</v>
      </c>
      <c r="G5" s="53">
        <v>2443265</v>
      </c>
      <c r="H5" s="53">
        <v>3426560</v>
      </c>
      <c r="I5" s="53">
        <v>3501507</v>
      </c>
      <c r="J5" s="53">
        <v>3214307</v>
      </c>
      <c r="K5" s="53">
        <v>3269506</v>
      </c>
      <c r="L5" s="53">
        <v>2884558.9345671199</v>
      </c>
      <c r="M5" s="53">
        <v>1536863.9470107399</v>
      </c>
      <c r="N5" s="12">
        <f>SUM(B5:M5)</f>
        <v>36185270.881577864</v>
      </c>
    </row>
    <row r="6" spans="1:15" s="6" customFormat="1" hidden="1">
      <c r="A6" s="6" t="s">
        <v>29</v>
      </c>
      <c r="B6" s="53">
        <v>54104</v>
      </c>
      <c r="C6" s="53">
        <v>50888</v>
      </c>
      <c r="D6" s="53">
        <v>47975</v>
      </c>
      <c r="E6" s="53">
        <v>339053</v>
      </c>
      <c r="F6" s="53">
        <v>50128</v>
      </c>
      <c r="G6" s="53">
        <v>100915</v>
      </c>
      <c r="H6" s="53">
        <v>55954</v>
      </c>
      <c r="I6" s="53">
        <v>64066</v>
      </c>
      <c r="J6" s="53">
        <v>70594</v>
      </c>
      <c r="K6" s="53">
        <v>572765</v>
      </c>
      <c r="L6" s="53">
        <v>303701.34733729798</v>
      </c>
      <c r="M6" s="53">
        <v>46075.731999999996</v>
      </c>
      <c r="N6" s="7">
        <f>SUM(B6:M6)</f>
        <v>1756219.0793372982</v>
      </c>
    </row>
    <row r="7" spans="1:15" s="6" customFormat="1" hidden="1">
      <c r="B7" s="7"/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7">
        <f>SUM(B7:M7)</f>
        <v>0</v>
      </c>
    </row>
    <row r="8" spans="1:15" s="6" customFormat="1" hidden="1">
      <c r="B8" s="15"/>
      <c r="C8" s="15"/>
      <c r="D8" s="15"/>
      <c r="E8" s="15"/>
      <c r="F8" s="15"/>
      <c r="G8" s="15"/>
      <c r="H8" s="15"/>
      <c r="I8" s="15"/>
      <c r="J8" s="15"/>
      <c r="K8" s="15"/>
      <c r="L8" s="15"/>
      <c r="M8" s="15"/>
      <c r="N8" s="15">
        <f>SUM(B8:M8)</f>
        <v>0</v>
      </c>
    </row>
    <row r="9" spans="1:15" s="6" customFormat="1">
      <c r="A9" s="13" t="s">
        <v>30</v>
      </c>
      <c r="B9" s="12">
        <f t="shared" ref="B9:N9" si="0">SUM(B5:B8)</f>
        <v>1253586</v>
      </c>
      <c r="C9" s="12">
        <f t="shared" si="0"/>
        <v>4879558</v>
      </c>
      <c r="D9" s="12">
        <f t="shared" si="0"/>
        <v>3797003</v>
      </c>
      <c r="E9" s="12">
        <v>3546355</v>
      </c>
      <c r="F9" s="12">
        <f t="shared" si="0"/>
        <v>2635296</v>
      </c>
      <c r="G9" s="12">
        <f t="shared" si="0"/>
        <v>2544180</v>
      </c>
      <c r="H9" s="12">
        <f t="shared" si="0"/>
        <v>3482514</v>
      </c>
      <c r="I9" s="12">
        <f t="shared" si="0"/>
        <v>3565573</v>
      </c>
      <c r="J9" s="12">
        <f t="shared" si="0"/>
        <v>3284901</v>
      </c>
      <c r="K9" s="12">
        <f t="shared" si="0"/>
        <v>3842271</v>
      </c>
      <c r="L9" s="12">
        <f t="shared" si="0"/>
        <v>3188260.281904418</v>
      </c>
      <c r="M9" s="12">
        <f t="shared" si="0"/>
        <v>1582939.67901074</v>
      </c>
      <c r="N9" s="12">
        <f t="shared" si="0"/>
        <v>37941489.960915163</v>
      </c>
    </row>
    <row r="10" spans="1:15" s="6" customFormat="1" ht="6.75" customHeight="1"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</row>
    <row r="11" spans="1:15" s="6" customFormat="1">
      <c r="A11" s="13" t="s">
        <v>31</v>
      </c>
      <c r="B11" s="7">
        <v>7663</v>
      </c>
      <c r="C11" s="7">
        <v>2297</v>
      </c>
      <c r="D11" s="7">
        <v>6582</v>
      </c>
      <c r="E11" s="7">
        <v>62</v>
      </c>
      <c r="F11" s="7">
        <f>5776-5686</f>
        <v>90</v>
      </c>
      <c r="G11" s="7">
        <v>2997</v>
      </c>
      <c r="H11" s="7">
        <f>13058-6989</f>
        <v>6069</v>
      </c>
      <c r="I11" s="7">
        <f>9542-7182</f>
        <v>2360</v>
      </c>
      <c r="J11" s="7">
        <f>11101-10718</f>
        <v>383</v>
      </c>
      <c r="K11" s="7">
        <v>0</v>
      </c>
      <c r="L11" s="7"/>
      <c r="M11" s="7"/>
      <c r="N11" s="7">
        <f>SUM(B11:M11)</f>
        <v>28503</v>
      </c>
    </row>
    <row r="12" spans="1:15" s="6" customFormat="1" ht="7.5" customHeight="1">
      <c r="B12" s="7"/>
      <c r="C12" s="7"/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</row>
    <row r="13" spans="1:15" s="6" customFormat="1" ht="13.5" thickBot="1">
      <c r="A13" s="13" t="s">
        <v>32</v>
      </c>
      <c r="B13" s="14">
        <f t="shared" ref="B13:N13" si="1">B9+B11</f>
        <v>1261249</v>
      </c>
      <c r="C13" s="14">
        <f>C9+C11</f>
        <v>4881855</v>
      </c>
      <c r="D13" s="14">
        <f t="shared" si="1"/>
        <v>3803585</v>
      </c>
      <c r="E13" s="14">
        <f t="shared" si="1"/>
        <v>3546417</v>
      </c>
      <c r="F13" s="14">
        <f t="shared" si="1"/>
        <v>2635386</v>
      </c>
      <c r="G13" s="14">
        <f t="shared" si="1"/>
        <v>2547177</v>
      </c>
      <c r="H13" s="14">
        <f t="shared" si="1"/>
        <v>3488583</v>
      </c>
      <c r="I13" s="14">
        <f t="shared" si="1"/>
        <v>3567933</v>
      </c>
      <c r="J13" s="14">
        <f t="shared" si="1"/>
        <v>3285284</v>
      </c>
      <c r="K13" s="14">
        <f t="shared" si="1"/>
        <v>3842271</v>
      </c>
      <c r="L13" s="14">
        <f t="shared" si="1"/>
        <v>3188260.281904418</v>
      </c>
      <c r="M13" s="14">
        <f t="shared" si="1"/>
        <v>1582939.67901074</v>
      </c>
      <c r="N13" s="14">
        <f t="shared" si="1"/>
        <v>37969992.960915163</v>
      </c>
    </row>
    <row r="14" spans="1:15" s="6" customFormat="1" ht="13.5" thickTop="1">
      <c r="B14" s="7"/>
      <c r="C14" s="7"/>
      <c r="D14" s="7"/>
      <c r="E14" s="7"/>
      <c r="F14" s="7"/>
      <c r="G14" s="7"/>
      <c r="H14" s="7"/>
      <c r="I14" s="7"/>
      <c r="J14" s="7"/>
      <c r="K14" s="7"/>
      <c r="L14" s="7"/>
      <c r="M14" s="7"/>
    </row>
    <row r="15" spans="1:15" s="6" customFormat="1" hidden="1">
      <c r="A15" s="13" t="s">
        <v>33</v>
      </c>
      <c r="B15" s="7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</row>
    <row r="16" spans="1:15" s="6" customFormat="1" hidden="1">
      <c r="A16" s="6" t="s">
        <v>34</v>
      </c>
      <c r="B16" s="53">
        <v>620285</v>
      </c>
      <c r="C16" s="53">
        <v>2968543</v>
      </c>
      <c r="D16" s="53">
        <v>1627085</v>
      </c>
      <c r="E16" s="53">
        <v>1339249</v>
      </c>
      <c r="F16" s="53">
        <v>866632</v>
      </c>
      <c r="G16" s="53">
        <v>917825</v>
      </c>
      <c r="H16" s="53">
        <v>2106719</v>
      </c>
      <c r="I16" s="53">
        <v>1431976</v>
      </c>
      <c r="J16" s="53">
        <v>1168366</v>
      </c>
      <c r="K16" s="53">
        <v>1344740</v>
      </c>
      <c r="L16" s="53">
        <v>1202846.3247627199</v>
      </c>
      <c r="M16" s="53">
        <v>808585.32395320502</v>
      </c>
      <c r="N16" s="7">
        <f>SUM(B16:M16)</f>
        <v>16402851.648715926</v>
      </c>
    </row>
    <row r="17" spans="1:44" s="6" customFormat="1" hidden="1">
      <c r="B17" s="27"/>
      <c r="C17" s="27"/>
      <c r="D17" s="27"/>
      <c r="E17" s="27"/>
      <c r="F17" s="27"/>
      <c r="G17" s="27"/>
      <c r="H17" s="27"/>
      <c r="I17" s="27"/>
      <c r="J17" s="27"/>
      <c r="K17" s="27"/>
      <c r="L17" s="27"/>
      <c r="M17" s="27"/>
      <c r="N17" s="7">
        <f>SUM(B17:M17)</f>
        <v>0</v>
      </c>
    </row>
    <row r="18" spans="1:44" s="6" customFormat="1" hidden="1">
      <c r="B18" s="7"/>
      <c r="C18" s="7"/>
      <c r="D18" s="7"/>
      <c r="E18" s="7"/>
      <c r="F18" s="7"/>
      <c r="G18" s="7"/>
      <c r="H18" s="7"/>
      <c r="I18" s="7"/>
      <c r="J18" s="7"/>
      <c r="K18" s="7"/>
      <c r="L18" s="7"/>
      <c r="M18" s="7"/>
      <c r="N18" s="7">
        <v>0</v>
      </c>
    </row>
    <row r="19" spans="1:44" s="6" customFormat="1" hidden="1">
      <c r="B19" s="15"/>
      <c r="C19" s="15"/>
      <c r="D19" s="15"/>
      <c r="E19" s="15"/>
      <c r="F19" s="15"/>
      <c r="G19" s="15"/>
      <c r="H19" s="15"/>
      <c r="I19" s="15"/>
      <c r="J19" s="15"/>
      <c r="K19" s="15"/>
      <c r="L19" s="15"/>
      <c r="M19" s="15"/>
      <c r="N19" s="15">
        <f>SUM(B19:M19)</f>
        <v>0</v>
      </c>
    </row>
    <row r="20" spans="1:44" s="6" customFormat="1">
      <c r="A20" s="13" t="s">
        <v>35</v>
      </c>
      <c r="B20" s="12">
        <f t="shared" ref="B20:N20" si="2">SUM(B16:B19)</f>
        <v>620285</v>
      </c>
      <c r="C20" s="12">
        <f t="shared" si="2"/>
        <v>2968543</v>
      </c>
      <c r="D20" s="12">
        <f t="shared" si="2"/>
        <v>1627085</v>
      </c>
      <c r="E20" s="12">
        <f t="shared" si="2"/>
        <v>1339249</v>
      </c>
      <c r="F20" s="12">
        <f t="shared" si="2"/>
        <v>866632</v>
      </c>
      <c r="G20" s="12">
        <f t="shared" si="2"/>
        <v>917825</v>
      </c>
      <c r="H20" s="12">
        <f t="shared" si="2"/>
        <v>2106719</v>
      </c>
      <c r="I20" s="12">
        <f t="shared" si="2"/>
        <v>1431976</v>
      </c>
      <c r="J20" s="12">
        <f t="shared" si="2"/>
        <v>1168366</v>
      </c>
      <c r="K20" s="12">
        <f t="shared" si="2"/>
        <v>1344740</v>
      </c>
      <c r="L20" s="12">
        <f t="shared" si="2"/>
        <v>1202846.3247627199</v>
      </c>
      <c r="M20" s="12">
        <f t="shared" si="2"/>
        <v>808585.32395320502</v>
      </c>
      <c r="N20" s="12">
        <f t="shared" si="2"/>
        <v>16402851.648715926</v>
      </c>
    </row>
    <row r="21" spans="1:44" s="6" customFormat="1">
      <c r="B21" s="7"/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</row>
    <row r="22" spans="1:44" s="6" customFormat="1" hidden="1">
      <c r="A22" s="13" t="s">
        <v>36</v>
      </c>
      <c r="B22" s="7"/>
      <c r="C22" s="7"/>
      <c r="D22" s="7"/>
      <c r="E22" s="7"/>
      <c r="F22" s="7"/>
      <c r="G22" s="7"/>
      <c r="H22" s="7"/>
      <c r="I22" s="7"/>
      <c r="J22" s="7"/>
      <c r="K22" s="7"/>
      <c r="L22" s="7"/>
      <c r="M22" s="7"/>
    </row>
    <row r="23" spans="1:44" s="6" customFormat="1" hidden="1">
      <c r="A23" s="6" t="s">
        <v>37</v>
      </c>
      <c r="B23" s="7">
        <f t="shared" ref="B23:M26" si="3">+B5-B16</f>
        <v>579197</v>
      </c>
      <c r="C23" s="7">
        <f t="shared" si="3"/>
        <v>1860127</v>
      </c>
      <c r="D23" s="7">
        <f t="shared" si="3"/>
        <v>2121943</v>
      </c>
      <c r="E23" s="7">
        <f t="shared" si="3"/>
        <v>2207106</v>
      </c>
      <c r="F23" s="7">
        <f t="shared" si="3"/>
        <v>1718536</v>
      </c>
      <c r="G23" s="7">
        <f t="shared" si="3"/>
        <v>1525440</v>
      </c>
      <c r="H23" s="7">
        <f t="shared" si="3"/>
        <v>1319841</v>
      </c>
      <c r="I23" s="7">
        <f t="shared" si="3"/>
        <v>2069531</v>
      </c>
      <c r="J23" s="7">
        <f t="shared" si="3"/>
        <v>2045941</v>
      </c>
      <c r="K23" s="7">
        <f t="shared" si="3"/>
        <v>1924766</v>
      </c>
      <c r="L23" s="7">
        <f t="shared" si="3"/>
        <v>1681712.6098044</v>
      </c>
      <c r="M23" s="7">
        <f t="shared" si="3"/>
        <v>728278.62305753492</v>
      </c>
      <c r="N23" s="7">
        <f>SUM(B23:M23)</f>
        <v>19782419.232861936</v>
      </c>
    </row>
    <row r="24" spans="1:44" s="6" customFormat="1" hidden="1">
      <c r="A24" s="6" t="s">
        <v>37</v>
      </c>
      <c r="B24" s="7">
        <f t="shared" si="3"/>
        <v>54104</v>
      </c>
      <c r="C24" s="7">
        <f t="shared" si="3"/>
        <v>50888</v>
      </c>
      <c r="D24" s="7">
        <f t="shared" si="3"/>
        <v>47975</v>
      </c>
      <c r="E24" s="7">
        <f t="shared" si="3"/>
        <v>339053</v>
      </c>
      <c r="F24" s="7">
        <f t="shared" si="3"/>
        <v>50128</v>
      </c>
      <c r="G24" s="7">
        <f t="shared" si="3"/>
        <v>100915</v>
      </c>
      <c r="H24" s="7">
        <f t="shared" si="3"/>
        <v>55954</v>
      </c>
      <c r="I24" s="7">
        <f t="shared" si="3"/>
        <v>64066</v>
      </c>
      <c r="J24" s="7">
        <f t="shared" si="3"/>
        <v>70594</v>
      </c>
      <c r="K24" s="7">
        <f t="shared" si="3"/>
        <v>572765</v>
      </c>
      <c r="L24" s="7">
        <f t="shared" si="3"/>
        <v>303701.34733729798</v>
      </c>
      <c r="M24" s="7">
        <f t="shared" si="3"/>
        <v>46075.731999999996</v>
      </c>
      <c r="N24" s="7">
        <f>SUM(B24:M24)</f>
        <v>1756219.0793372982</v>
      </c>
    </row>
    <row r="25" spans="1:44" s="6" customFormat="1" hidden="1">
      <c r="A25" s="6" t="s">
        <v>38</v>
      </c>
      <c r="B25" s="7">
        <f t="shared" si="3"/>
        <v>0</v>
      </c>
      <c r="C25" s="7">
        <f t="shared" si="3"/>
        <v>0</v>
      </c>
      <c r="D25" s="7">
        <f t="shared" si="3"/>
        <v>0</v>
      </c>
      <c r="E25" s="7">
        <f t="shared" si="3"/>
        <v>0</v>
      </c>
      <c r="F25" s="7">
        <f t="shared" si="3"/>
        <v>0</v>
      </c>
      <c r="G25" s="7">
        <f t="shared" si="3"/>
        <v>0</v>
      </c>
      <c r="H25" s="7">
        <f t="shared" si="3"/>
        <v>0</v>
      </c>
      <c r="I25" s="7">
        <f t="shared" si="3"/>
        <v>0</v>
      </c>
      <c r="J25" s="7">
        <f t="shared" si="3"/>
        <v>0</v>
      </c>
      <c r="K25" s="7">
        <f t="shared" si="3"/>
        <v>0</v>
      </c>
      <c r="L25" s="7">
        <f t="shared" si="3"/>
        <v>0</v>
      </c>
      <c r="M25" s="7">
        <f t="shared" si="3"/>
        <v>0</v>
      </c>
      <c r="N25" s="7">
        <f>SUM(B25:M25)</f>
        <v>0</v>
      </c>
    </row>
    <row r="26" spans="1:44" s="6" customFormat="1" hidden="1">
      <c r="A26" s="6" t="s">
        <v>38</v>
      </c>
      <c r="B26" s="15">
        <f t="shared" si="3"/>
        <v>0</v>
      </c>
      <c r="C26" s="15">
        <f t="shared" si="3"/>
        <v>0</v>
      </c>
      <c r="D26" s="15">
        <f t="shared" si="3"/>
        <v>0</v>
      </c>
      <c r="E26" s="15">
        <f t="shared" si="3"/>
        <v>0</v>
      </c>
      <c r="F26" s="15">
        <f t="shared" si="3"/>
        <v>0</v>
      </c>
      <c r="G26" s="15">
        <f t="shared" si="3"/>
        <v>0</v>
      </c>
      <c r="H26" s="15">
        <f t="shared" si="3"/>
        <v>0</v>
      </c>
      <c r="I26" s="15">
        <f t="shared" si="3"/>
        <v>0</v>
      </c>
      <c r="J26" s="15">
        <f t="shared" si="3"/>
        <v>0</v>
      </c>
      <c r="K26" s="15">
        <f t="shared" si="3"/>
        <v>0</v>
      </c>
      <c r="L26" s="15">
        <f t="shared" si="3"/>
        <v>0</v>
      </c>
      <c r="M26" s="15">
        <f t="shared" si="3"/>
        <v>0</v>
      </c>
      <c r="N26" s="15">
        <f>SUM(B26:M26)</f>
        <v>0</v>
      </c>
    </row>
    <row r="27" spans="1:44" s="6" customFormat="1">
      <c r="A27" s="13" t="s">
        <v>39</v>
      </c>
      <c r="B27" s="12">
        <f t="shared" ref="B27:N27" si="4">SUM(B23:B26)</f>
        <v>633301</v>
      </c>
      <c r="C27" s="12">
        <f t="shared" si="4"/>
        <v>1911015</v>
      </c>
      <c r="D27" s="12">
        <f t="shared" si="4"/>
        <v>2169918</v>
      </c>
      <c r="E27" s="12">
        <f t="shared" si="4"/>
        <v>2546159</v>
      </c>
      <c r="F27" s="12">
        <f t="shared" si="4"/>
        <v>1768664</v>
      </c>
      <c r="G27" s="12">
        <f t="shared" si="4"/>
        <v>1626355</v>
      </c>
      <c r="H27" s="12">
        <f t="shared" si="4"/>
        <v>1375795</v>
      </c>
      <c r="I27" s="12">
        <f t="shared" si="4"/>
        <v>2133597</v>
      </c>
      <c r="J27" s="12">
        <f t="shared" si="4"/>
        <v>2116535</v>
      </c>
      <c r="K27" s="12">
        <f t="shared" si="4"/>
        <v>2497531</v>
      </c>
      <c r="L27" s="12">
        <f t="shared" si="4"/>
        <v>1985413.9571416979</v>
      </c>
      <c r="M27" s="12">
        <f>SUM(M23:M26)</f>
        <v>774354.35505753488</v>
      </c>
      <c r="N27" s="12">
        <f t="shared" si="4"/>
        <v>21538638.312199235</v>
      </c>
    </row>
    <row r="28" spans="1:44" s="6" customFormat="1">
      <c r="B28" s="7"/>
      <c r="C28" s="7"/>
      <c r="D28" s="7"/>
      <c r="E28" s="7"/>
      <c r="F28" s="7"/>
      <c r="G28" s="7"/>
      <c r="H28" s="7"/>
      <c r="I28" s="7"/>
      <c r="J28" s="7"/>
      <c r="K28" s="7"/>
      <c r="L28" s="7"/>
      <c r="M28" s="7"/>
    </row>
    <row r="29" spans="1:44" s="6" customFormat="1" hidden="1">
      <c r="A29" s="13" t="s">
        <v>40</v>
      </c>
      <c r="B29" s="7"/>
      <c r="C29" s="7"/>
      <c r="D29" s="7"/>
      <c r="E29" s="7"/>
      <c r="F29" s="7"/>
      <c r="G29" s="7"/>
      <c r="H29" s="7"/>
      <c r="I29" s="7"/>
      <c r="J29" s="7"/>
      <c r="K29" s="7"/>
      <c r="L29" s="7"/>
      <c r="M29" s="7"/>
    </row>
    <row r="30" spans="1:44" s="6" customFormat="1" hidden="1">
      <c r="A30" s="6" t="s">
        <v>41</v>
      </c>
      <c r="B30" s="53">
        <v>392880</v>
      </c>
      <c r="C30" s="53">
        <v>559131</v>
      </c>
      <c r="D30" s="53">
        <v>664356</v>
      </c>
      <c r="E30" s="53">
        <v>808302</v>
      </c>
      <c r="F30" s="53">
        <v>577909</v>
      </c>
      <c r="G30" s="53">
        <v>554216</v>
      </c>
      <c r="H30" s="53">
        <v>599925</v>
      </c>
      <c r="I30" s="53">
        <v>700444</v>
      </c>
      <c r="J30" s="53">
        <v>675949</v>
      </c>
      <c r="K30" s="53">
        <v>733042</v>
      </c>
      <c r="L30" s="53">
        <v>615430.25565265596</v>
      </c>
      <c r="M30" s="53">
        <v>456542.16991265502</v>
      </c>
      <c r="N30" s="7">
        <f>SUM(B30:M30)</f>
        <v>7338126.4255653108</v>
      </c>
    </row>
    <row r="31" spans="1:44" s="6" customFormat="1" hidden="1">
      <c r="A31" s="6" t="s">
        <v>42</v>
      </c>
      <c r="B31" s="53">
        <v>216187</v>
      </c>
      <c r="C31" s="53">
        <v>190413</v>
      </c>
      <c r="D31" s="53">
        <v>232147</v>
      </c>
      <c r="E31" s="53">
        <v>210938</v>
      </c>
      <c r="F31" s="53">
        <v>193412</v>
      </c>
      <c r="G31" s="53">
        <v>167260</v>
      </c>
      <c r="H31" s="53">
        <v>226827</v>
      </c>
      <c r="I31" s="53">
        <v>203520</v>
      </c>
      <c r="J31" s="53">
        <v>211437</v>
      </c>
      <c r="K31" s="53">
        <v>188816</v>
      </c>
      <c r="L31" s="53">
        <v>196340.080043806</v>
      </c>
      <c r="M31" s="53">
        <v>191011.551540168</v>
      </c>
      <c r="N31" s="7">
        <f>SUM(B31:M31)</f>
        <v>2428308.6315839738</v>
      </c>
    </row>
    <row r="32" spans="1:44" s="6" customFormat="1" ht="15" hidden="1">
      <c r="A32" s="6" t="s">
        <v>38</v>
      </c>
      <c r="B32" s="65"/>
      <c r="C32" s="65"/>
      <c r="D32" s="65"/>
      <c r="E32" s="65"/>
      <c r="F32" s="68"/>
      <c r="G32" s="68"/>
      <c r="H32" s="68"/>
      <c r="I32" s="68"/>
      <c r="J32" s="68"/>
      <c r="K32" s="68"/>
      <c r="L32" s="68"/>
      <c r="M32" s="68"/>
      <c r="N32" s="7">
        <f>SUM(B32:M32)</f>
        <v>0</v>
      </c>
      <c r="P32" s="6">
        <f>+B32*-1</f>
        <v>0</v>
      </c>
      <c r="Q32" s="6">
        <f t="shared" ref="Q32:AF33" si="5">+C32*-1</f>
        <v>0</v>
      </c>
      <c r="R32" s="6">
        <f t="shared" si="5"/>
        <v>0</v>
      </c>
      <c r="S32" s="6">
        <f t="shared" si="5"/>
        <v>0</v>
      </c>
      <c r="T32" s="6">
        <f t="shared" si="5"/>
        <v>0</v>
      </c>
      <c r="U32" s="6">
        <f t="shared" si="5"/>
        <v>0</v>
      </c>
      <c r="V32" s="6">
        <f t="shared" si="5"/>
        <v>0</v>
      </c>
      <c r="W32" s="6">
        <f t="shared" si="5"/>
        <v>0</v>
      </c>
      <c r="X32" s="6">
        <f t="shared" si="5"/>
        <v>0</v>
      </c>
      <c r="Y32" s="6">
        <f t="shared" si="5"/>
        <v>0</v>
      </c>
      <c r="Z32" s="6">
        <f t="shared" si="5"/>
        <v>0</v>
      </c>
      <c r="AA32" s="6">
        <f t="shared" si="5"/>
        <v>0</v>
      </c>
      <c r="AB32" s="6">
        <f t="shared" si="5"/>
        <v>0</v>
      </c>
      <c r="AC32" s="6">
        <f t="shared" si="5"/>
        <v>0</v>
      </c>
      <c r="AD32" s="6">
        <f t="shared" si="5"/>
        <v>0</v>
      </c>
      <c r="AE32" s="6">
        <f t="shared" si="5"/>
        <v>0</v>
      </c>
      <c r="AF32" s="6">
        <f t="shared" si="5"/>
        <v>0</v>
      </c>
      <c r="AG32" s="6">
        <f t="shared" ref="AG32:AR33" si="6">+S32*-1</f>
        <v>0</v>
      </c>
      <c r="AH32" s="6">
        <f t="shared" si="6"/>
        <v>0</v>
      </c>
      <c r="AI32" s="6">
        <f t="shared" si="6"/>
        <v>0</v>
      </c>
      <c r="AJ32" s="6">
        <f t="shared" si="6"/>
        <v>0</v>
      </c>
      <c r="AK32" s="6">
        <f t="shared" si="6"/>
        <v>0</v>
      </c>
      <c r="AL32" s="6">
        <f t="shared" si="6"/>
        <v>0</v>
      </c>
      <c r="AM32" s="6">
        <f t="shared" si="6"/>
        <v>0</v>
      </c>
      <c r="AN32" s="6">
        <f t="shared" si="6"/>
        <v>0</v>
      </c>
      <c r="AO32" s="6">
        <f t="shared" si="6"/>
        <v>0</v>
      </c>
      <c r="AP32" s="6">
        <f t="shared" si="6"/>
        <v>0</v>
      </c>
      <c r="AQ32" s="6">
        <f t="shared" si="6"/>
        <v>0</v>
      </c>
      <c r="AR32" s="6">
        <f t="shared" si="6"/>
        <v>0</v>
      </c>
    </row>
    <row r="33" spans="1:44" s="6" customFormat="1" hidden="1">
      <c r="B33" s="15"/>
      <c r="C33" s="15"/>
      <c r="D33" s="15"/>
      <c r="E33" s="15"/>
      <c r="F33" s="15"/>
      <c r="G33" s="15"/>
      <c r="H33" s="15"/>
      <c r="I33" s="15"/>
      <c r="J33" s="15"/>
      <c r="K33" s="15"/>
      <c r="L33" s="15"/>
      <c r="M33" s="15"/>
      <c r="N33" s="15">
        <f>SUM(B33:M33)</f>
        <v>0</v>
      </c>
      <c r="Q33" s="6">
        <f t="shared" si="5"/>
        <v>0</v>
      </c>
      <c r="R33" s="6">
        <f t="shared" si="5"/>
        <v>0</v>
      </c>
      <c r="S33" s="6">
        <f t="shared" si="5"/>
        <v>0</v>
      </c>
      <c r="T33" s="6">
        <f t="shared" si="5"/>
        <v>0</v>
      </c>
      <c r="U33" s="6">
        <f t="shared" si="5"/>
        <v>0</v>
      </c>
      <c r="V33" s="6">
        <f t="shared" si="5"/>
        <v>0</v>
      </c>
      <c r="W33" s="6">
        <f t="shared" si="5"/>
        <v>0</v>
      </c>
      <c r="X33" s="6">
        <f t="shared" si="5"/>
        <v>0</v>
      </c>
      <c r="Y33" s="6">
        <f t="shared" si="5"/>
        <v>0</v>
      </c>
      <c r="Z33" s="6">
        <f t="shared" si="5"/>
        <v>0</v>
      </c>
      <c r="AA33" s="6">
        <f t="shared" si="5"/>
        <v>0</v>
      </c>
      <c r="AB33" s="6">
        <f t="shared" si="5"/>
        <v>0</v>
      </c>
      <c r="AC33" s="6">
        <f t="shared" si="5"/>
        <v>0</v>
      </c>
      <c r="AD33" s="6">
        <f t="shared" si="5"/>
        <v>0</v>
      </c>
      <c r="AE33" s="6">
        <f t="shared" si="5"/>
        <v>0</v>
      </c>
      <c r="AF33" s="6">
        <f t="shared" si="5"/>
        <v>0</v>
      </c>
      <c r="AG33" s="6">
        <f t="shared" si="6"/>
        <v>0</v>
      </c>
      <c r="AH33" s="6">
        <f t="shared" si="6"/>
        <v>0</v>
      </c>
      <c r="AI33" s="6">
        <f t="shared" si="6"/>
        <v>0</v>
      </c>
      <c r="AJ33" s="6">
        <f t="shared" si="6"/>
        <v>0</v>
      </c>
      <c r="AK33" s="6">
        <f t="shared" si="6"/>
        <v>0</v>
      </c>
      <c r="AL33" s="6">
        <f t="shared" si="6"/>
        <v>0</v>
      </c>
      <c r="AM33" s="6">
        <f t="shared" si="6"/>
        <v>0</v>
      </c>
      <c r="AN33" s="6">
        <f t="shared" si="6"/>
        <v>0</v>
      </c>
      <c r="AO33" s="6">
        <f t="shared" si="6"/>
        <v>0</v>
      </c>
      <c r="AP33" s="6">
        <f t="shared" si="6"/>
        <v>0</v>
      </c>
      <c r="AQ33" s="6">
        <f t="shared" si="6"/>
        <v>0</v>
      </c>
      <c r="AR33" s="6">
        <f t="shared" si="6"/>
        <v>0</v>
      </c>
    </row>
    <row r="34" spans="1:44" s="6" customFormat="1">
      <c r="A34" s="13" t="s">
        <v>43</v>
      </c>
      <c r="B34" s="12">
        <f t="shared" ref="B34:N34" si="7">SUM(B30:B33)</f>
        <v>609067</v>
      </c>
      <c r="C34" s="12">
        <f t="shared" si="7"/>
        <v>749544</v>
      </c>
      <c r="D34" s="12">
        <f t="shared" si="7"/>
        <v>896503</v>
      </c>
      <c r="E34" s="12">
        <f t="shared" si="7"/>
        <v>1019240</v>
      </c>
      <c r="F34" s="12">
        <f t="shared" si="7"/>
        <v>771321</v>
      </c>
      <c r="G34" s="12">
        <f t="shared" si="7"/>
        <v>721476</v>
      </c>
      <c r="H34" s="12">
        <f t="shared" si="7"/>
        <v>826752</v>
      </c>
      <c r="I34" s="12">
        <f t="shared" si="7"/>
        <v>903964</v>
      </c>
      <c r="J34" s="12">
        <f t="shared" si="7"/>
        <v>887386</v>
      </c>
      <c r="K34" s="12">
        <f t="shared" si="7"/>
        <v>921858</v>
      </c>
      <c r="L34" s="12">
        <f t="shared" si="7"/>
        <v>811770.33569646196</v>
      </c>
      <c r="M34" s="12">
        <f t="shared" si="7"/>
        <v>647553.72145282303</v>
      </c>
      <c r="N34" s="12">
        <f t="shared" si="7"/>
        <v>9766435.0571492836</v>
      </c>
      <c r="O34" s="7"/>
    </row>
    <row r="35" spans="1:44" s="6" customFormat="1">
      <c r="B35" s="7"/>
      <c r="C35" s="7"/>
      <c r="D35" s="7"/>
      <c r="E35" s="7"/>
      <c r="F35" s="7"/>
      <c r="G35" s="7"/>
      <c r="H35" s="7"/>
      <c r="I35" s="7"/>
      <c r="J35" s="7"/>
      <c r="K35" s="7"/>
      <c r="L35" s="7"/>
      <c r="M35" s="7"/>
    </row>
    <row r="36" spans="1:44" s="6" customFormat="1" hidden="1">
      <c r="A36" s="13" t="s">
        <v>44</v>
      </c>
      <c r="B36" s="7"/>
      <c r="C36" s="7"/>
      <c r="D36" s="7"/>
      <c r="E36" s="7"/>
      <c r="F36" s="7"/>
      <c r="G36" s="7"/>
      <c r="H36" s="7"/>
      <c r="I36" s="7"/>
      <c r="J36" s="7"/>
      <c r="K36" s="7"/>
      <c r="L36" s="7"/>
      <c r="M36" s="7"/>
    </row>
    <row r="37" spans="1:44" s="6" customFormat="1" hidden="1">
      <c r="A37" s="6" t="s">
        <v>45</v>
      </c>
      <c r="B37" s="53">
        <v>957334</v>
      </c>
      <c r="C37" s="53">
        <v>1284431</v>
      </c>
      <c r="D37" s="53">
        <v>1445140</v>
      </c>
      <c r="E37" s="53">
        <v>1605674</v>
      </c>
      <c r="F37" s="53">
        <v>1524417</v>
      </c>
      <c r="G37" s="66">
        <v>1260096</v>
      </c>
      <c r="H37" s="66">
        <v>1231421</v>
      </c>
      <c r="I37" s="66">
        <v>1441090</v>
      </c>
      <c r="J37" s="66">
        <v>1481996</v>
      </c>
      <c r="K37" s="53">
        <v>1658913</v>
      </c>
      <c r="L37" s="53">
        <v>1366856.0727674812</v>
      </c>
      <c r="M37" s="53">
        <v>1089068.663147087</v>
      </c>
      <c r="N37" s="7">
        <f>SUM(B37:M37)</f>
        <v>16346436.735914567</v>
      </c>
      <c r="O37" s="53"/>
      <c r="P37" s="62"/>
    </row>
    <row r="38" spans="1:44" s="6" customFormat="1" hidden="1">
      <c r="A38" s="6" t="s">
        <v>46</v>
      </c>
      <c r="B38" s="7">
        <f>-B34</f>
        <v>-609067</v>
      </c>
      <c r="C38" s="7">
        <f t="shared" ref="C38:M38" si="8">-C34</f>
        <v>-749544</v>
      </c>
      <c r="D38" s="7">
        <f t="shared" si="8"/>
        <v>-896503</v>
      </c>
      <c r="E38" s="7">
        <f t="shared" si="8"/>
        <v>-1019240</v>
      </c>
      <c r="F38" s="7">
        <f t="shared" si="8"/>
        <v>-771321</v>
      </c>
      <c r="G38" s="7">
        <f t="shared" si="8"/>
        <v>-721476</v>
      </c>
      <c r="H38" s="7">
        <f t="shared" si="8"/>
        <v>-826752</v>
      </c>
      <c r="I38" s="7">
        <f t="shared" si="8"/>
        <v>-903964</v>
      </c>
      <c r="J38" s="7">
        <f t="shared" si="8"/>
        <v>-887386</v>
      </c>
      <c r="K38" s="7">
        <f t="shared" si="8"/>
        <v>-921858</v>
      </c>
      <c r="L38" s="7">
        <f t="shared" si="8"/>
        <v>-811770.33569646196</v>
      </c>
      <c r="M38" s="7">
        <f t="shared" si="8"/>
        <v>-647553.72145282303</v>
      </c>
      <c r="N38" s="7">
        <f>SUM(B38:M38)</f>
        <v>-9766435.0571492855</v>
      </c>
    </row>
    <row r="39" spans="1:44" s="6" customFormat="1" hidden="1">
      <c r="A39" s="6" t="s">
        <v>47</v>
      </c>
      <c r="B39" s="53">
        <v>-73369</v>
      </c>
      <c r="C39" s="53">
        <v>-72678</v>
      </c>
      <c r="D39" s="53">
        <v>-71948</v>
      </c>
      <c r="E39" s="53">
        <v>-72678</v>
      </c>
      <c r="F39" s="53">
        <v>-72867</v>
      </c>
      <c r="G39" s="53">
        <v>-72836</v>
      </c>
      <c r="H39" s="53">
        <v>-69729</v>
      </c>
      <c r="I39" s="53">
        <v>-69080</v>
      </c>
      <c r="J39" s="53">
        <v>-82065.061666666603</v>
      </c>
      <c r="K39" s="53">
        <v>-79458</v>
      </c>
      <c r="L39" s="53">
        <v>-81449.971666666606</v>
      </c>
      <c r="M39" s="53">
        <v>-80077.631666666595</v>
      </c>
      <c r="N39" s="7">
        <v>-971805.1199999993</v>
      </c>
    </row>
    <row r="40" spans="1:44" s="6" customFormat="1" hidden="1">
      <c r="A40" s="6" t="s">
        <v>78</v>
      </c>
      <c r="B40" s="53"/>
      <c r="C40" s="53"/>
      <c r="D40" s="53"/>
      <c r="E40" s="53"/>
      <c r="F40" s="53"/>
      <c r="G40" s="53"/>
      <c r="H40" s="53"/>
      <c r="I40" s="53"/>
      <c r="J40" s="53"/>
      <c r="K40" s="53"/>
      <c r="L40" s="53"/>
      <c r="M40" s="53"/>
      <c r="N40" s="7">
        <f>SUM(B40:M40)</f>
        <v>0</v>
      </c>
    </row>
    <row r="41" spans="1:44" s="6" customFormat="1" hidden="1">
      <c r="A41" s="6" t="s">
        <v>48</v>
      </c>
      <c r="B41" s="60">
        <v>-10663.666666666701</v>
      </c>
      <c r="C41" s="60">
        <v>-10663.666666666701</v>
      </c>
      <c r="D41" s="60">
        <v>-10663.666666666701</v>
      </c>
      <c r="E41" s="60">
        <v>-10663.666666666701</v>
      </c>
      <c r="F41" s="60">
        <v>-10663.666666666701</v>
      </c>
      <c r="G41" s="60">
        <v>-10663.666666666701</v>
      </c>
      <c r="H41" s="60">
        <v>-10663.666666666701</v>
      </c>
      <c r="I41" s="60">
        <v>-10663.666666666701</v>
      </c>
      <c r="J41" s="60">
        <v>-10964</v>
      </c>
      <c r="K41" s="60">
        <v>-10864</v>
      </c>
      <c r="L41" s="60">
        <v>-10964</v>
      </c>
      <c r="M41" s="60">
        <v>-10664</v>
      </c>
      <c r="N41" s="15">
        <f>SUM(B41:M41)</f>
        <v>-128765.3333333336</v>
      </c>
    </row>
    <row r="42" spans="1:44" s="6" customFormat="1">
      <c r="A42" s="13" t="s">
        <v>49</v>
      </c>
      <c r="B42" s="12">
        <f t="shared" ref="B42:N42" si="9">SUM(B37:B41)</f>
        <v>264234.33333333331</v>
      </c>
      <c r="C42" s="12">
        <f t="shared" si="9"/>
        <v>451545.33333333331</v>
      </c>
      <c r="D42" s="12">
        <f t="shared" si="9"/>
        <v>466025.33333333331</v>
      </c>
      <c r="E42" s="12">
        <f t="shared" si="9"/>
        <v>503092.33333333331</v>
      </c>
      <c r="F42" s="12">
        <f t="shared" si="9"/>
        <v>669565.33333333326</v>
      </c>
      <c r="G42" s="12">
        <f t="shared" si="9"/>
        <v>455120.33333333331</v>
      </c>
      <c r="H42" s="12">
        <f t="shared" si="9"/>
        <v>324276.33333333331</v>
      </c>
      <c r="I42" s="12">
        <f t="shared" si="9"/>
        <v>457382.33333333331</v>
      </c>
      <c r="J42" s="12">
        <f t="shared" si="9"/>
        <v>501580.93833333341</v>
      </c>
      <c r="K42" s="12">
        <f t="shared" si="9"/>
        <v>646733</v>
      </c>
      <c r="L42" s="12">
        <f t="shared" si="9"/>
        <v>462671.76540435263</v>
      </c>
      <c r="M42" s="12">
        <f t="shared" si="9"/>
        <v>350773.31002759736</v>
      </c>
      <c r="N42" s="12">
        <f t="shared" si="9"/>
        <v>5479431.2254319489</v>
      </c>
    </row>
    <row r="43" spans="1:44">
      <c r="A43" s="1"/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2"/>
      <c r="N43" s="12"/>
      <c r="O43" s="6"/>
    </row>
    <row r="44" spans="1:44">
      <c r="A44" s="13" t="s">
        <v>50</v>
      </c>
      <c r="B44" s="53">
        <v>275362</v>
      </c>
      <c r="C44" s="53">
        <v>282653</v>
      </c>
      <c r="D44" s="53">
        <v>316557</v>
      </c>
      <c r="E44" s="53">
        <v>459677</v>
      </c>
      <c r="F44" s="53">
        <v>293116</v>
      </c>
      <c r="G44" s="53">
        <v>257165</v>
      </c>
      <c r="H44" s="53">
        <v>315444</v>
      </c>
      <c r="I44" s="53">
        <v>284299</v>
      </c>
      <c r="J44" s="53">
        <v>316356</v>
      </c>
      <c r="K44" s="53">
        <v>355383</v>
      </c>
      <c r="L44" s="53">
        <v>295624.06633946812</v>
      </c>
      <c r="M44" s="53">
        <v>637691.65717914759</v>
      </c>
      <c r="N44" s="12">
        <f>SUM(B44:M44)</f>
        <v>4089327.7235186156</v>
      </c>
      <c r="O44" s="6"/>
    </row>
    <row r="45" spans="1:44">
      <c r="A45" s="6" t="s">
        <v>51</v>
      </c>
      <c r="B45" s="22">
        <v>0</v>
      </c>
      <c r="C45" s="22">
        <v>-10000</v>
      </c>
      <c r="D45" s="22">
        <v>-10000</v>
      </c>
      <c r="E45" s="22">
        <v>-10000</v>
      </c>
      <c r="F45" s="22">
        <v>-10000</v>
      </c>
      <c r="G45" s="22">
        <v>-10000</v>
      </c>
      <c r="H45" s="22">
        <v>-10000</v>
      </c>
      <c r="I45" s="22">
        <v>-10000</v>
      </c>
      <c r="J45" s="22">
        <v>-10000</v>
      </c>
      <c r="K45" s="22">
        <v>-10000</v>
      </c>
      <c r="L45" s="22">
        <v>-5000</v>
      </c>
      <c r="M45" s="22">
        <v>-5000</v>
      </c>
      <c r="N45" s="22">
        <f>SUM(B45:M45)</f>
        <v>-100000</v>
      </c>
      <c r="O45" s="6"/>
    </row>
    <row r="46" spans="1:44">
      <c r="A46" s="1" t="s">
        <v>50</v>
      </c>
      <c r="B46" s="12">
        <f>SUM(B44:B45)</f>
        <v>275362</v>
      </c>
      <c r="C46" s="12">
        <f>SUM(C44:C45)</f>
        <v>272653</v>
      </c>
      <c r="D46" s="12">
        <f t="shared" ref="D46:N46" si="10">SUM(D44:D45)</f>
        <v>306557</v>
      </c>
      <c r="E46" s="12">
        <f t="shared" si="10"/>
        <v>449677</v>
      </c>
      <c r="F46" s="12">
        <f t="shared" si="10"/>
        <v>283116</v>
      </c>
      <c r="G46" s="12">
        <f t="shared" si="10"/>
        <v>247165</v>
      </c>
      <c r="H46" s="12">
        <f t="shared" si="10"/>
        <v>305444</v>
      </c>
      <c r="I46" s="12">
        <f t="shared" si="10"/>
        <v>274299</v>
      </c>
      <c r="J46" s="12">
        <f t="shared" si="10"/>
        <v>306356</v>
      </c>
      <c r="K46" s="12">
        <f t="shared" si="10"/>
        <v>345383</v>
      </c>
      <c r="L46" s="12">
        <f t="shared" si="10"/>
        <v>290624.06633946812</v>
      </c>
      <c r="M46" s="12">
        <f t="shared" si="10"/>
        <v>632691.65717914759</v>
      </c>
      <c r="N46" s="12">
        <f t="shared" si="10"/>
        <v>3989327.7235186156</v>
      </c>
      <c r="O46" s="6"/>
    </row>
    <row r="47" spans="1:44">
      <c r="B47" s="7"/>
      <c r="C47" s="7"/>
      <c r="D47" s="7"/>
      <c r="E47" s="7"/>
      <c r="F47" s="7"/>
      <c r="G47" s="7"/>
      <c r="H47" s="7"/>
      <c r="I47" s="7"/>
      <c r="J47" s="7"/>
      <c r="K47" s="6"/>
      <c r="L47" s="6"/>
      <c r="M47" s="6"/>
      <c r="N47" s="6"/>
      <c r="O47" s="6"/>
    </row>
    <row r="48" spans="1:44">
      <c r="A48" s="13" t="s">
        <v>52</v>
      </c>
      <c r="B48" s="19">
        <f t="shared" ref="B48:N48" si="11">+B20+B34+B42+B46</f>
        <v>1768948.3333333333</v>
      </c>
      <c r="C48" s="19">
        <f t="shared" si="11"/>
        <v>4442285.333333334</v>
      </c>
      <c r="D48" s="19">
        <f t="shared" si="11"/>
        <v>3296170.3333333335</v>
      </c>
      <c r="E48" s="19">
        <f t="shared" si="11"/>
        <v>3311258.3333333335</v>
      </c>
      <c r="F48" s="19">
        <f t="shared" si="11"/>
        <v>2590634.333333333</v>
      </c>
      <c r="G48" s="19">
        <f t="shared" si="11"/>
        <v>2341586.333333333</v>
      </c>
      <c r="H48" s="19">
        <f t="shared" si="11"/>
        <v>3563191.3333333335</v>
      </c>
      <c r="I48" s="19">
        <f t="shared" si="11"/>
        <v>3067621.3333333335</v>
      </c>
      <c r="J48" s="19">
        <f t="shared" si="11"/>
        <v>2863688.9383333335</v>
      </c>
      <c r="K48" s="19">
        <f t="shared" si="11"/>
        <v>3258714</v>
      </c>
      <c r="L48" s="19">
        <f t="shared" si="11"/>
        <v>2767912.4922030023</v>
      </c>
      <c r="M48" s="19">
        <f t="shared" si="11"/>
        <v>2439604.0126127731</v>
      </c>
      <c r="N48" s="19">
        <f t="shared" si="11"/>
        <v>35638045.654815778</v>
      </c>
      <c r="O48" s="6"/>
    </row>
    <row r="49" spans="1:17">
      <c r="B49" s="7"/>
      <c r="C49" s="7"/>
      <c r="D49" s="7"/>
      <c r="E49" s="7"/>
      <c r="F49" s="7"/>
      <c r="G49" s="7"/>
      <c r="H49" s="7"/>
      <c r="I49" s="7"/>
      <c r="J49" s="7"/>
      <c r="K49" s="6"/>
      <c r="L49" s="6"/>
      <c r="M49" s="6"/>
      <c r="N49" s="6"/>
      <c r="O49" s="6"/>
    </row>
    <row r="50" spans="1:17">
      <c r="A50" s="1" t="s">
        <v>53</v>
      </c>
      <c r="B50" s="12">
        <f t="shared" ref="B50:M50" si="12">+B13-B48</f>
        <v>-507699.33333333326</v>
      </c>
      <c r="C50" s="12">
        <f t="shared" si="12"/>
        <v>439569.66666666605</v>
      </c>
      <c r="D50" s="12">
        <f t="shared" si="12"/>
        <v>507414.66666666651</v>
      </c>
      <c r="E50" s="12">
        <f t="shared" si="12"/>
        <v>235158.66666666651</v>
      </c>
      <c r="F50" s="12">
        <f t="shared" si="12"/>
        <v>44751.666666666977</v>
      </c>
      <c r="G50" s="12">
        <f t="shared" si="12"/>
        <v>205590.66666666698</v>
      </c>
      <c r="H50" s="12">
        <f t="shared" si="12"/>
        <v>-74608.333333333489</v>
      </c>
      <c r="I50" s="12">
        <f t="shared" si="12"/>
        <v>500311.66666666651</v>
      </c>
      <c r="J50" s="12">
        <f t="shared" si="12"/>
        <v>421595.06166666653</v>
      </c>
      <c r="K50" s="12">
        <f t="shared" si="12"/>
        <v>583557</v>
      </c>
      <c r="L50" s="12">
        <f t="shared" si="12"/>
        <v>420347.78970141569</v>
      </c>
      <c r="M50" s="12">
        <f t="shared" si="12"/>
        <v>-856664.33360203309</v>
      </c>
      <c r="N50" s="12">
        <f>SUM(B50:M50)</f>
        <v>1919324.8510993822</v>
      </c>
      <c r="O50" s="6"/>
      <c r="P50" s="25"/>
    </row>
    <row r="51" spans="1:17" ht="7.5" customHeight="1">
      <c r="B51" s="7"/>
      <c r="C51" s="7"/>
      <c r="D51" s="7"/>
      <c r="E51" s="7"/>
      <c r="F51" s="7"/>
      <c r="G51" s="7"/>
      <c r="H51" s="7"/>
      <c r="I51" s="7"/>
      <c r="J51" s="7"/>
      <c r="K51" s="6"/>
      <c r="L51" s="6"/>
      <c r="M51" s="6"/>
      <c r="N51" s="6"/>
      <c r="O51" s="6"/>
    </row>
    <row r="52" spans="1:17">
      <c r="A52" s="1" t="s">
        <v>54</v>
      </c>
      <c r="B52" s="7"/>
      <c r="C52" s="7"/>
      <c r="D52" s="7"/>
      <c r="E52" s="7"/>
      <c r="F52" s="7"/>
      <c r="G52" s="7"/>
      <c r="H52" s="7"/>
      <c r="I52" s="7"/>
      <c r="J52" s="7"/>
      <c r="K52" s="6"/>
      <c r="L52" s="6"/>
      <c r="M52" s="6"/>
      <c r="N52" s="6"/>
      <c r="O52" s="6"/>
    </row>
    <row r="53" spans="1:17" s="6" customFormat="1">
      <c r="A53" s="6" t="s">
        <v>55</v>
      </c>
      <c r="B53" s="10">
        <v>24982</v>
      </c>
      <c r="C53" s="10">
        <v>358462</v>
      </c>
      <c r="D53" s="10">
        <v>50664</v>
      </c>
      <c r="E53" s="10">
        <v>150552</v>
      </c>
      <c r="F53" s="10">
        <v>810</v>
      </c>
      <c r="G53" s="10">
        <v>66952</v>
      </c>
      <c r="H53" s="23">
        <v>23487</v>
      </c>
      <c r="I53" s="10"/>
      <c r="J53" s="10">
        <v>28864</v>
      </c>
      <c r="K53" s="10">
        <v>41254.46</v>
      </c>
      <c r="L53" s="10">
        <v>0</v>
      </c>
      <c r="M53" s="10">
        <v>455000</v>
      </c>
      <c r="N53" s="10">
        <f>SUM(B53:M53)</f>
        <v>1201027.46</v>
      </c>
      <c r="P53" s="40"/>
    </row>
    <row r="54" spans="1:17" s="6" customFormat="1">
      <c r="A54" s="6" t="s">
        <v>56</v>
      </c>
      <c r="B54" s="10"/>
      <c r="C54" s="10"/>
      <c r="D54" s="47">
        <v>-520000</v>
      </c>
      <c r="E54" s="10"/>
      <c r="F54" s="10">
        <v>85000</v>
      </c>
      <c r="G54" s="10"/>
      <c r="H54" s="10"/>
      <c r="I54" s="10"/>
      <c r="J54" s="10"/>
      <c r="K54" s="10"/>
      <c r="L54" s="10"/>
      <c r="M54" s="10"/>
      <c r="N54" s="10">
        <f>SUM(B54:M54)</f>
        <v>-435000</v>
      </c>
      <c r="P54" s="7"/>
      <c r="Q54" s="6">
        <v>0</v>
      </c>
    </row>
    <row r="55" spans="1:17" s="6" customFormat="1">
      <c r="A55" s="6" t="s">
        <v>57</v>
      </c>
      <c r="B55" s="10">
        <f>50000+228312</f>
        <v>278312</v>
      </c>
      <c r="C55" s="10">
        <v>50000</v>
      </c>
      <c r="D55" s="10">
        <v>50000</v>
      </c>
      <c r="E55" s="10">
        <v>50000</v>
      </c>
      <c r="F55" s="10">
        <v>50000</v>
      </c>
      <c r="G55" s="10">
        <v>50000</v>
      </c>
      <c r="H55" s="10">
        <v>50000</v>
      </c>
      <c r="I55" s="10">
        <v>50000</v>
      </c>
      <c r="J55" s="10">
        <v>50000</v>
      </c>
      <c r="K55" s="10">
        <v>50000</v>
      </c>
      <c r="L55" s="10"/>
      <c r="M55" s="10"/>
      <c r="N55" s="10">
        <f>SUM(B55:M55)</f>
        <v>728312</v>
      </c>
      <c r="P55" s="7"/>
    </row>
    <row r="56" spans="1:17" s="6" customFormat="1">
      <c r="A56" s="37" t="s">
        <v>58</v>
      </c>
      <c r="B56" s="7">
        <v>-26129</v>
      </c>
      <c r="C56" s="7">
        <f>-44-9248</f>
        <v>-9292</v>
      </c>
      <c r="D56" s="7">
        <f>-15614+D11</f>
        <v>-9032</v>
      </c>
      <c r="E56" s="7">
        <f>-5908-140</f>
        <v>-6048</v>
      </c>
      <c r="F56" s="7">
        <f>-5524.48-161.91</f>
        <v>-5686.3899999999994</v>
      </c>
      <c r="G56" s="7">
        <v>-82140</v>
      </c>
      <c r="H56" s="10">
        <v>-6989.05</v>
      </c>
      <c r="I56" s="7">
        <v>-9542</v>
      </c>
      <c r="J56" s="7">
        <v>-10718</v>
      </c>
      <c r="K56" s="7">
        <v>-8839.67</v>
      </c>
      <c r="L56" s="7">
        <v>-9000</v>
      </c>
      <c r="M56" s="7">
        <v>-9000</v>
      </c>
      <c r="N56" s="7">
        <f>SUM(B56:M56)</f>
        <v>-192416.11000000002</v>
      </c>
      <c r="P56" s="56"/>
    </row>
    <row r="57" spans="1:17" s="6" customFormat="1">
      <c r="A57" s="6" t="s">
        <v>59</v>
      </c>
      <c r="B57" s="22">
        <v>-262370</v>
      </c>
      <c r="C57" s="22">
        <v>-26645</v>
      </c>
      <c r="D57" s="22">
        <v>-47784</v>
      </c>
      <c r="E57" s="22">
        <v>155784</v>
      </c>
      <c r="F57" s="22">
        <f>4377.86-5778.42</f>
        <v>-1400.5600000000004</v>
      </c>
      <c r="G57" s="22">
        <v>11216</v>
      </c>
      <c r="H57" s="10">
        <v>-179840.6</v>
      </c>
      <c r="I57" s="22">
        <v>-155270</v>
      </c>
      <c r="J57" s="22">
        <v>-114783</v>
      </c>
      <c r="K57" s="22">
        <v>-108759.15</v>
      </c>
      <c r="L57" s="22">
        <v>-25000</v>
      </c>
      <c r="M57" s="22">
        <v>-25000</v>
      </c>
      <c r="N57" s="22">
        <f>SUM(B57:M57)</f>
        <v>-779852.31</v>
      </c>
      <c r="P57" s="7"/>
    </row>
    <row r="58" spans="1:17" s="6" customFormat="1">
      <c r="A58" s="13" t="s">
        <v>60</v>
      </c>
      <c r="B58" s="19">
        <f t="shared" ref="B58:N58" si="13">SUM(B53:B57)</f>
        <v>14795</v>
      </c>
      <c r="C58" s="19">
        <f t="shared" si="13"/>
        <v>372525</v>
      </c>
      <c r="D58" s="19">
        <f t="shared" si="13"/>
        <v>-476152</v>
      </c>
      <c r="E58" s="19">
        <f t="shared" si="13"/>
        <v>350288</v>
      </c>
      <c r="F58" s="19">
        <f t="shared" si="13"/>
        <v>128723.05</v>
      </c>
      <c r="G58" s="19">
        <f t="shared" si="13"/>
        <v>46028</v>
      </c>
      <c r="H58" s="19">
        <f>SUM(H53:H57)</f>
        <v>-113342.65000000001</v>
      </c>
      <c r="I58" s="19">
        <f t="shared" si="13"/>
        <v>-114812</v>
      </c>
      <c r="J58" s="19">
        <f t="shared" si="13"/>
        <v>-46637</v>
      </c>
      <c r="K58" s="19">
        <f t="shared" si="13"/>
        <v>-26344.36</v>
      </c>
      <c r="L58" s="19">
        <f t="shared" si="13"/>
        <v>-34000</v>
      </c>
      <c r="M58" s="19">
        <f t="shared" si="13"/>
        <v>421000</v>
      </c>
      <c r="N58" s="19">
        <f t="shared" si="13"/>
        <v>522071.0399999998</v>
      </c>
    </row>
    <row r="59" spans="1:17">
      <c r="B59" s="7"/>
      <c r="C59" s="7"/>
      <c r="D59" s="7"/>
      <c r="E59" s="7"/>
      <c r="F59" s="7"/>
      <c r="G59" s="7"/>
      <c r="H59" s="7"/>
      <c r="I59" s="7"/>
      <c r="J59" s="7"/>
      <c r="K59" s="7"/>
      <c r="L59" s="7"/>
      <c r="M59" s="7"/>
      <c r="N59" s="7"/>
      <c r="O59" s="6"/>
    </row>
    <row r="60" spans="1:17">
      <c r="A60" s="1" t="s">
        <v>61</v>
      </c>
      <c r="B60" s="12">
        <v>10990495</v>
      </c>
      <c r="C60" s="7"/>
      <c r="D60" s="7"/>
      <c r="E60" s="7"/>
      <c r="F60" s="7"/>
      <c r="G60" s="7"/>
      <c r="H60" s="7" t="s">
        <v>38</v>
      </c>
      <c r="I60" s="7"/>
      <c r="J60" s="7"/>
      <c r="K60" s="6"/>
      <c r="L60" s="6"/>
      <c r="M60" s="6"/>
      <c r="N60" s="6"/>
      <c r="O60" s="6"/>
    </row>
    <row r="61" spans="1:17">
      <c r="A61" s="13" t="s">
        <v>62</v>
      </c>
      <c r="B61" s="19">
        <f t="shared" ref="B61:N61" si="14">+B58+B48</f>
        <v>1783743.3333333333</v>
      </c>
      <c r="C61" s="19">
        <f t="shared" si="14"/>
        <v>4814810.333333334</v>
      </c>
      <c r="D61" s="19">
        <f t="shared" si="14"/>
        <v>2820018.3333333335</v>
      </c>
      <c r="E61" s="19">
        <f t="shared" si="14"/>
        <v>3661546.3333333335</v>
      </c>
      <c r="F61" s="19">
        <f t="shared" si="14"/>
        <v>2719357.3833333328</v>
      </c>
      <c r="G61" s="19">
        <f t="shared" si="14"/>
        <v>2387614.333333333</v>
      </c>
      <c r="H61" s="19">
        <f t="shared" si="14"/>
        <v>3449848.6833333336</v>
      </c>
      <c r="I61" s="19">
        <f t="shared" si="14"/>
        <v>2952809.3333333335</v>
      </c>
      <c r="J61" s="19">
        <f t="shared" si="14"/>
        <v>2817051.9383333335</v>
      </c>
      <c r="K61" s="19">
        <f t="shared" si="14"/>
        <v>3232369.64</v>
      </c>
      <c r="L61" s="19">
        <f t="shared" si="14"/>
        <v>2733912.4922030023</v>
      </c>
      <c r="M61" s="19">
        <f t="shared" si="14"/>
        <v>2860604.0126127731</v>
      </c>
      <c r="N61" s="19">
        <f t="shared" si="14"/>
        <v>36160116.694815777</v>
      </c>
      <c r="O61" s="6"/>
    </row>
    <row r="62" spans="1:17" ht="13.5" thickBot="1">
      <c r="A62" s="13" t="s">
        <v>63</v>
      </c>
      <c r="B62" s="30">
        <f t="shared" ref="B62:N62" si="15">+B13-B61</f>
        <v>-522494.33333333326</v>
      </c>
      <c r="C62" s="30">
        <f t="shared" si="15"/>
        <v>67044.666666666046</v>
      </c>
      <c r="D62" s="30">
        <f t="shared" si="15"/>
        <v>983566.66666666651</v>
      </c>
      <c r="E62" s="30">
        <f t="shared" si="15"/>
        <v>-115129.33333333349</v>
      </c>
      <c r="F62" s="30">
        <f t="shared" si="15"/>
        <v>-83971.383333332837</v>
      </c>
      <c r="G62" s="30">
        <f t="shared" si="15"/>
        <v>159562.66666666698</v>
      </c>
      <c r="H62" s="30">
        <f t="shared" si="15"/>
        <v>38734.316666666418</v>
      </c>
      <c r="I62" s="30">
        <f t="shared" si="15"/>
        <v>615123.66666666651</v>
      </c>
      <c r="J62" s="30">
        <f t="shared" si="15"/>
        <v>468232.06166666653</v>
      </c>
      <c r="K62" s="30">
        <f t="shared" si="15"/>
        <v>609901.35999999987</v>
      </c>
      <c r="L62" s="14">
        <f t="shared" si="15"/>
        <v>454347.78970141569</v>
      </c>
      <c r="M62" s="14">
        <f t="shared" si="15"/>
        <v>-1277664.3336020331</v>
      </c>
      <c r="N62" s="14">
        <f t="shared" si="15"/>
        <v>1809876.2660993859</v>
      </c>
      <c r="O62" s="6"/>
      <c r="P62" s="25"/>
    </row>
    <row r="63" spans="1:17" s="6" customFormat="1" ht="13.5" thickTop="1">
      <c r="A63" s="13" t="s">
        <v>64</v>
      </c>
      <c r="B63" s="32">
        <f>+B62</f>
        <v>-522494.33333333326</v>
      </c>
      <c r="C63" s="32">
        <f t="shared" ref="C63:M63" si="16">B63+C62</f>
        <v>-455449.66666666721</v>
      </c>
      <c r="D63" s="32">
        <f t="shared" si="16"/>
        <v>528116.9999999993</v>
      </c>
      <c r="E63" s="32">
        <f t="shared" si="16"/>
        <v>412987.66666666581</v>
      </c>
      <c r="F63" s="32">
        <f t="shared" si="16"/>
        <v>329016.28333333298</v>
      </c>
      <c r="G63" s="32">
        <f t="shared" si="16"/>
        <v>488578.94999999995</v>
      </c>
      <c r="H63" s="32">
        <f t="shared" si="16"/>
        <v>527313.26666666637</v>
      </c>
      <c r="I63" s="32">
        <f t="shared" si="16"/>
        <v>1142436.9333333329</v>
      </c>
      <c r="J63" s="32">
        <f t="shared" si="16"/>
        <v>1610668.9949999994</v>
      </c>
      <c r="K63" s="32">
        <f t="shared" si="16"/>
        <v>2220570.3549999995</v>
      </c>
      <c r="L63" s="12">
        <f t="shared" si="16"/>
        <v>2674918.1447014152</v>
      </c>
      <c r="M63" s="12">
        <f t="shared" si="16"/>
        <v>1397253.8110993821</v>
      </c>
      <c r="N63" s="12"/>
    </row>
    <row r="64" spans="1:17">
      <c r="A64" s="13" t="s">
        <v>65</v>
      </c>
      <c r="B64" s="12">
        <f t="shared" ref="B64:M64" si="17">+$B$60+B63</f>
        <v>10468000.666666666</v>
      </c>
      <c r="C64" s="12">
        <f t="shared" si="17"/>
        <v>10535045.333333332</v>
      </c>
      <c r="D64" s="12">
        <f t="shared" si="17"/>
        <v>11518612</v>
      </c>
      <c r="E64" s="12">
        <f t="shared" si="17"/>
        <v>11403482.666666666</v>
      </c>
      <c r="F64" s="12">
        <f t="shared" si="17"/>
        <v>11319511.283333333</v>
      </c>
      <c r="G64" s="12">
        <f t="shared" si="17"/>
        <v>11479073.949999999</v>
      </c>
      <c r="H64" s="12">
        <f t="shared" si="17"/>
        <v>11517808.266666666</v>
      </c>
      <c r="I64" s="12">
        <f t="shared" si="17"/>
        <v>12132931.933333334</v>
      </c>
      <c r="J64" s="12">
        <f t="shared" si="17"/>
        <v>12601163.994999999</v>
      </c>
      <c r="K64" s="12">
        <f t="shared" si="17"/>
        <v>13211065.355</v>
      </c>
      <c r="L64" s="12">
        <f t="shared" si="17"/>
        <v>13665413.144701416</v>
      </c>
      <c r="M64" s="12">
        <f t="shared" si="17"/>
        <v>12387748.811099382</v>
      </c>
      <c r="N64" s="12"/>
      <c r="O64" s="6"/>
      <c r="P64" s="29"/>
    </row>
    <row r="65" spans="1:16">
      <c r="A65" s="6"/>
      <c r="B65" s="7"/>
      <c r="C65" s="7"/>
      <c r="D65" s="7"/>
      <c r="E65" s="7"/>
      <c r="F65" s="7"/>
      <c r="G65" s="7"/>
      <c r="H65" s="7"/>
      <c r="I65" s="7"/>
      <c r="J65" s="7"/>
      <c r="K65" s="6"/>
      <c r="L65" s="6"/>
      <c r="M65" s="6"/>
      <c r="N65" s="6"/>
      <c r="O65" s="6"/>
    </row>
    <row r="66" spans="1:16" s="6" customFormat="1">
      <c r="A66" s="17" t="s">
        <v>79</v>
      </c>
      <c r="B66" s="18"/>
      <c r="C66" s="18"/>
      <c r="D66" s="18"/>
      <c r="E66" s="18"/>
      <c r="F66" s="18"/>
      <c r="G66" s="18"/>
      <c r="H66" s="18"/>
      <c r="I66" s="18"/>
      <c r="J66" s="18"/>
      <c r="K66" s="18"/>
      <c r="L66" s="18"/>
      <c r="M66" s="18"/>
      <c r="N66" s="18"/>
    </row>
    <row r="67" spans="1:16" ht="13.5" thickBot="1">
      <c r="A67" s="13" t="s">
        <v>67</v>
      </c>
      <c r="B67" s="30">
        <v>-923707.19930042047</v>
      </c>
      <c r="C67" s="30">
        <v>408098.02642089035</v>
      </c>
      <c r="D67" s="30">
        <v>1071842.6402638261</v>
      </c>
      <c r="E67" s="30">
        <v>445993.46125483606</v>
      </c>
      <c r="F67" s="30">
        <v>-265749.60705118906</v>
      </c>
      <c r="G67" s="30">
        <v>-389702.61557580205</v>
      </c>
      <c r="H67" s="30">
        <v>-14360.90837025363</v>
      </c>
      <c r="I67" s="30">
        <v>203880.59546278836</v>
      </c>
      <c r="J67" s="30">
        <v>310916.27537100855</v>
      </c>
      <c r="K67" s="30">
        <v>183559.11018969351</v>
      </c>
      <c r="L67" s="30">
        <v>454347.78970141569</v>
      </c>
      <c r="M67" s="30">
        <v>-1277664.3336020331</v>
      </c>
      <c r="N67" s="16"/>
      <c r="O67" s="6"/>
    </row>
    <row r="68" spans="1:16" ht="13.5" thickTop="1">
      <c r="A68" s="13" t="s">
        <v>64</v>
      </c>
      <c r="B68" s="32">
        <v>-923707.19930042047</v>
      </c>
      <c r="C68" s="32">
        <v>-515609.17287953012</v>
      </c>
      <c r="D68" s="32">
        <v>556233.467384296</v>
      </c>
      <c r="E68" s="32">
        <v>1002226.9286391321</v>
      </c>
      <c r="F68" s="32">
        <v>736477.32158794301</v>
      </c>
      <c r="G68" s="32">
        <v>346774.70601214096</v>
      </c>
      <c r="H68" s="32">
        <v>332413.79764188733</v>
      </c>
      <c r="I68" s="32">
        <v>536294.39310467569</v>
      </c>
      <c r="J68" s="32">
        <v>847210.66847568424</v>
      </c>
      <c r="K68" s="32">
        <v>1030769.7786653778</v>
      </c>
      <c r="L68" s="32">
        <v>1485117.5683667934</v>
      </c>
      <c r="M68" s="32">
        <v>207453.23476476036</v>
      </c>
      <c r="N68" s="16"/>
      <c r="O68" s="6"/>
    </row>
    <row r="69" spans="1:16">
      <c r="A69" s="13" t="s">
        <v>65</v>
      </c>
      <c r="B69" s="12">
        <v>10066787.80069958</v>
      </c>
      <c r="C69" s="12">
        <v>10474885.82712047</v>
      </c>
      <c r="D69" s="12">
        <v>11546728.467384296</v>
      </c>
      <c r="E69" s="12">
        <v>11992721.928639133</v>
      </c>
      <c r="F69" s="12">
        <v>11726972.321587943</v>
      </c>
      <c r="G69" s="12">
        <v>11337269.706012141</v>
      </c>
      <c r="H69" s="12">
        <v>11322908.797641888</v>
      </c>
      <c r="I69" s="12">
        <v>11526789.393104676</v>
      </c>
      <c r="J69" s="12">
        <v>11837705.668475684</v>
      </c>
      <c r="K69" s="12">
        <v>12021264.778665379</v>
      </c>
      <c r="L69" s="12">
        <v>12475612.568366794</v>
      </c>
      <c r="M69" s="12">
        <v>11197948.23476476</v>
      </c>
      <c r="N69" s="12"/>
      <c r="O69" s="6"/>
    </row>
    <row r="70" spans="1:16">
      <c r="A70" s="6"/>
      <c r="B70" s="6"/>
      <c r="C70" s="6"/>
      <c r="D70" s="6"/>
      <c r="E70" s="6"/>
      <c r="F70" s="6"/>
      <c r="H70" s="6"/>
      <c r="I70" s="6"/>
      <c r="J70" s="6"/>
      <c r="K70" s="6"/>
      <c r="L70" s="6"/>
      <c r="M70" s="6"/>
      <c r="N70" s="6"/>
      <c r="O70" s="6"/>
    </row>
    <row r="71" spans="1:16">
      <c r="A71" s="24" t="s">
        <v>68</v>
      </c>
      <c r="B71" s="18"/>
      <c r="C71" s="18"/>
      <c r="D71" s="18"/>
      <c r="E71" s="18"/>
      <c r="F71" s="18"/>
      <c r="G71" s="18"/>
      <c r="H71" s="18"/>
      <c r="I71" s="18"/>
      <c r="J71" s="18"/>
      <c r="K71" s="18"/>
      <c r="L71" s="18"/>
      <c r="M71" s="18"/>
      <c r="N71" s="18"/>
      <c r="O71" s="6"/>
    </row>
    <row r="72" spans="1:16">
      <c r="A72" s="13" t="s">
        <v>63</v>
      </c>
      <c r="B72" s="16">
        <f t="shared" ref="B72:N74" si="18">+B62-B67</f>
        <v>401212.86596708721</v>
      </c>
      <c r="C72" s="16">
        <f t="shared" si="18"/>
        <v>-341053.35975422431</v>
      </c>
      <c r="D72" s="16">
        <f t="shared" si="18"/>
        <v>-88275.973597159609</v>
      </c>
      <c r="E72" s="16">
        <f t="shared" si="18"/>
        <v>-561122.79458816955</v>
      </c>
      <c r="F72" s="16">
        <f t="shared" si="18"/>
        <v>181778.22371785622</v>
      </c>
      <c r="G72" s="16">
        <f t="shared" si="18"/>
        <v>549265.28224246902</v>
      </c>
      <c r="H72" s="16">
        <f t="shared" si="18"/>
        <v>53095.225036920048</v>
      </c>
      <c r="I72" s="16">
        <f t="shared" si="18"/>
        <v>411243.07120387815</v>
      </c>
      <c r="J72" s="16">
        <f t="shared" si="18"/>
        <v>157315.78629565798</v>
      </c>
      <c r="K72" s="16">
        <f t="shared" si="18"/>
        <v>426342.24981030636</v>
      </c>
      <c r="L72" s="16">
        <f t="shared" si="18"/>
        <v>0</v>
      </c>
      <c r="M72" s="16">
        <f t="shared" si="18"/>
        <v>0</v>
      </c>
      <c r="N72" s="6"/>
      <c r="O72" s="6"/>
      <c r="P72" s="16">
        <f>+N62-N67</f>
        <v>1809876.2660993859</v>
      </c>
    </row>
    <row r="73" spans="1:16" s="6" customFormat="1">
      <c r="A73" s="13" t="s">
        <v>64</v>
      </c>
      <c r="B73" s="16">
        <f t="shared" si="18"/>
        <v>401212.86596708721</v>
      </c>
      <c r="C73" s="16">
        <f t="shared" si="18"/>
        <v>60159.506212862907</v>
      </c>
      <c r="D73" s="16">
        <f t="shared" si="18"/>
        <v>-28116.467384296702</v>
      </c>
      <c r="E73" s="16">
        <f t="shared" si="18"/>
        <v>-589239.26197246625</v>
      </c>
      <c r="F73" s="16">
        <f t="shared" si="18"/>
        <v>-407461.03825461003</v>
      </c>
      <c r="G73" s="16">
        <f t="shared" si="18"/>
        <v>141804.24398785899</v>
      </c>
      <c r="H73" s="16">
        <f t="shared" si="18"/>
        <v>194899.46902477904</v>
      </c>
      <c r="I73" s="16">
        <f t="shared" si="18"/>
        <v>606142.54022865719</v>
      </c>
      <c r="J73" s="16">
        <f t="shared" si="18"/>
        <v>763458.32652431517</v>
      </c>
      <c r="K73" s="16">
        <f t="shared" si="18"/>
        <v>1189800.5763346218</v>
      </c>
      <c r="L73" s="16">
        <f t="shared" si="18"/>
        <v>1189800.5763346218</v>
      </c>
      <c r="M73" s="16">
        <f t="shared" si="18"/>
        <v>1189800.5763346218</v>
      </c>
      <c r="N73" s="16">
        <f t="shared" si="18"/>
        <v>0</v>
      </c>
    </row>
    <row r="74" spans="1:16">
      <c r="A74" s="1" t="s">
        <v>65</v>
      </c>
      <c r="B74" s="16">
        <f t="shared" si="18"/>
        <v>401212.86596708558</v>
      </c>
      <c r="C74" s="16">
        <f t="shared" si="18"/>
        <v>60159.506212862208</v>
      </c>
      <c r="D74" s="16">
        <f t="shared" si="18"/>
        <v>-28116.467384295538</v>
      </c>
      <c r="E74" s="16">
        <f t="shared" si="18"/>
        <v>-589239.26197246648</v>
      </c>
      <c r="F74" s="16">
        <f t="shared" si="18"/>
        <v>-407461.03825460933</v>
      </c>
      <c r="G74" s="16">
        <f t="shared" si="18"/>
        <v>141804.2439878583</v>
      </c>
      <c r="H74" s="16">
        <f t="shared" si="18"/>
        <v>194899.46902477741</v>
      </c>
      <c r="I74" s="16">
        <f t="shared" si="18"/>
        <v>606142.54022865742</v>
      </c>
      <c r="J74" s="16">
        <f t="shared" si="18"/>
        <v>763458.3265243154</v>
      </c>
      <c r="K74" s="16">
        <f t="shared" si="18"/>
        <v>1189800.5763346218</v>
      </c>
      <c r="L74" s="16">
        <f t="shared" si="18"/>
        <v>1189800.5763346218</v>
      </c>
      <c r="M74" s="16">
        <f t="shared" si="18"/>
        <v>1189800.5763346218</v>
      </c>
      <c r="N74" s="16"/>
      <c r="O74" s="6"/>
    </row>
    <row r="75" spans="1:16">
      <c r="B75" s="6"/>
      <c r="C75" s="6"/>
      <c r="D75" s="6"/>
      <c r="E75" s="6"/>
      <c r="F75" s="6"/>
      <c r="H75" s="6"/>
      <c r="I75" s="6"/>
      <c r="J75" s="6"/>
      <c r="K75" s="6"/>
      <c r="L75" s="6"/>
      <c r="M75" s="6"/>
      <c r="N75" s="6"/>
    </row>
    <row r="76" spans="1:16">
      <c r="A76" s="1"/>
      <c r="B76" s="4"/>
      <c r="C76" s="8"/>
      <c r="D76" s="8"/>
      <c r="E76" s="8"/>
      <c r="F76" s="8"/>
      <c r="H76" s="20"/>
      <c r="J76" s="6"/>
      <c r="K76" s="6"/>
    </row>
    <row r="77" spans="1:16">
      <c r="A77" s="1"/>
      <c r="B77" s="4"/>
      <c r="C77" s="8"/>
      <c r="D77" s="8"/>
      <c r="E77" s="8"/>
      <c r="F77" s="8"/>
      <c r="H77" s="20"/>
      <c r="J77" s="6"/>
    </row>
    <row r="78" spans="1:16">
      <c r="A78" s="1"/>
      <c r="B78" s="4"/>
      <c r="D78" s="8"/>
      <c r="E78" s="8"/>
      <c r="F78" s="8"/>
      <c r="H78" s="61"/>
      <c r="J78" s="6"/>
    </row>
    <row r="79" spans="1:16">
      <c r="E79" s="6"/>
      <c r="H79" s="20"/>
      <c r="J79" s="6"/>
      <c r="N79" s="25"/>
    </row>
    <row r="80" spans="1:16">
      <c r="A80" t="s">
        <v>69</v>
      </c>
      <c r="B80" t="s">
        <v>69</v>
      </c>
      <c r="C80" t="s">
        <v>69</v>
      </c>
      <c r="D80" t="s">
        <v>69</v>
      </c>
      <c r="E80" s="6" t="s">
        <v>69</v>
      </c>
      <c r="F80" t="s">
        <v>69</v>
      </c>
      <c r="G80" s="6" t="s">
        <v>69</v>
      </c>
      <c r="H80" t="s">
        <v>69</v>
      </c>
      <c r="I80" t="s">
        <v>69</v>
      </c>
      <c r="J80" s="6" t="s">
        <v>69</v>
      </c>
      <c r="K80" t="s">
        <v>69</v>
      </c>
      <c r="L80" t="s">
        <v>69</v>
      </c>
      <c r="M80" t="s">
        <v>69</v>
      </c>
      <c r="N80" t="s">
        <v>69</v>
      </c>
    </row>
    <row r="81" spans="1:14">
      <c r="E81" s="6"/>
      <c r="J81" s="6"/>
    </row>
    <row r="82" spans="1:14">
      <c r="A82" s="33" t="s">
        <v>70</v>
      </c>
      <c r="B82" s="47">
        <v>52000</v>
      </c>
      <c r="C82" s="47">
        <v>20000</v>
      </c>
      <c r="D82" s="47">
        <v>10000</v>
      </c>
      <c r="E82" s="47">
        <v>44355</v>
      </c>
      <c r="F82" s="47">
        <v>186840</v>
      </c>
      <c r="G82" s="10">
        <v>202000</v>
      </c>
      <c r="H82" s="54">
        <v>197000</v>
      </c>
      <c r="I82" s="47">
        <v>142000</v>
      </c>
      <c r="J82" s="47">
        <v>119000</v>
      </c>
      <c r="K82" s="47">
        <v>0</v>
      </c>
      <c r="L82" s="47">
        <v>0</v>
      </c>
      <c r="M82" s="47">
        <v>455000</v>
      </c>
      <c r="N82" s="7">
        <v>1428195</v>
      </c>
    </row>
    <row r="83" spans="1:14">
      <c r="A83" s="33" t="s">
        <v>71</v>
      </c>
      <c r="B83" s="2">
        <f>+B82</f>
        <v>52000</v>
      </c>
      <c r="C83" s="2">
        <f>+B83+C82</f>
        <v>72000</v>
      </c>
      <c r="D83" s="2">
        <f t="shared" ref="D83:M83" si="19">+C83+D82</f>
        <v>82000</v>
      </c>
      <c r="E83" s="7">
        <f t="shared" si="19"/>
        <v>126355</v>
      </c>
      <c r="F83" s="2">
        <f t="shared" si="19"/>
        <v>313195</v>
      </c>
      <c r="G83" s="7">
        <f t="shared" si="19"/>
        <v>515195</v>
      </c>
      <c r="H83" s="2">
        <f t="shared" si="19"/>
        <v>712195</v>
      </c>
      <c r="I83" s="2">
        <f t="shared" si="19"/>
        <v>854195</v>
      </c>
      <c r="J83" s="7">
        <f t="shared" si="19"/>
        <v>973195</v>
      </c>
      <c r="K83" s="2">
        <f t="shared" si="19"/>
        <v>973195</v>
      </c>
      <c r="L83" s="2">
        <f t="shared" si="19"/>
        <v>973195</v>
      </c>
      <c r="M83" s="2">
        <f t="shared" si="19"/>
        <v>1428195</v>
      </c>
    </row>
    <row r="84" spans="1:14">
      <c r="A84" s="33" t="s">
        <v>72</v>
      </c>
      <c r="B84" s="7">
        <f>+B53</f>
        <v>24982</v>
      </c>
      <c r="C84" s="7">
        <f>SUM($B53:C53)</f>
        <v>383444</v>
      </c>
      <c r="D84" s="7">
        <f>SUM($B53:D53)</f>
        <v>434108</v>
      </c>
      <c r="E84" s="7">
        <f>SUM($B53:E53)</f>
        <v>584660</v>
      </c>
      <c r="F84" s="7">
        <f>SUM($B53:F53)</f>
        <v>585470</v>
      </c>
      <c r="G84" s="7">
        <f>SUM($B53:G53)</f>
        <v>652422</v>
      </c>
      <c r="H84" s="7">
        <f>SUM(B53:H53)</f>
        <v>675909</v>
      </c>
      <c r="I84" s="7">
        <f>SUM(B53:I53)</f>
        <v>675909</v>
      </c>
      <c r="J84" s="7">
        <f>SUM(B53:J53)</f>
        <v>704773</v>
      </c>
      <c r="K84" s="7">
        <f>SUM(B53:K53)</f>
        <v>746027.46</v>
      </c>
      <c r="L84" s="7">
        <f>SUM(B53:L53)</f>
        <v>746027.46</v>
      </c>
      <c r="M84" s="7">
        <f>SUM(B53:M53)</f>
        <v>1201027.46</v>
      </c>
    </row>
    <row r="85" spans="1:14">
      <c r="A85" s="33" t="s">
        <v>73</v>
      </c>
      <c r="B85" s="7">
        <f t="shared" ref="B85:G85" si="20">+B83-B84</f>
        <v>27018</v>
      </c>
      <c r="C85" s="7">
        <f t="shared" si="20"/>
        <v>-311444</v>
      </c>
      <c r="D85" s="7">
        <f t="shared" si="20"/>
        <v>-352108</v>
      </c>
      <c r="E85" s="7">
        <f t="shared" si="20"/>
        <v>-458305</v>
      </c>
      <c r="F85" s="7">
        <f t="shared" si="20"/>
        <v>-272275</v>
      </c>
      <c r="G85" s="7">
        <f t="shared" si="20"/>
        <v>-137227</v>
      </c>
      <c r="H85" s="7">
        <f t="shared" ref="H85:M85" si="21">+H83-H84</f>
        <v>36286</v>
      </c>
      <c r="I85" s="7">
        <f t="shared" si="21"/>
        <v>178286</v>
      </c>
      <c r="J85" s="7">
        <f t="shared" si="21"/>
        <v>268422</v>
      </c>
      <c r="K85" s="7">
        <f t="shared" si="21"/>
        <v>227167.54000000004</v>
      </c>
      <c r="L85" s="7">
        <f t="shared" si="21"/>
        <v>227167.54000000004</v>
      </c>
      <c r="M85" s="7">
        <f t="shared" si="21"/>
        <v>227167.54000000004</v>
      </c>
    </row>
    <row r="86" spans="1:14">
      <c r="J86" s="6"/>
      <c r="K86" s="6"/>
    </row>
    <row r="87" spans="1:14">
      <c r="A87" t="s">
        <v>74</v>
      </c>
      <c r="B87" s="35">
        <f>-B56-B57</f>
        <v>288499</v>
      </c>
      <c r="C87" s="35">
        <f t="shared" ref="C87:N87" si="22">-C56-C57</f>
        <v>35937</v>
      </c>
      <c r="D87" s="35">
        <f t="shared" si="22"/>
        <v>56816</v>
      </c>
      <c r="E87" s="35">
        <f t="shared" si="22"/>
        <v>-149736</v>
      </c>
      <c r="F87" s="35">
        <f t="shared" si="22"/>
        <v>7086.95</v>
      </c>
      <c r="G87" s="40">
        <f t="shared" si="22"/>
        <v>70924</v>
      </c>
      <c r="H87" s="40">
        <f t="shared" si="22"/>
        <v>186829.65</v>
      </c>
      <c r="I87" s="35">
        <f t="shared" si="22"/>
        <v>164812</v>
      </c>
      <c r="J87" s="35">
        <f t="shared" si="22"/>
        <v>125501</v>
      </c>
      <c r="K87" s="40">
        <f t="shared" si="22"/>
        <v>117598.81999999999</v>
      </c>
      <c r="L87" s="35">
        <f t="shared" si="22"/>
        <v>34000</v>
      </c>
      <c r="M87" s="35">
        <f t="shared" si="22"/>
        <v>34000</v>
      </c>
      <c r="N87" s="35">
        <f t="shared" si="22"/>
        <v>972268.42</v>
      </c>
    </row>
    <row r="88" spans="1:14">
      <c r="C88" s="35">
        <f>+B87+C87</f>
        <v>324436</v>
      </c>
      <c r="D88" s="35">
        <f>+C88+D87</f>
        <v>381252</v>
      </c>
      <c r="E88" s="35">
        <f t="shared" ref="E88:M88" si="23">+D88+E87</f>
        <v>231516</v>
      </c>
      <c r="F88" s="35">
        <f t="shared" si="23"/>
        <v>238602.95</v>
      </c>
      <c r="G88" s="40">
        <f t="shared" si="23"/>
        <v>309526.95</v>
      </c>
      <c r="H88" s="35">
        <f t="shared" si="23"/>
        <v>496356.6</v>
      </c>
      <c r="I88" s="40">
        <f t="shared" si="23"/>
        <v>661168.6</v>
      </c>
      <c r="J88" s="40">
        <f t="shared" si="23"/>
        <v>786669.6</v>
      </c>
      <c r="K88" s="40">
        <f t="shared" si="23"/>
        <v>904268.41999999993</v>
      </c>
      <c r="L88" s="35">
        <f t="shared" si="23"/>
        <v>938268.41999999993</v>
      </c>
      <c r="M88" s="35">
        <f t="shared" si="23"/>
        <v>972268.41999999993</v>
      </c>
    </row>
    <row r="89" spans="1:14">
      <c r="B89" s="6"/>
      <c r="C89" s="6"/>
      <c r="D89" s="6"/>
      <c r="E89" s="6"/>
    </row>
    <row r="90" spans="1:14">
      <c r="B90" s="6"/>
      <c r="C90" s="6"/>
      <c r="D90" s="21"/>
      <c r="E90" s="6"/>
    </row>
    <row r="91" spans="1:14">
      <c r="B91" s="6"/>
      <c r="C91" s="6"/>
      <c r="D91" s="6"/>
      <c r="E91" s="6"/>
    </row>
    <row r="92" spans="1:14">
      <c r="B92" s="6"/>
      <c r="C92" s="6"/>
      <c r="D92" s="6"/>
      <c r="E92" s="6"/>
    </row>
    <row r="93" spans="1:14">
      <c r="B93" s="6"/>
      <c r="C93" s="6"/>
      <c r="D93" s="6"/>
      <c r="E93" s="6"/>
    </row>
    <row r="94" spans="1:14">
      <c r="B94" s="6"/>
      <c r="C94" s="6"/>
      <c r="D94" s="34"/>
      <c r="E94" s="6"/>
    </row>
    <row r="95" spans="1:14">
      <c r="B95" s="6"/>
      <c r="C95" s="6"/>
      <c r="D95" s="6"/>
      <c r="E95" s="6"/>
    </row>
    <row r="96" spans="1:14">
      <c r="B96" s="6"/>
      <c r="C96" s="6"/>
      <c r="D96" s="6"/>
      <c r="E96" s="6"/>
    </row>
  </sheetData>
  <pageMargins left="0.28000000000000003" right="0.25" top="0.99" bottom="0.75" header="0.63" footer="0.23"/>
  <pageSetup scale="67" orientation="landscape" r:id="rId1"/>
  <headerFooter alignWithMargins="0">
    <oddHeader xml:space="preserve">&amp;C&amp;"Arial,Bold"&amp;11 49ER SHOPS, INC.
&amp;UFY2016/2017 OPERATIONAL CASH FLOW </oddHeader>
    <oddFooter>&amp;CCash Flow - FY2016/2017
April 2017</oddFooter>
  </headerFooter>
  <legacy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FF00"/>
    <pageSetUpPr fitToPage="1"/>
  </sheetPr>
  <dimension ref="A1:AR96"/>
  <sheetViews>
    <sheetView showGridLines="0" zoomScale="90" zoomScaleNormal="90" workbookViewId="0">
      <pane xSplit="1" ySplit="3" topLeftCell="B4" activePane="bottomRight" state="frozen"/>
      <selection pane="topRight" activeCell="B72" sqref="B72"/>
      <selection pane="bottomLeft" activeCell="B72" sqref="B72"/>
      <selection pane="bottomRight" activeCell="O13" sqref="O13"/>
    </sheetView>
  </sheetViews>
  <sheetFormatPr defaultRowHeight="12.75"/>
  <cols>
    <col min="1" max="1" width="35.42578125" customWidth="1"/>
    <col min="2" max="2" width="14" customWidth="1"/>
    <col min="3" max="3" width="12.5703125" customWidth="1"/>
    <col min="4" max="4" width="12.140625" customWidth="1"/>
    <col min="5" max="5" width="13.5703125" customWidth="1"/>
    <col min="6" max="6" width="12.85546875" customWidth="1"/>
    <col min="7" max="7" width="12.5703125" style="6" customWidth="1"/>
    <col min="8" max="9" width="12.85546875" customWidth="1"/>
    <col min="10" max="11" width="12.140625" customWidth="1"/>
    <col min="12" max="13" width="12.85546875" customWidth="1"/>
    <col min="14" max="14" width="12.85546875" bestFit="1" customWidth="1"/>
    <col min="15" max="15" width="10.140625" bestFit="1" customWidth="1"/>
    <col min="16" max="16" width="13.140625" bestFit="1" customWidth="1"/>
  </cols>
  <sheetData>
    <row r="1" spans="1:15" ht="13.5" thickBot="1">
      <c r="A1" s="46" t="s">
        <v>90</v>
      </c>
      <c r="E1" s="6"/>
      <c r="F1" s="6"/>
      <c r="J1" s="6"/>
      <c r="K1" s="6"/>
      <c r="N1" s="3"/>
    </row>
    <row r="2" spans="1:15">
      <c r="B2" s="45" t="s">
        <v>24</v>
      </c>
      <c r="C2" s="45" t="s">
        <v>24</v>
      </c>
      <c r="D2" s="45" t="s">
        <v>24</v>
      </c>
      <c r="E2" s="45" t="s">
        <v>24</v>
      </c>
      <c r="F2" s="45" t="s">
        <v>24</v>
      </c>
      <c r="G2" s="45" t="s">
        <v>24</v>
      </c>
      <c r="H2" s="45" t="s">
        <v>24</v>
      </c>
      <c r="I2" s="45" t="s">
        <v>24</v>
      </c>
      <c r="J2" s="45" t="s">
        <v>24</v>
      </c>
      <c r="K2" s="45" t="s">
        <v>24</v>
      </c>
      <c r="L2" s="45" t="s">
        <v>24</v>
      </c>
      <c r="M2" s="45" t="s">
        <v>76</v>
      </c>
      <c r="N2" s="55" t="s">
        <v>25</v>
      </c>
    </row>
    <row r="3" spans="1:15" s="5" customFormat="1">
      <c r="B3" s="11">
        <v>42553</v>
      </c>
      <c r="C3" s="11">
        <v>42584</v>
      </c>
      <c r="D3" s="11">
        <v>42615</v>
      </c>
      <c r="E3" s="11">
        <v>42645</v>
      </c>
      <c r="F3" s="11">
        <v>42676</v>
      </c>
      <c r="G3" s="11">
        <v>42706</v>
      </c>
      <c r="H3" s="11">
        <v>42737</v>
      </c>
      <c r="I3" s="11">
        <v>42768</v>
      </c>
      <c r="J3" s="11">
        <v>42796</v>
      </c>
      <c r="K3" s="11">
        <v>42827</v>
      </c>
      <c r="L3" s="11">
        <v>42857</v>
      </c>
      <c r="M3" s="11">
        <v>42888</v>
      </c>
      <c r="N3" s="57" t="s">
        <v>77</v>
      </c>
    </row>
    <row r="4" spans="1:15" hidden="1">
      <c r="A4" s="1" t="s">
        <v>27</v>
      </c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>
        <f>SUM(B4:M4)</f>
        <v>0</v>
      </c>
      <c r="O4" s="6"/>
    </row>
    <row r="5" spans="1:15" s="6" customFormat="1" hidden="1">
      <c r="A5" s="6" t="s">
        <v>28</v>
      </c>
      <c r="B5" s="53">
        <v>1199482</v>
      </c>
      <c r="C5" s="53">
        <v>4828670</v>
      </c>
      <c r="D5" s="53">
        <v>3749028</v>
      </c>
      <c r="E5" s="53">
        <v>3546355</v>
      </c>
      <c r="F5" s="53">
        <v>2585168</v>
      </c>
      <c r="G5" s="53">
        <v>2443265</v>
      </c>
      <c r="H5" s="53">
        <v>3426560</v>
      </c>
      <c r="I5" s="53">
        <v>3501507</v>
      </c>
      <c r="J5" s="53">
        <v>3214307</v>
      </c>
      <c r="K5" s="53">
        <v>3269506</v>
      </c>
      <c r="L5" s="53">
        <v>3081873</v>
      </c>
      <c r="M5" s="53">
        <v>1536863.9470107399</v>
      </c>
      <c r="N5" s="12">
        <f>SUM(B5:M5)</f>
        <v>36382584.947010741</v>
      </c>
    </row>
    <row r="6" spans="1:15" s="6" customFormat="1" hidden="1">
      <c r="A6" s="6" t="s">
        <v>29</v>
      </c>
      <c r="B6" s="53">
        <v>54104</v>
      </c>
      <c r="C6" s="53">
        <v>50888</v>
      </c>
      <c r="D6" s="53">
        <v>47975</v>
      </c>
      <c r="E6" s="53">
        <v>339053</v>
      </c>
      <c r="F6" s="53">
        <v>50128</v>
      </c>
      <c r="G6" s="53">
        <v>100915</v>
      </c>
      <c r="H6" s="53">
        <v>55954</v>
      </c>
      <c r="I6" s="53">
        <v>64066</v>
      </c>
      <c r="J6" s="53">
        <v>70594</v>
      </c>
      <c r="K6" s="53">
        <v>572765</v>
      </c>
      <c r="L6" s="53">
        <v>188411</v>
      </c>
      <c r="M6" s="53">
        <v>46075.731999999996</v>
      </c>
      <c r="N6" s="7">
        <f>SUM(B6:M6)</f>
        <v>1640928.7320000001</v>
      </c>
    </row>
    <row r="7" spans="1:15" s="6" customFormat="1" hidden="1">
      <c r="B7" s="7"/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7">
        <f>SUM(B7:M7)</f>
        <v>0</v>
      </c>
    </row>
    <row r="8" spans="1:15" s="6" customFormat="1" hidden="1">
      <c r="B8" s="15"/>
      <c r="C8" s="15"/>
      <c r="D8" s="15"/>
      <c r="E8" s="15"/>
      <c r="F8" s="15"/>
      <c r="G8" s="15"/>
      <c r="H8" s="15"/>
      <c r="I8" s="15"/>
      <c r="J8" s="15"/>
      <c r="K8" s="15"/>
      <c r="L8" s="15"/>
      <c r="M8" s="15"/>
      <c r="N8" s="15">
        <f>SUM(B8:M8)</f>
        <v>0</v>
      </c>
    </row>
    <row r="9" spans="1:15" s="6" customFormat="1">
      <c r="A9" s="13" t="s">
        <v>30</v>
      </c>
      <c r="B9" s="12">
        <f t="shared" ref="B9:N9" si="0">SUM(B5:B8)</f>
        <v>1253586</v>
      </c>
      <c r="C9" s="12">
        <f t="shared" si="0"/>
        <v>4879558</v>
      </c>
      <c r="D9" s="12">
        <f t="shared" si="0"/>
        <v>3797003</v>
      </c>
      <c r="E9" s="12">
        <v>3546355</v>
      </c>
      <c r="F9" s="12">
        <f t="shared" si="0"/>
        <v>2635296</v>
      </c>
      <c r="G9" s="12">
        <f t="shared" si="0"/>
        <v>2544180</v>
      </c>
      <c r="H9" s="12">
        <f t="shared" si="0"/>
        <v>3482514</v>
      </c>
      <c r="I9" s="12">
        <f t="shared" si="0"/>
        <v>3565573</v>
      </c>
      <c r="J9" s="12">
        <f t="shared" si="0"/>
        <v>3284901</v>
      </c>
      <c r="K9" s="12">
        <f t="shared" si="0"/>
        <v>3842271</v>
      </c>
      <c r="L9" s="12">
        <f t="shared" si="0"/>
        <v>3270284</v>
      </c>
      <c r="M9" s="12">
        <f t="shared" si="0"/>
        <v>1582939.67901074</v>
      </c>
      <c r="N9" s="12">
        <f t="shared" si="0"/>
        <v>38023513.679010741</v>
      </c>
    </row>
    <row r="10" spans="1:15" s="6" customFormat="1" ht="6.75" customHeight="1"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</row>
    <row r="11" spans="1:15" s="6" customFormat="1">
      <c r="A11" s="13" t="s">
        <v>31</v>
      </c>
      <c r="B11" s="7">
        <v>7663</v>
      </c>
      <c r="C11" s="7">
        <v>2297</v>
      </c>
      <c r="D11" s="7">
        <v>6582</v>
      </c>
      <c r="E11" s="7">
        <v>62</v>
      </c>
      <c r="F11" s="7">
        <f>5776-5686</f>
        <v>90</v>
      </c>
      <c r="G11" s="7">
        <v>2997</v>
      </c>
      <c r="H11" s="7">
        <f>13058-6989</f>
        <v>6069</v>
      </c>
      <c r="I11" s="7">
        <f>9542-7182</f>
        <v>2360</v>
      </c>
      <c r="J11" s="7">
        <f>11101-10718</f>
        <v>383</v>
      </c>
      <c r="K11" s="7">
        <v>0</v>
      </c>
      <c r="L11" s="7">
        <f>65790-7577</f>
        <v>58213</v>
      </c>
      <c r="M11" s="7"/>
      <c r="N11" s="7">
        <f>SUM(B11:M11)</f>
        <v>86716</v>
      </c>
    </row>
    <row r="12" spans="1:15" s="6" customFormat="1" ht="7.5" customHeight="1">
      <c r="B12" s="7"/>
      <c r="C12" s="7"/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</row>
    <row r="13" spans="1:15" s="6" customFormat="1" ht="13.5" thickBot="1">
      <c r="A13" s="13" t="s">
        <v>32</v>
      </c>
      <c r="B13" s="14">
        <f t="shared" ref="B13:N13" si="1">B9+B11</f>
        <v>1261249</v>
      </c>
      <c r="C13" s="14">
        <f>C9+C11</f>
        <v>4881855</v>
      </c>
      <c r="D13" s="14">
        <f t="shared" si="1"/>
        <v>3803585</v>
      </c>
      <c r="E13" s="14">
        <f t="shared" si="1"/>
        <v>3546417</v>
      </c>
      <c r="F13" s="14">
        <f t="shared" si="1"/>
        <v>2635386</v>
      </c>
      <c r="G13" s="14">
        <f t="shared" si="1"/>
        <v>2547177</v>
      </c>
      <c r="H13" s="14">
        <f t="shared" si="1"/>
        <v>3488583</v>
      </c>
      <c r="I13" s="14">
        <f t="shared" si="1"/>
        <v>3567933</v>
      </c>
      <c r="J13" s="14">
        <f t="shared" si="1"/>
        <v>3285284</v>
      </c>
      <c r="K13" s="14">
        <f t="shared" si="1"/>
        <v>3842271</v>
      </c>
      <c r="L13" s="14">
        <f t="shared" si="1"/>
        <v>3328497</v>
      </c>
      <c r="M13" s="14">
        <f t="shared" si="1"/>
        <v>1582939.67901074</v>
      </c>
      <c r="N13" s="14">
        <f t="shared" si="1"/>
        <v>38110229.679010741</v>
      </c>
    </row>
    <row r="14" spans="1:15" s="6" customFormat="1" ht="13.5" thickTop="1">
      <c r="B14" s="7"/>
      <c r="C14" s="7"/>
      <c r="D14" s="7"/>
      <c r="E14" s="7"/>
      <c r="F14" s="7"/>
      <c r="G14" s="7"/>
      <c r="H14" s="7"/>
      <c r="I14" s="7"/>
      <c r="J14" s="7"/>
      <c r="K14" s="7"/>
      <c r="L14" s="7"/>
      <c r="M14" s="7"/>
    </row>
    <row r="15" spans="1:15" s="6" customFormat="1" hidden="1">
      <c r="A15" s="13" t="s">
        <v>33</v>
      </c>
      <c r="B15" s="7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</row>
    <row r="16" spans="1:15" s="6" customFormat="1" hidden="1">
      <c r="A16" s="6" t="s">
        <v>34</v>
      </c>
      <c r="B16" s="53">
        <v>620285</v>
      </c>
      <c r="C16" s="53">
        <v>2968543</v>
      </c>
      <c r="D16" s="53">
        <v>1627085</v>
      </c>
      <c r="E16" s="53">
        <v>1339249</v>
      </c>
      <c r="F16" s="53">
        <v>866632</v>
      </c>
      <c r="G16" s="53">
        <v>917825</v>
      </c>
      <c r="H16" s="53">
        <v>2106719</v>
      </c>
      <c r="I16" s="53">
        <v>1431976</v>
      </c>
      <c r="J16" s="53">
        <v>1168366</v>
      </c>
      <c r="K16" s="53">
        <v>1344740</v>
      </c>
      <c r="L16" s="53">
        <v>1147849</v>
      </c>
      <c r="M16" s="53">
        <v>808585.32395320502</v>
      </c>
      <c r="N16" s="7">
        <f>SUM(B16:M16)</f>
        <v>16347854.323953206</v>
      </c>
    </row>
    <row r="17" spans="1:44" s="6" customFormat="1" hidden="1">
      <c r="B17" s="27"/>
      <c r="C17" s="27"/>
      <c r="D17" s="27"/>
      <c r="E17" s="27"/>
      <c r="F17" s="27"/>
      <c r="G17" s="27"/>
      <c r="H17" s="27"/>
      <c r="I17" s="27"/>
      <c r="J17" s="27"/>
      <c r="K17" s="27"/>
      <c r="L17" s="27"/>
      <c r="M17" s="27"/>
      <c r="N17" s="7">
        <f>SUM(B17:M17)</f>
        <v>0</v>
      </c>
    </row>
    <row r="18" spans="1:44" s="6" customFormat="1" hidden="1">
      <c r="B18" s="7"/>
      <c r="C18" s="7"/>
      <c r="D18" s="7"/>
      <c r="E18" s="7"/>
      <c r="F18" s="7"/>
      <c r="G18" s="7"/>
      <c r="H18" s="7"/>
      <c r="I18" s="7"/>
      <c r="J18" s="7"/>
      <c r="K18" s="7"/>
      <c r="L18" s="7"/>
      <c r="M18" s="7"/>
      <c r="N18" s="7">
        <v>0</v>
      </c>
    </row>
    <row r="19" spans="1:44" s="6" customFormat="1" hidden="1">
      <c r="B19" s="15"/>
      <c r="C19" s="15"/>
      <c r="D19" s="15"/>
      <c r="E19" s="15"/>
      <c r="F19" s="15"/>
      <c r="G19" s="15"/>
      <c r="H19" s="15"/>
      <c r="I19" s="15"/>
      <c r="J19" s="15"/>
      <c r="K19" s="15"/>
      <c r="L19" s="15"/>
      <c r="M19" s="15"/>
      <c r="N19" s="15">
        <f>SUM(B19:M19)</f>
        <v>0</v>
      </c>
    </row>
    <row r="20" spans="1:44" s="6" customFormat="1">
      <c r="A20" s="13" t="s">
        <v>35</v>
      </c>
      <c r="B20" s="12">
        <f t="shared" ref="B20:N20" si="2">SUM(B16:B19)</f>
        <v>620285</v>
      </c>
      <c r="C20" s="12">
        <f t="shared" si="2"/>
        <v>2968543</v>
      </c>
      <c r="D20" s="12">
        <f t="shared" si="2"/>
        <v>1627085</v>
      </c>
      <c r="E20" s="12">
        <f t="shared" si="2"/>
        <v>1339249</v>
      </c>
      <c r="F20" s="12">
        <f t="shared" si="2"/>
        <v>866632</v>
      </c>
      <c r="G20" s="12">
        <f t="shared" si="2"/>
        <v>917825</v>
      </c>
      <c r="H20" s="12">
        <f t="shared" si="2"/>
        <v>2106719</v>
      </c>
      <c r="I20" s="12">
        <f t="shared" si="2"/>
        <v>1431976</v>
      </c>
      <c r="J20" s="12">
        <f t="shared" si="2"/>
        <v>1168366</v>
      </c>
      <c r="K20" s="12">
        <f t="shared" si="2"/>
        <v>1344740</v>
      </c>
      <c r="L20" s="12">
        <f t="shared" si="2"/>
        <v>1147849</v>
      </c>
      <c r="M20" s="12">
        <f t="shared" si="2"/>
        <v>808585.32395320502</v>
      </c>
      <c r="N20" s="12">
        <f t="shared" si="2"/>
        <v>16347854.323953206</v>
      </c>
    </row>
    <row r="21" spans="1:44" s="6" customFormat="1">
      <c r="B21" s="7"/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</row>
    <row r="22" spans="1:44" s="6" customFormat="1" hidden="1">
      <c r="A22" s="13" t="s">
        <v>36</v>
      </c>
      <c r="B22" s="7"/>
      <c r="C22" s="7"/>
      <c r="D22" s="7"/>
      <c r="E22" s="7"/>
      <c r="F22" s="7"/>
      <c r="G22" s="7"/>
      <c r="H22" s="7"/>
      <c r="I22" s="7"/>
      <c r="J22" s="7"/>
      <c r="K22" s="7"/>
      <c r="L22" s="7"/>
      <c r="M22" s="7"/>
    </row>
    <row r="23" spans="1:44" s="6" customFormat="1" hidden="1">
      <c r="A23" s="6" t="s">
        <v>37</v>
      </c>
      <c r="B23" s="7">
        <f t="shared" ref="B23:M26" si="3">+B5-B16</f>
        <v>579197</v>
      </c>
      <c r="C23" s="7">
        <f t="shared" si="3"/>
        <v>1860127</v>
      </c>
      <c r="D23" s="7">
        <f t="shared" si="3"/>
        <v>2121943</v>
      </c>
      <c r="E23" s="7">
        <f t="shared" si="3"/>
        <v>2207106</v>
      </c>
      <c r="F23" s="7">
        <f t="shared" si="3"/>
        <v>1718536</v>
      </c>
      <c r="G23" s="7">
        <f t="shared" si="3"/>
        <v>1525440</v>
      </c>
      <c r="H23" s="7">
        <f t="shared" si="3"/>
        <v>1319841</v>
      </c>
      <c r="I23" s="7">
        <f t="shared" si="3"/>
        <v>2069531</v>
      </c>
      <c r="J23" s="7">
        <f t="shared" si="3"/>
        <v>2045941</v>
      </c>
      <c r="K23" s="7">
        <f t="shared" si="3"/>
        <v>1924766</v>
      </c>
      <c r="L23" s="7">
        <f t="shared" si="3"/>
        <v>1934024</v>
      </c>
      <c r="M23" s="7">
        <f t="shared" si="3"/>
        <v>728278.62305753492</v>
      </c>
      <c r="N23" s="7">
        <f>SUM(B23:M23)</f>
        <v>20034730.623057537</v>
      </c>
    </row>
    <row r="24" spans="1:44" s="6" customFormat="1" hidden="1">
      <c r="A24" s="6" t="s">
        <v>37</v>
      </c>
      <c r="B24" s="7">
        <f t="shared" si="3"/>
        <v>54104</v>
      </c>
      <c r="C24" s="7">
        <f t="shared" si="3"/>
        <v>50888</v>
      </c>
      <c r="D24" s="7">
        <f t="shared" si="3"/>
        <v>47975</v>
      </c>
      <c r="E24" s="7">
        <f t="shared" si="3"/>
        <v>339053</v>
      </c>
      <c r="F24" s="7">
        <f t="shared" si="3"/>
        <v>50128</v>
      </c>
      <c r="G24" s="7">
        <f t="shared" si="3"/>
        <v>100915</v>
      </c>
      <c r="H24" s="7">
        <f t="shared" si="3"/>
        <v>55954</v>
      </c>
      <c r="I24" s="7">
        <f t="shared" si="3"/>
        <v>64066</v>
      </c>
      <c r="J24" s="7">
        <f t="shared" si="3"/>
        <v>70594</v>
      </c>
      <c r="K24" s="7">
        <f t="shared" si="3"/>
        <v>572765</v>
      </c>
      <c r="L24" s="7">
        <f t="shared" si="3"/>
        <v>188411</v>
      </c>
      <c r="M24" s="7">
        <f t="shared" si="3"/>
        <v>46075.731999999996</v>
      </c>
      <c r="N24" s="7">
        <f>SUM(B24:M24)</f>
        <v>1640928.7320000001</v>
      </c>
    </row>
    <row r="25" spans="1:44" s="6" customFormat="1" hidden="1">
      <c r="A25" s="6" t="s">
        <v>38</v>
      </c>
      <c r="B25" s="7">
        <f t="shared" si="3"/>
        <v>0</v>
      </c>
      <c r="C25" s="7">
        <f t="shared" si="3"/>
        <v>0</v>
      </c>
      <c r="D25" s="7">
        <f t="shared" si="3"/>
        <v>0</v>
      </c>
      <c r="E25" s="7">
        <f t="shared" si="3"/>
        <v>0</v>
      </c>
      <c r="F25" s="7">
        <f t="shared" si="3"/>
        <v>0</v>
      </c>
      <c r="G25" s="7">
        <f t="shared" si="3"/>
        <v>0</v>
      </c>
      <c r="H25" s="7">
        <f t="shared" si="3"/>
        <v>0</v>
      </c>
      <c r="I25" s="7">
        <f t="shared" si="3"/>
        <v>0</v>
      </c>
      <c r="J25" s="7">
        <f t="shared" si="3"/>
        <v>0</v>
      </c>
      <c r="K25" s="7">
        <f t="shared" si="3"/>
        <v>0</v>
      </c>
      <c r="L25" s="7">
        <f t="shared" si="3"/>
        <v>0</v>
      </c>
      <c r="M25" s="7">
        <f t="shared" si="3"/>
        <v>0</v>
      </c>
      <c r="N25" s="7">
        <f>SUM(B25:M25)</f>
        <v>0</v>
      </c>
    </row>
    <row r="26" spans="1:44" s="6" customFormat="1" hidden="1">
      <c r="A26" s="6" t="s">
        <v>38</v>
      </c>
      <c r="B26" s="15">
        <f t="shared" si="3"/>
        <v>0</v>
      </c>
      <c r="C26" s="15">
        <f t="shared" si="3"/>
        <v>0</v>
      </c>
      <c r="D26" s="15">
        <f t="shared" si="3"/>
        <v>0</v>
      </c>
      <c r="E26" s="15">
        <f t="shared" si="3"/>
        <v>0</v>
      </c>
      <c r="F26" s="15">
        <f t="shared" si="3"/>
        <v>0</v>
      </c>
      <c r="G26" s="15">
        <f t="shared" si="3"/>
        <v>0</v>
      </c>
      <c r="H26" s="15">
        <f t="shared" si="3"/>
        <v>0</v>
      </c>
      <c r="I26" s="15">
        <f t="shared" si="3"/>
        <v>0</v>
      </c>
      <c r="J26" s="15">
        <f t="shared" si="3"/>
        <v>0</v>
      </c>
      <c r="K26" s="15">
        <f t="shared" si="3"/>
        <v>0</v>
      </c>
      <c r="L26" s="15">
        <f t="shared" si="3"/>
        <v>0</v>
      </c>
      <c r="M26" s="15">
        <f t="shared" si="3"/>
        <v>0</v>
      </c>
      <c r="N26" s="15">
        <f>SUM(B26:M26)</f>
        <v>0</v>
      </c>
    </row>
    <row r="27" spans="1:44" s="6" customFormat="1">
      <c r="A27" s="13" t="s">
        <v>39</v>
      </c>
      <c r="B27" s="12">
        <f t="shared" ref="B27:N27" si="4">SUM(B23:B26)</f>
        <v>633301</v>
      </c>
      <c r="C27" s="12">
        <f t="shared" si="4"/>
        <v>1911015</v>
      </c>
      <c r="D27" s="12">
        <f t="shared" si="4"/>
        <v>2169918</v>
      </c>
      <c r="E27" s="12">
        <f t="shared" si="4"/>
        <v>2546159</v>
      </c>
      <c r="F27" s="12">
        <f t="shared" si="4"/>
        <v>1768664</v>
      </c>
      <c r="G27" s="12">
        <f t="shared" si="4"/>
        <v>1626355</v>
      </c>
      <c r="H27" s="12">
        <f t="shared" si="4"/>
        <v>1375795</v>
      </c>
      <c r="I27" s="12">
        <f t="shared" si="4"/>
        <v>2133597</v>
      </c>
      <c r="J27" s="12">
        <f t="shared" si="4"/>
        <v>2116535</v>
      </c>
      <c r="K27" s="12">
        <f t="shared" si="4"/>
        <v>2497531</v>
      </c>
      <c r="L27" s="12">
        <f t="shared" si="4"/>
        <v>2122435</v>
      </c>
      <c r="M27" s="12">
        <f>SUM(M23:M26)</f>
        <v>774354.35505753488</v>
      </c>
      <c r="N27" s="12">
        <f t="shared" si="4"/>
        <v>21675659.355057538</v>
      </c>
    </row>
    <row r="28" spans="1:44" s="6" customFormat="1">
      <c r="B28" s="7"/>
      <c r="C28" s="7"/>
      <c r="D28" s="7"/>
      <c r="E28" s="7"/>
      <c r="F28" s="7"/>
      <c r="G28" s="7"/>
      <c r="H28" s="7"/>
      <c r="I28" s="7"/>
      <c r="J28" s="7"/>
      <c r="K28" s="7"/>
      <c r="L28" s="7"/>
      <c r="M28" s="7"/>
    </row>
    <row r="29" spans="1:44" s="6" customFormat="1" hidden="1">
      <c r="A29" s="13" t="s">
        <v>40</v>
      </c>
      <c r="B29" s="7"/>
      <c r="C29" s="7"/>
      <c r="D29" s="7"/>
      <c r="E29" s="7"/>
      <c r="F29" s="7"/>
      <c r="G29" s="7"/>
      <c r="H29" s="7"/>
      <c r="I29" s="7"/>
      <c r="J29" s="7"/>
      <c r="K29" s="7"/>
      <c r="L29" s="7"/>
      <c r="M29" s="7"/>
    </row>
    <row r="30" spans="1:44" s="6" customFormat="1" hidden="1">
      <c r="A30" s="6" t="s">
        <v>41</v>
      </c>
      <c r="B30" s="53">
        <v>392880</v>
      </c>
      <c r="C30" s="53">
        <v>559131</v>
      </c>
      <c r="D30" s="53">
        <v>664356</v>
      </c>
      <c r="E30" s="53">
        <v>808302</v>
      </c>
      <c r="F30" s="53">
        <v>577909</v>
      </c>
      <c r="G30" s="53">
        <v>554216</v>
      </c>
      <c r="H30" s="53">
        <v>599925</v>
      </c>
      <c r="I30" s="53">
        <v>700444</v>
      </c>
      <c r="J30" s="53">
        <v>675949</v>
      </c>
      <c r="K30" s="53">
        <v>733042</v>
      </c>
      <c r="L30" s="53">
        <v>638064</v>
      </c>
      <c r="M30" s="53">
        <v>456542.16991265502</v>
      </c>
      <c r="N30" s="7">
        <f>SUM(B30:M30)</f>
        <v>7360760.1699126549</v>
      </c>
    </row>
    <row r="31" spans="1:44" s="6" customFormat="1" hidden="1">
      <c r="A31" s="6" t="s">
        <v>42</v>
      </c>
      <c r="B31" s="53">
        <v>216187</v>
      </c>
      <c r="C31" s="53">
        <v>190413</v>
      </c>
      <c r="D31" s="53">
        <v>232147</v>
      </c>
      <c r="E31" s="53">
        <v>210938</v>
      </c>
      <c r="F31" s="53">
        <v>193412</v>
      </c>
      <c r="G31" s="53">
        <v>167260</v>
      </c>
      <c r="H31" s="53">
        <v>226827</v>
      </c>
      <c r="I31" s="53">
        <v>203520</v>
      </c>
      <c r="J31" s="53">
        <v>211437</v>
      </c>
      <c r="K31" s="53">
        <v>188816</v>
      </c>
      <c r="L31" s="53">
        <v>104234</v>
      </c>
      <c r="M31" s="53">
        <v>191011.551540168</v>
      </c>
      <c r="N31" s="7">
        <f>SUM(B31:M31)</f>
        <v>2336202.551540168</v>
      </c>
    </row>
    <row r="32" spans="1:44" s="6" customFormat="1" ht="15" hidden="1">
      <c r="A32" s="6" t="s">
        <v>38</v>
      </c>
      <c r="B32" s="65"/>
      <c r="C32" s="65"/>
      <c r="D32" s="65"/>
      <c r="E32" s="65"/>
      <c r="F32" s="68"/>
      <c r="G32" s="68"/>
      <c r="H32" s="68"/>
      <c r="I32" s="68"/>
      <c r="J32" s="68"/>
      <c r="K32" s="68"/>
      <c r="L32" s="68"/>
      <c r="M32" s="68"/>
      <c r="N32" s="7">
        <f>SUM(B32:M32)</f>
        <v>0</v>
      </c>
      <c r="P32" s="6">
        <f>+B32*-1</f>
        <v>0</v>
      </c>
      <c r="Q32" s="6">
        <f t="shared" ref="Q32:AF33" si="5">+C32*-1</f>
        <v>0</v>
      </c>
      <c r="R32" s="6">
        <f t="shared" si="5"/>
        <v>0</v>
      </c>
      <c r="S32" s="6">
        <f t="shared" si="5"/>
        <v>0</v>
      </c>
      <c r="T32" s="6">
        <f t="shared" si="5"/>
        <v>0</v>
      </c>
      <c r="U32" s="6">
        <f t="shared" si="5"/>
        <v>0</v>
      </c>
      <c r="V32" s="6">
        <f t="shared" si="5"/>
        <v>0</v>
      </c>
      <c r="W32" s="6">
        <f t="shared" si="5"/>
        <v>0</v>
      </c>
      <c r="X32" s="6">
        <f t="shared" si="5"/>
        <v>0</v>
      </c>
      <c r="Y32" s="6">
        <f t="shared" si="5"/>
        <v>0</v>
      </c>
      <c r="Z32" s="6">
        <f t="shared" si="5"/>
        <v>0</v>
      </c>
      <c r="AA32" s="6">
        <f t="shared" si="5"/>
        <v>0</v>
      </c>
      <c r="AB32" s="6">
        <f t="shared" si="5"/>
        <v>0</v>
      </c>
      <c r="AC32" s="6">
        <f t="shared" si="5"/>
        <v>0</v>
      </c>
      <c r="AD32" s="6">
        <f t="shared" si="5"/>
        <v>0</v>
      </c>
      <c r="AE32" s="6">
        <f t="shared" si="5"/>
        <v>0</v>
      </c>
      <c r="AF32" s="6">
        <f t="shared" si="5"/>
        <v>0</v>
      </c>
      <c r="AG32" s="6">
        <f t="shared" ref="AG32:AR33" si="6">+S32*-1</f>
        <v>0</v>
      </c>
      <c r="AH32" s="6">
        <f t="shared" si="6"/>
        <v>0</v>
      </c>
      <c r="AI32" s="6">
        <f t="shared" si="6"/>
        <v>0</v>
      </c>
      <c r="AJ32" s="6">
        <f t="shared" si="6"/>
        <v>0</v>
      </c>
      <c r="AK32" s="6">
        <f t="shared" si="6"/>
        <v>0</v>
      </c>
      <c r="AL32" s="6">
        <f t="shared" si="6"/>
        <v>0</v>
      </c>
      <c r="AM32" s="6">
        <f t="shared" si="6"/>
        <v>0</v>
      </c>
      <c r="AN32" s="6">
        <f t="shared" si="6"/>
        <v>0</v>
      </c>
      <c r="AO32" s="6">
        <f t="shared" si="6"/>
        <v>0</v>
      </c>
      <c r="AP32" s="6">
        <f t="shared" si="6"/>
        <v>0</v>
      </c>
      <c r="AQ32" s="6">
        <f t="shared" si="6"/>
        <v>0</v>
      </c>
      <c r="AR32" s="6">
        <f t="shared" si="6"/>
        <v>0</v>
      </c>
    </row>
    <row r="33" spans="1:44" s="6" customFormat="1" hidden="1">
      <c r="B33" s="15"/>
      <c r="C33" s="15"/>
      <c r="D33" s="15"/>
      <c r="E33" s="15"/>
      <c r="F33" s="15"/>
      <c r="G33" s="15"/>
      <c r="H33" s="15"/>
      <c r="I33" s="15"/>
      <c r="J33" s="15"/>
      <c r="K33" s="15"/>
      <c r="L33" s="15"/>
      <c r="M33" s="15"/>
      <c r="N33" s="15">
        <f>SUM(B33:M33)</f>
        <v>0</v>
      </c>
      <c r="Q33" s="6">
        <f t="shared" si="5"/>
        <v>0</v>
      </c>
      <c r="R33" s="6">
        <f t="shared" si="5"/>
        <v>0</v>
      </c>
      <c r="S33" s="6">
        <f t="shared" si="5"/>
        <v>0</v>
      </c>
      <c r="T33" s="6">
        <f t="shared" si="5"/>
        <v>0</v>
      </c>
      <c r="U33" s="6">
        <f t="shared" si="5"/>
        <v>0</v>
      </c>
      <c r="V33" s="6">
        <f t="shared" si="5"/>
        <v>0</v>
      </c>
      <c r="W33" s="6">
        <f t="shared" si="5"/>
        <v>0</v>
      </c>
      <c r="X33" s="6">
        <f t="shared" si="5"/>
        <v>0</v>
      </c>
      <c r="Y33" s="6">
        <f t="shared" si="5"/>
        <v>0</v>
      </c>
      <c r="Z33" s="6">
        <f t="shared" si="5"/>
        <v>0</v>
      </c>
      <c r="AA33" s="6">
        <f t="shared" si="5"/>
        <v>0</v>
      </c>
      <c r="AB33" s="6">
        <f t="shared" si="5"/>
        <v>0</v>
      </c>
      <c r="AC33" s="6">
        <f t="shared" si="5"/>
        <v>0</v>
      </c>
      <c r="AD33" s="6">
        <f t="shared" si="5"/>
        <v>0</v>
      </c>
      <c r="AE33" s="6">
        <f t="shared" si="5"/>
        <v>0</v>
      </c>
      <c r="AF33" s="6">
        <f t="shared" si="5"/>
        <v>0</v>
      </c>
      <c r="AG33" s="6">
        <f t="shared" si="6"/>
        <v>0</v>
      </c>
      <c r="AH33" s="6">
        <f t="shared" si="6"/>
        <v>0</v>
      </c>
      <c r="AI33" s="6">
        <f t="shared" si="6"/>
        <v>0</v>
      </c>
      <c r="AJ33" s="6">
        <f t="shared" si="6"/>
        <v>0</v>
      </c>
      <c r="AK33" s="6">
        <f t="shared" si="6"/>
        <v>0</v>
      </c>
      <c r="AL33" s="6">
        <f t="shared" si="6"/>
        <v>0</v>
      </c>
      <c r="AM33" s="6">
        <f t="shared" si="6"/>
        <v>0</v>
      </c>
      <c r="AN33" s="6">
        <f t="shared" si="6"/>
        <v>0</v>
      </c>
      <c r="AO33" s="6">
        <f t="shared" si="6"/>
        <v>0</v>
      </c>
      <c r="AP33" s="6">
        <f t="shared" si="6"/>
        <v>0</v>
      </c>
      <c r="AQ33" s="6">
        <f t="shared" si="6"/>
        <v>0</v>
      </c>
      <c r="AR33" s="6">
        <f t="shared" si="6"/>
        <v>0</v>
      </c>
    </row>
    <row r="34" spans="1:44" s="6" customFormat="1">
      <c r="A34" s="13" t="s">
        <v>43</v>
      </c>
      <c r="B34" s="12">
        <f t="shared" ref="B34:N34" si="7">SUM(B30:B33)</f>
        <v>609067</v>
      </c>
      <c r="C34" s="12">
        <f t="shared" si="7"/>
        <v>749544</v>
      </c>
      <c r="D34" s="12">
        <f t="shared" si="7"/>
        <v>896503</v>
      </c>
      <c r="E34" s="12">
        <f t="shared" si="7"/>
        <v>1019240</v>
      </c>
      <c r="F34" s="12">
        <f t="shared" si="7"/>
        <v>771321</v>
      </c>
      <c r="G34" s="12">
        <f t="shared" si="7"/>
        <v>721476</v>
      </c>
      <c r="H34" s="12">
        <f t="shared" si="7"/>
        <v>826752</v>
      </c>
      <c r="I34" s="12">
        <f t="shared" si="7"/>
        <v>903964</v>
      </c>
      <c r="J34" s="12">
        <f t="shared" si="7"/>
        <v>887386</v>
      </c>
      <c r="K34" s="12">
        <f t="shared" si="7"/>
        <v>921858</v>
      </c>
      <c r="L34" s="12">
        <f t="shared" si="7"/>
        <v>742298</v>
      </c>
      <c r="M34" s="12">
        <f t="shared" si="7"/>
        <v>647553.72145282303</v>
      </c>
      <c r="N34" s="12">
        <f t="shared" si="7"/>
        <v>9696962.7214528229</v>
      </c>
      <c r="O34" s="7"/>
    </row>
    <row r="35" spans="1:44" s="6" customFormat="1">
      <c r="B35" s="7"/>
      <c r="C35" s="7"/>
      <c r="D35" s="7"/>
      <c r="E35" s="7"/>
      <c r="F35" s="7"/>
      <c r="G35" s="7"/>
      <c r="H35" s="7"/>
      <c r="I35" s="7"/>
      <c r="J35" s="7"/>
      <c r="K35" s="7"/>
      <c r="L35" s="7"/>
      <c r="M35" s="7"/>
    </row>
    <row r="36" spans="1:44" s="6" customFormat="1">
      <c r="A36" s="13" t="s">
        <v>44</v>
      </c>
      <c r="B36" s="7"/>
      <c r="C36" s="7"/>
      <c r="D36" s="7"/>
      <c r="E36" s="7"/>
      <c r="F36" s="7"/>
      <c r="G36" s="7"/>
      <c r="H36" s="7"/>
      <c r="I36" s="7"/>
      <c r="J36" s="7"/>
      <c r="K36" s="7"/>
      <c r="L36" s="7"/>
      <c r="M36" s="7"/>
    </row>
    <row r="37" spans="1:44" s="6" customFormat="1">
      <c r="A37" s="6" t="s">
        <v>45</v>
      </c>
      <c r="B37" s="53">
        <v>957334</v>
      </c>
      <c r="C37" s="53">
        <v>1284431</v>
      </c>
      <c r="D37" s="53">
        <v>1445140</v>
      </c>
      <c r="E37" s="53">
        <v>1605674</v>
      </c>
      <c r="F37" s="53">
        <v>1524417</v>
      </c>
      <c r="G37" s="66">
        <v>1260096</v>
      </c>
      <c r="H37" s="66">
        <v>1231421</v>
      </c>
      <c r="I37" s="66">
        <v>1441090</v>
      </c>
      <c r="J37" s="66">
        <v>1481996</v>
      </c>
      <c r="K37" s="53">
        <v>1658913</v>
      </c>
      <c r="L37" s="53">
        <v>1366856.0727674812</v>
      </c>
      <c r="M37" s="53">
        <v>1089068.663147087</v>
      </c>
      <c r="N37" s="7">
        <f>SUM(B37:M37)</f>
        <v>16346436.735914567</v>
      </c>
      <c r="O37" s="53"/>
      <c r="P37" s="62"/>
    </row>
    <row r="38" spans="1:44" s="6" customFormat="1">
      <c r="A38" s="6" t="s">
        <v>46</v>
      </c>
      <c r="B38" s="7">
        <f>-B34</f>
        <v>-609067</v>
      </c>
      <c r="C38" s="7">
        <f t="shared" ref="C38:M38" si="8">-C34</f>
        <v>-749544</v>
      </c>
      <c r="D38" s="7">
        <f t="shared" si="8"/>
        <v>-896503</v>
      </c>
      <c r="E38" s="7">
        <f t="shared" si="8"/>
        <v>-1019240</v>
      </c>
      <c r="F38" s="7">
        <f t="shared" si="8"/>
        <v>-771321</v>
      </c>
      <c r="G38" s="7">
        <f t="shared" si="8"/>
        <v>-721476</v>
      </c>
      <c r="H38" s="7">
        <f t="shared" si="8"/>
        <v>-826752</v>
      </c>
      <c r="I38" s="7">
        <f t="shared" si="8"/>
        <v>-903964</v>
      </c>
      <c r="J38" s="7">
        <f t="shared" si="8"/>
        <v>-887386</v>
      </c>
      <c r="K38" s="7">
        <f t="shared" si="8"/>
        <v>-921858</v>
      </c>
      <c r="L38" s="7">
        <f t="shared" si="8"/>
        <v>-742298</v>
      </c>
      <c r="M38" s="7">
        <f t="shared" si="8"/>
        <v>-647553.72145282303</v>
      </c>
      <c r="N38" s="7">
        <f>SUM(B38:M38)</f>
        <v>-9696962.7214528229</v>
      </c>
    </row>
    <row r="39" spans="1:44" s="6" customFormat="1">
      <c r="A39" s="6" t="s">
        <v>47</v>
      </c>
      <c r="B39" s="53">
        <v>-73369</v>
      </c>
      <c r="C39" s="53">
        <v>-72678</v>
      </c>
      <c r="D39" s="53">
        <v>-71948</v>
      </c>
      <c r="E39" s="53">
        <v>-72678</v>
      </c>
      <c r="F39" s="53">
        <v>-72867</v>
      </c>
      <c r="G39" s="53">
        <v>-72836</v>
      </c>
      <c r="H39" s="53">
        <v>-69729</v>
      </c>
      <c r="I39" s="53">
        <v>-69080</v>
      </c>
      <c r="J39" s="53">
        <v>-82065.061666666603</v>
      </c>
      <c r="K39" s="53">
        <v>-79458</v>
      </c>
      <c r="L39" s="53">
        <v>-81487</v>
      </c>
      <c r="M39" s="53">
        <v>-80077.631666666595</v>
      </c>
      <c r="N39" s="7">
        <v>-971805.1199999993</v>
      </c>
    </row>
    <row r="40" spans="1:44" s="6" customFormat="1">
      <c r="A40" s="6" t="s">
        <v>78</v>
      </c>
      <c r="B40" s="53"/>
      <c r="C40" s="53"/>
      <c r="D40" s="53"/>
      <c r="E40" s="53"/>
      <c r="F40" s="53"/>
      <c r="G40" s="53"/>
      <c r="H40" s="53"/>
      <c r="I40" s="53"/>
      <c r="J40" s="53"/>
      <c r="K40" s="53"/>
      <c r="L40" s="53"/>
      <c r="M40" s="53"/>
      <c r="N40" s="7">
        <f>SUM(B40:M40)</f>
        <v>0</v>
      </c>
    </row>
    <row r="41" spans="1:44" s="6" customFormat="1">
      <c r="A41" s="6" t="s">
        <v>48</v>
      </c>
      <c r="B41" s="60">
        <v>-10663.666666666701</v>
      </c>
      <c r="C41" s="60">
        <v>-10663.666666666701</v>
      </c>
      <c r="D41" s="60">
        <v>-10663.666666666701</v>
      </c>
      <c r="E41" s="60">
        <v>-10663.666666666701</v>
      </c>
      <c r="F41" s="60">
        <v>-10663.666666666701</v>
      </c>
      <c r="G41" s="60">
        <v>-10663.666666666701</v>
      </c>
      <c r="H41" s="60">
        <v>-10663.666666666701</v>
      </c>
      <c r="I41" s="60">
        <v>-10663.666666666701</v>
      </c>
      <c r="J41" s="60">
        <v>-10964</v>
      </c>
      <c r="K41" s="60">
        <v>-10864</v>
      </c>
      <c r="L41" s="60">
        <v>-10964</v>
      </c>
      <c r="M41" s="60">
        <v>-10664</v>
      </c>
      <c r="N41" s="15">
        <f>SUM(B41:M41)</f>
        <v>-128765.3333333336</v>
      </c>
    </row>
    <row r="42" spans="1:44" s="6" customFormat="1">
      <c r="A42" s="13" t="s">
        <v>49</v>
      </c>
      <c r="B42" s="12">
        <f t="shared" ref="B42:N42" si="9">SUM(B37:B41)</f>
        <v>264234.33333333331</v>
      </c>
      <c r="C42" s="12">
        <f t="shared" si="9"/>
        <v>451545.33333333331</v>
      </c>
      <c r="D42" s="12">
        <f t="shared" si="9"/>
        <v>466025.33333333331</v>
      </c>
      <c r="E42" s="12">
        <f t="shared" si="9"/>
        <v>503092.33333333331</v>
      </c>
      <c r="F42" s="12">
        <f t="shared" si="9"/>
        <v>669565.33333333326</v>
      </c>
      <c r="G42" s="12">
        <f t="shared" si="9"/>
        <v>455120.33333333331</v>
      </c>
      <c r="H42" s="12">
        <f t="shared" si="9"/>
        <v>324276.33333333331</v>
      </c>
      <c r="I42" s="12">
        <f t="shared" si="9"/>
        <v>457382.33333333331</v>
      </c>
      <c r="J42" s="12">
        <f t="shared" si="9"/>
        <v>501580.93833333341</v>
      </c>
      <c r="K42" s="12">
        <f t="shared" si="9"/>
        <v>646733</v>
      </c>
      <c r="L42" s="12">
        <f t="shared" si="9"/>
        <v>532107.07276748121</v>
      </c>
      <c r="M42" s="12">
        <f t="shared" si="9"/>
        <v>350773.31002759736</v>
      </c>
      <c r="N42" s="12">
        <f t="shared" si="9"/>
        <v>5548903.5611284114</v>
      </c>
    </row>
    <row r="43" spans="1:44">
      <c r="A43" s="1"/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2"/>
      <c r="N43" s="12"/>
      <c r="O43" s="6"/>
    </row>
    <row r="44" spans="1:44">
      <c r="A44" s="13" t="s">
        <v>50</v>
      </c>
      <c r="B44" s="53">
        <v>275362</v>
      </c>
      <c r="C44" s="53">
        <v>282653</v>
      </c>
      <c r="D44" s="53">
        <v>316557</v>
      </c>
      <c r="E44" s="53">
        <v>459677</v>
      </c>
      <c r="F44" s="53">
        <v>293116</v>
      </c>
      <c r="G44" s="53">
        <v>257165</v>
      </c>
      <c r="H44" s="53">
        <v>315444</v>
      </c>
      <c r="I44" s="53">
        <v>284299</v>
      </c>
      <c r="J44" s="53">
        <v>316356</v>
      </c>
      <c r="K44" s="53">
        <v>355383</v>
      </c>
      <c r="L44" s="53">
        <v>305310</v>
      </c>
      <c r="M44" s="53">
        <v>637691.65717914759</v>
      </c>
      <c r="N44" s="12">
        <f>SUM(B44:M44)</f>
        <v>4099013.6571791475</v>
      </c>
      <c r="O44" s="6"/>
    </row>
    <row r="45" spans="1:44">
      <c r="A45" s="6" t="s">
        <v>51</v>
      </c>
      <c r="B45" s="22">
        <v>0</v>
      </c>
      <c r="C45" s="22">
        <v>-10000</v>
      </c>
      <c r="D45" s="22">
        <v>-10000</v>
      </c>
      <c r="E45" s="22">
        <v>-10000</v>
      </c>
      <c r="F45" s="22">
        <v>-10000</v>
      </c>
      <c r="G45" s="22">
        <v>-10000</v>
      </c>
      <c r="H45" s="22">
        <v>-10000</v>
      </c>
      <c r="I45" s="22">
        <v>-10000</v>
      </c>
      <c r="J45" s="22">
        <v>-10000</v>
      </c>
      <c r="K45" s="22">
        <v>-10000</v>
      </c>
      <c r="L45" s="22">
        <v>-10000</v>
      </c>
      <c r="M45" s="22">
        <v>-5000</v>
      </c>
      <c r="N45" s="22">
        <f>SUM(B45:M45)</f>
        <v>-105000</v>
      </c>
      <c r="O45" s="6"/>
    </row>
    <row r="46" spans="1:44">
      <c r="A46" s="1" t="s">
        <v>50</v>
      </c>
      <c r="B46" s="12">
        <f>SUM(B44:B45)</f>
        <v>275362</v>
      </c>
      <c r="C46" s="12">
        <f>SUM(C44:C45)</f>
        <v>272653</v>
      </c>
      <c r="D46" s="12">
        <f t="shared" ref="D46:N46" si="10">SUM(D44:D45)</f>
        <v>306557</v>
      </c>
      <c r="E46" s="12">
        <f t="shared" si="10"/>
        <v>449677</v>
      </c>
      <c r="F46" s="12">
        <f t="shared" si="10"/>
        <v>283116</v>
      </c>
      <c r="G46" s="12">
        <f t="shared" si="10"/>
        <v>247165</v>
      </c>
      <c r="H46" s="12">
        <f t="shared" si="10"/>
        <v>305444</v>
      </c>
      <c r="I46" s="12">
        <f t="shared" si="10"/>
        <v>274299</v>
      </c>
      <c r="J46" s="12">
        <f t="shared" si="10"/>
        <v>306356</v>
      </c>
      <c r="K46" s="12">
        <f t="shared" si="10"/>
        <v>345383</v>
      </c>
      <c r="L46" s="12">
        <f t="shared" si="10"/>
        <v>295310</v>
      </c>
      <c r="M46" s="12">
        <f t="shared" si="10"/>
        <v>632691.65717914759</v>
      </c>
      <c r="N46" s="12">
        <f t="shared" si="10"/>
        <v>3994013.6571791475</v>
      </c>
      <c r="O46" s="6"/>
    </row>
    <row r="47" spans="1:44">
      <c r="B47" s="7"/>
      <c r="C47" s="7"/>
      <c r="D47" s="7"/>
      <c r="E47" s="7"/>
      <c r="F47" s="7"/>
      <c r="G47" s="7"/>
      <c r="H47" s="7"/>
      <c r="I47" s="7"/>
      <c r="J47" s="7"/>
      <c r="K47" s="6"/>
      <c r="L47" s="6"/>
      <c r="M47" s="6"/>
      <c r="N47" s="6"/>
      <c r="O47" s="6"/>
    </row>
    <row r="48" spans="1:44">
      <c r="A48" s="13" t="s">
        <v>52</v>
      </c>
      <c r="B48" s="19">
        <f t="shared" ref="B48:N48" si="11">+B20+B34+B42+B46</f>
        <v>1768948.3333333333</v>
      </c>
      <c r="C48" s="19">
        <f t="shared" si="11"/>
        <v>4442285.333333334</v>
      </c>
      <c r="D48" s="19">
        <f t="shared" si="11"/>
        <v>3296170.3333333335</v>
      </c>
      <c r="E48" s="19">
        <f t="shared" si="11"/>
        <v>3311258.3333333335</v>
      </c>
      <c r="F48" s="19">
        <f t="shared" si="11"/>
        <v>2590634.333333333</v>
      </c>
      <c r="G48" s="19">
        <f t="shared" si="11"/>
        <v>2341586.333333333</v>
      </c>
      <c r="H48" s="19">
        <f t="shared" si="11"/>
        <v>3563191.3333333335</v>
      </c>
      <c r="I48" s="19">
        <f t="shared" si="11"/>
        <v>3067621.3333333335</v>
      </c>
      <c r="J48" s="19">
        <f t="shared" si="11"/>
        <v>2863688.9383333335</v>
      </c>
      <c r="K48" s="19">
        <f t="shared" si="11"/>
        <v>3258714</v>
      </c>
      <c r="L48" s="19">
        <f t="shared" si="11"/>
        <v>2717564.0727674812</v>
      </c>
      <c r="M48" s="19">
        <f t="shared" si="11"/>
        <v>2439604.0126127731</v>
      </c>
      <c r="N48" s="19">
        <f t="shared" si="11"/>
        <v>35587734.263713591</v>
      </c>
      <c r="O48" s="6"/>
    </row>
    <row r="49" spans="1:17">
      <c r="B49" s="7"/>
      <c r="C49" s="7"/>
      <c r="D49" s="7"/>
      <c r="E49" s="7"/>
      <c r="F49" s="7"/>
      <c r="G49" s="7"/>
      <c r="H49" s="7"/>
      <c r="I49" s="7"/>
      <c r="J49" s="7"/>
      <c r="K49" s="6"/>
      <c r="L49" s="6"/>
      <c r="M49" s="6"/>
      <c r="N49" s="6"/>
      <c r="O49" s="6"/>
    </row>
    <row r="50" spans="1:17">
      <c r="A50" s="1" t="s">
        <v>53</v>
      </c>
      <c r="B50" s="12">
        <f t="shared" ref="B50:M50" si="12">+B13-B48</f>
        <v>-507699.33333333326</v>
      </c>
      <c r="C50" s="12">
        <f t="shared" si="12"/>
        <v>439569.66666666605</v>
      </c>
      <c r="D50" s="12">
        <f t="shared" si="12"/>
        <v>507414.66666666651</v>
      </c>
      <c r="E50" s="12">
        <f t="shared" si="12"/>
        <v>235158.66666666651</v>
      </c>
      <c r="F50" s="12">
        <f t="shared" si="12"/>
        <v>44751.666666666977</v>
      </c>
      <c r="G50" s="12">
        <f t="shared" si="12"/>
        <v>205590.66666666698</v>
      </c>
      <c r="H50" s="12">
        <f t="shared" si="12"/>
        <v>-74608.333333333489</v>
      </c>
      <c r="I50" s="12">
        <f t="shared" si="12"/>
        <v>500311.66666666651</v>
      </c>
      <c r="J50" s="12">
        <f t="shared" si="12"/>
        <v>421595.06166666653</v>
      </c>
      <c r="K50" s="12">
        <f t="shared" si="12"/>
        <v>583557</v>
      </c>
      <c r="L50" s="12">
        <f t="shared" si="12"/>
        <v>610932.92723251879</v>
      </c>
      <c r="M50" s="12">
        <f t="shared" si="12"/>
        <v>-856664.33360203309</v>
      </c>
      <c r="N50" s="12">
        <f>SUM(B50:M50)</f>
        <v>2109909.9886304853</v>
      </c>
      <c r="O50" s="6"/>
      <c r="P50" s="25"/>
    </row>
    <row r="51" spans="1:17" ht="7.5" customHeight="1">
      <c r="B51" s="7"/>
      <c r="C51" s="7"/>
      <c r="D51" s="7"/>
      <c r="E51" s="7"/>
      <c r="F51" s="7"/>
      <c r="G51" s="7"/>
      <c r="H51" s="7"/>
      <c r="I51" s="7"/>
      <c r="J51" s="7"/>
      <c r="K51" s="6"/>
      <c r="L51" s="6"/>
      <c r="M51" s="6"/>
      <c r="N51" s="6"/>
      <c r="O51" s="6"/>
    </row>
    <row r="52" spans="1:17">
      <c r="A52" s="1" t="s">
        <v>54</v>
      </c>
      <c r="B52" s="7"/>
      <c r="C52" s="7"/>
      <c r="D52" s="7"/>
      <c r="E52" s="7"/>
      <c r="F52" s="7"/>
      <c r="G52" s="7"/>
      <c r="H52" s="7"/>
      <c r="I52" s="7"/>
      <c r="J52" s="7"/>
      <c r="K52" s="6"/>
      <c r="L52" s="6"/>
      <c r="M52" s="6"/>
      <c r="N52" s="6"/>
      <c r="O52" s="6"/>
    </row>
    <row r="53" spans="1:17" s="6" customFormat="1">
      <c r="A53" s="6" t="s">
        <v>55</v>
      </c>
      <c r="B53" s="10">
        <v>24982</v>
      </c>
      <c r="C53" s="10">
        <v>358462</v>
      </c>
      <c r="D53" s="10">
        <v>50664</v>
      </c>
      <c r="E53" s="10">
        <v>150552</v>
      </c>
      <c r="F53" s="10">
        <v>810</v>
      </c>
      <c r="G53" s="10">
        <v>66952</v>
      </c>
      <c r="H53" s="23">
        <v>23487</v>
      </c>
      <c r="I53" s="10"/>
      <c r="J53" s="10">
        <v>28864</v>
      </c>
      <c r="K53" s="10">
        <v>41254.46</v>
      </c>
      <c r="L53" s="10">
        <v>125061</v>
      </c>
      <c r="M53" s="10">
        <v>455000</v>
      </c>
      <c r="N53" s="10">
        <f>SUM(B53:M53)</f>
        <v>1326088.46</v>
      </c>
      <c r="P53" s="40"/>
    </row>
    <row r="54" spans="1:17" s="6" customFormat="1">
      <c r="A54" s="6" t="s">
        <v>56</v>
      </c>
      <c r="B54" s="10"/>
      <c r="C54" s="10"/>
      <c r="D54" s="47">
        <v>-520000</v>
      </c>
      <c r="E54" s="10"/>
      <c r="F54" s="10">
        <v>85000</v>
      </c>
      <c r="G54" s="10"/>
      <c r="H54" s="10"/>
      <c r="I54" s="10"/>
      <c r="J54" s="10"/>
      <c r="K54" s="10"/>
      <c r="L54" s="10"/>
      <c r="M54" s="10"/>
      <c r="N54" s="10">
        <f>SUM(B54:M54)</f>
        <v>-435000</v>
      </c>
      <c r="P54" s="7"/>
      <c r="Q54" s="6">
        <v>0</v>
      </c>
    </row>
    <row r="55" spans="1:17" s="6" customFormat="1">
      <c r="A55" s="6" t="s">
        <v>57</v>
      </c>
      <c r="B55" s="10">
        <f>50000+228312</f>
        <v>278312</v>
      </c>
      <c r="C55" s="10">
        <v>50000</v>
      </c>
      <c r="D55" s="10">
        <v>50000</v>
      </c>
      <c r="E55" s="10">
        <v>50000</v>
      </c>
      <c r="F55" s="10">
        <v>50000</v>
      </c>
      <c r="G55" s="10">
        <v>50000</v>
      </c>
      <c r="H55" s="10">
        <v>50000</v>
      </c>
      <c r="I55" s="10">
        <v>50000</v>
      </c>
      <c r="J55" s="10">
        <v>50000</v>
      </c>
      <c r="K55" s="10">
        <v>50000</v>
      </c>
      <c r="L55" s="10"/>
      <c r="M55" s="10"/>
      <c r="N55" s="10">
        <f>SUM(B55:M55)</f>
        <v>728312</v>
      </c>
      <c r="P55" s="7"/>
    </row>
    <row r="56" spans="1:17" s="6" customFormat="1">
      <c r="A56" s="37" t="s">
        <v>58</v>
      </c>
      <c r="B56" s="7">
        <v>-26129</v>
      </c>
      <c r="C56" s="7">
        <f>-44-9248</f>
        <v>-9292</v>
      </c>
      <c r="D56" s="7">
        <f>-15614+D11</f>
        <v>-9032</v>
      </c>
      <c r="E56" s="7">
        <f>-5908-140</f>
        <v>-6048</v>
      </c>
      <c r="F56" s="7">
        <f>-5524.48-161.91</f>
        <v>-5686.3899999999994</v>
      </c>
      <c r="G56" s="7">
        <v>-82140</v>
      </c>
      <c r="H56" s="10">
        <v>-6989.05</v>
      </c>
      <c r="I56" s="7">
        <v>-9542</v>
      </c>
      <c r="J56" s="7">
        <v>-10718</v>
      </c>
      <c r="K56" s="7">
        <v>-8839.67</v>
      </c>
      <c r="L56" s="7">
        <v>-7577</v>
      </c>
      <c r="M56" s="7">
        <v>-9000</v>
      </c>
      <c r="N56" s="7">
        <f>SUM(B56:M56)</f>
        <v>-190993.11000000002</v>
      </c>
      <c r="P56" s="56"/>
    </row>
    <row r="57" spans="1:17" s="6" customFormat="1">
      <c r="A57" s="6" t="s">
        <v>59</v>
      </c>
      <c r="B57" s="22">
        <v>-262370</v>
      </c>
      <c r="C57" s="22">
        <v>-26645</v>
      </c>
      <c r="D57" s="22">
        <v>-47784</v>
      </c>
      <c r="E57" s="22">
        <v>155784</v>
      </c>
      <c r="F57" s="22">
        <f>4377.86-5778.42</f>
        <v>-1400.5600000000004</v>
      </c>
      <c r="G57" s="22">
        <v>11216</v>
      </c>
      <c r="H57" s="10">
        <v>-179840.6</v>
      </c>
      <c r="I57" s="22">
        <v>-155270</v>
      </c>
      <c r="J57" s="22">
        <v>-114783</v>
      </c>
      <c r="K57" s="22">
        <v>-108759.15</v>
      </c>
      <c r="L57" s="22">
        <v>-101438</v>
      </c>
      <c r="M57" s="22">
        <v>-25000</v>
      </c>
      <c r="N57" s="22">
        <f>SUM(B57:M57)</f>
        <v>-856290.31</v>
      </c>
      <c r="P57" s="7"/>
    </row>
    <row r="58" spans="1:17" s="6" customFormat="1">
      <c r="A58" s="13" t="s">
        <v>60</v>
      </c>
      <c r="B58" s="19">
        <f t="shared" ref="B58:N58" si="13">SUM(B53:B57)</f>
        <v>14795</v>
      </c>
      <c r="C58" s="19">
        <f t="shared" si="13"/>
        <v>372525</v>
      </c>
      <c r="D58" s="19">
        <f t="shared" si="13"/>
        <v>-476152</v>
      </c>
      <c r="E58" s="19">
        <f t="shared" si="13"/>
        <v>350288</v>
      </c>
      <c r="F58" s="19">
        <f t="shared" si="13"/>
        <v>128723.05</v>
      </c>
      <c r="G58" s="19">
        <f t="shared" si="13"/>
        <v>46028</v>
      </c>
      <c r="H58" s="19">
        <f>SUM(H53:H57)</f>
        <v>-113342.65000000001</v>
      </c>
      <c r="I58" s="19">
        <f t="shared" si="13"/>
        <v>-114812</v>
      </c>
      <c r="J58" s="19">
        <f t="shared" si="13"/>
        <v>-46637</v>
      </c>
      <c r="K58" s="19">
        <f t="shared" si="13"/>
        <v>-26344.36</v>
      </c>
      <c r="L58" s="19">
        <f t="shared" si="13"/>
        <v>16046</v>
      </c>
      <c r="M58" s="19">
        <f t="shared" si="13"/>
        <v>421000</v>
      </c>
      <c r="N58" s="19">
        <f t="shared" si="13"/>
        <v>572117.0399999998</v>
      </c>
    </row>
    <row r="59" spans="1:17">
      <c r="B59" s="7"/>
      <c r="C59" s="7"/>
      <c r="D59" s="7"/>
      <c r="E59" s="7"/>
      <c r="F59" s="7"/>
      <c r="G59" s="7"/>
      <c r="H59" s="7"/>
      <c r="I59" s="7"/>
      <c r="J59" s="7"/>
      <c r="K59" s="7"/>
      <c r="L59" s="7"/>
      <c r="M59" s="7"/>
      <c r="N59" s="7"/>
      <c r="O59" s="6"/>
    </row>
    <row r="60" spans="1:17">
      <c r="A60" s="1" t="s">
        <v>61</v>
      </c>
      <c r="B60" s="12">
        <v>10990495</v>
      </c>
      <c r="C60" s="7"/>
      <c r="D60" s="7"/>
      <c r="E60" s="7"/>
      <c r="F60" s="7"/>
      <c r="G60" s="7"/>
      <c r="H60" s="7" t="s">
        <v>38</v>
      </c>
      <c r="I60" s="7"/>
      <c r="J60" s="7"/>
      <c r="K60" s="6"/>
      <c r="L60" s="6"/>
      <c r="M60" s="6"/>
      <c r="N60" s="6"/>
      <c r="O60" s="6"/>
    </row>
    <row r="61" spans="1:17">
      <c r="A61" s="13" t="s">
        <v>62</v>
      </c>
      <c r="B61" s="19">
        <f t="shared" ref="B61:N61" si="14">+B58+B48</f>
        <v>1783743.3333333333</v>
      </c>
      <c r="C61" s="19">
        <f t="shared" si="14"/>
        <v>4814810.333333334</v>
      </c>
      <c r="D61" s="19">
        <f t="shared" si="14"/>
        <v>2820018.3333333335</v>
      </c>
      <c r="E61" s="19">
        <f t="shared" si="14"/>
        <v>3661546.3333333335</v>
      </c>
      <c r="F61" s="19">
        <f t="shared" si="14"/>
        <v>2719357.3833333328</v>
      </c>
      <c r="G61" s="19">
        <f t="shared" si="14"/>
        <v>2387614.333333333</v>
      </c>
      <c r="H61" s="19">
        <f t="shared" si="14"/>
        <v>3449848.6833333336</v>
      </c>
      <c r="I61" s="19">
        <f t="shared" si="14"/>
        <v>2952809.3333333335</v>
      </c>
      <c r="J61" s="19">
        <f t="shared" si="14"/>
        <v>2817051.9383333335</v>
      </c>
      <c r="K61" s="19">
        <f t="shared" si="14"/>
        <v>3232369.64</v>
      </c>
      <c r="L61" s="19">
        <f t="shared" si="14"/>
        <v>2733610.0727674812</v>
      </c>
      <c r="M61" s="19">
        <f t="shared" si="14"/>
        <v>2860604.0126127731</v>
      </c>
      <c r="N61" s="19">
        <f t="shared" si="14"/>
        <v>36159851.30371359</v>
      </c>
      <c r="O61" s="6"/>
    </row>
    <row r="62" spans="1:17" ht="13.5" thickBot="1">
      <c r="A62" s="13" t="s">
        <v>63</v>
      </c>
      <c r="B62" s="30">
        <f t="shared" ref="B62:N62" si="15">+B13-B61</f>
        <v>-522494.33333333326</v>
      </c>
      <c r="C62" s="30">
        <f t="shared" si="15"/>
        <v>67044.666666666046</v>
      </c>
      <c r="D62" s="30">
        <f t="shared" si="15"/>
        <v>983566.66666666651</v>
      </c>
      <c r="E62" s="30">
        <f t="shared" si="15"/>
        <v>-115129.33333333349</v>
      </c>
      <c r="F62" s="30">
        <f t="shared" si="15"/>
        <v>-83971.383333332837</v>
      </c>
      <c r="G62" s="30">
        <f t="shared" si="15"/>
        <v>159562.66666666698</v>
      </c>
      <c r="H62" s="30">
        <f t="shared" si="15"/>
        <v>38734.316666666418</v>
      </c>
      <c r="I62" s="30">
        <f t="shared" si="15"/>
        <v>615123.66666666651</v>
      </c>
      <c r="J62" s="30">
        <f t="shared" si="15"/>
        <v>468232.06166666653</v>
      </c>
      <c r="K62" s="30">
        <f t="shared" si="15"/>
        <v>609901.35999999987</v>
      </c>
      <c r="L62" s="30">
        <f t="shared" si="15"/>
        <v>594886.92723251879</v>
      </c>
      <c r="M62" s="14">
        <f t="shared" si="15"/>
        <v>-1277664.3336020331</v>
      </c>
      <c r="N62" s="14">
        <f t="shared" si="15"/>
        <v>1950378.3752971515</v>
      </c>
      <c r="O62" s="6"/>
      <c r="P62" s="25"/>
    </row>
    <row r="63" spans="1:17" s="6" customFormat="1" ht="13.5" thickTop="1">
      <c r="A63" s="13" t="s">
        <v>64</v>
      </c>
      <c r="B63" s="32">
        <f>+B62</f>
        <v>-522494.33333333326</v>
      </c>
      <c r="C63" s="32">
        <f t="shared" ref="C63:M63" si="16">B63+C62</f>
        <v>-455449.66666666721</v>
      </c>
      <c r="D63" s="32">
        <f t="shared" si="16"/>
        <v>528116.9999999993</v>
      </c>
      <c r="E63" s="32">
        <f t="shared" si="16"/>
        <v>412987.66666666581</v>
      </c>
      <c r="F63" s="32">
        <f t="shared" si="16"/>
        <v>329016.28333333298</v>
      </c>
      <c r="G63" s="32">
        <f t="shared" si="16"/>
        <v>488578.94999999995</v>
      </c>
      <c r="H63" s="32">
        <f t="shared" si="16"/>
        <v>527313.26666666637</v>
      </c>
      <c r="I63" s="32">
        <f t="shared" si="16"/>
        <v>1142436.9333333329</v>
      </c>
      <c r="J63" s="32">
        <f t="shared" si="16"/>
        <v>1610668.9949999994</v>
      </c>
      <c r="K63" s="32">
        <f t="shared" si="16"/>
        <v>2220570.3549999995</v>
      </c>
      <c r="L63" s="32">
        <f t="shared" si="16"/>
        <v>2815457.2822325183</v>
      </c>
      <c r="M63" s="12">
        <f t="shared" si="16"/>
        <v>1537792.9486304852</v>
      </c>
      <c r="N63" s="12"/>
    </row>
    <row r="64" spans="1:17">
      <c r="A64" s="13" t="s">
        <v>65</v>
      </c>
      <c r="B64" s="12">
        <f t="shared" ref="B64:M64" si="17">+$B$60+B63</f>
        <v>10468000.666666666</v>
      </c>
      <c r="C64" s="12">
        <f t="shared" si="17"/>
        <v>10535045.333333332</v>
      </c>
      <c r="D64" s="12">
        <f t="shared" si="17"/>
        <v>11518612</v>
      </c>
      <c r="E64" s="12">
        <f t="shared" si="17"/>
        <v>11403482.666666666</v>
      </c>
      <c r="F64" s="12">
        <f t="shared" si="17"/>
        <v>11319511.283333333</v>
      </c>
      <c r="G64" s="12">
        <f t="shared" si="17"/>
        <v>11479073.949999999</v>
      </c>
      <c r="H64" s="12">
        <f t="shared" si="17"/>
        <v>11517808.266666666</v>
      </c>
      <c r="I64" s="12">
        <f t="shared" si="17"/>
        <v>12132931.933333334</v>
      </c>
      <c r="J64" s="12">
        <f t="shared" si="17"/>
        <v>12601163.994999999</v>
      </c>
      <c r="K64" s="12">
        <f t="shared" si="17"/>
        <v>13211065.355</v>
      </c>
      <c r="L64" s="12">
        <f t="shared" si="17"/>
        <v>13805952.282232519</v>
      </c>
      <c r="M64" s="12">
        <f t="shared" si="17"/>
        <v>12528287.948630486</v>
      </c>
      <c r="N64" s="12"/>
      <c r="O64" s="6"/>
      <c r="P64" s="29"/>
    </row>
    <row r="65" spans="1:16">
      <c r="A65" s="6"/>
      <c r="B65" s="7"/>
      <c r="C65" s="7"/>
      <c r="D65" s="7"/>
      <c r="E65" s="7"/>
      <c r="F65" s="7"/>
      <c r="G65" s="7"/>
      <c r="H65" s="7"/>
      <c r="I65" s="7"/>
      <c r="J65" s="7"/>
      <c r="K65" s="6"/>
      <c r="L65" s="6"/>
      <c r="M65" s="6"/>
      <c r="N65" s="6"/>
      <c r="O65" s="6"/>
    </row>
    <row r="66" spans="1:16" s="6" customFormat="1">
      <c r="A66" s="17" t="s">
        <v>79</v>
      </c>
      <c r="B66" s="18"/>
      <c r="C66" s="18"/>
      <c r="D66" s="18"/>
      <c r="E66" s="18"/>
      <c r="F66" s="18"/>
      <c r="G66" s="18"/>
      <c r="H66" s="18"/>
      <c r="I66" s="18"/>
      <c r="J66" s="18"/>
      <c r="K66" s="18"/>
      <c r="L66" s="18"/>
      <c r="M66" s="18"/>
      <c r="N66" s="18"/>
    </row>
    <row r="67" spans="1:16" ht="13.5" thickBot="1">
      <c r="A67" s="13" t="s">
        <v>67</v>
      </c>
      <c r="B67" s="30">
        <v>-923707.19930042047</v>
      </c>
      <c r="C67" s="30">
        <v>408098.02642089035</v>
      </c>
      <c r="D67" s="30">
        <v>1071842.6402638261</v>
      </c>
      <c r="E67" s="30">
        <v>445993.46125483606</v>
      </c>
      <c r="F67" s="30">
        <v>-265749.60705118906</v>
      </c>
      <c r="G67" s="30">
        <v>-389702.61557580205</v>
      </c>
      <c r="H67" s="30">
        <v>-14360.90837025363</v>
      </c>
      <c r="I67" s="30">
        <v>203880.59546278836</v>
      </c>
      <c r="J67" s="30">
        <v>310916.27537100855</v>
      </c>
      <c r="K67" s="30">
        <v>183559.11018969351</v>
      </c>
      <c r="L67" s="30">
        <v>454347.78970141569</v>
      </c>
      <c r="M67" s="30">
        <v>-1277664.3336020331</v>
      </c>
      <c r="N67" s="16"/>
      <c r="O67" s="6"/>
    </row>
    <row r="68" spans="1:16" ht="13.5" thickTop="1">
      <c r="A68" s="13" t="s">
        <v>64</v>
      </c>
      <c r="B68" s="32">
        <v>-923707.19930042047</v>
      </c>
      <c r="C68" s="32">
        <v>-515609.17287953012</v>
      </c>
      <c r="D68" s="32">
        <v>556233.467384296</v>
      </c>
      <c r="E68" s="32">
        <v>1002226.9286391321</v>
      </c>
      <c r="F68" s="32">
        <v>736477.32158794301</v>
      </c>
      <c r="G68" s="32">
        <v>346774.70601214096</v>
      </c>
      <c r="H68" s="32">
        <v>332413.79764188733</v>
      </c>
      <c r="I68" s="32">
        <v>536294.39310467569</v>
      </c>
      <c r="J68" s="32">
        <v>847210.66847568424</v>
      </c>
      <c r="K68" s="32">
        <v>1030769.7786653778</v>
      </c>
      <c r="L68" s="32">
        <v>1485117.5683667934</v>
      </c>
      <c r="M68" s="32">
        <v>207453.23476476036</v>
      </c>
      <c r="N68" s="16"/>
      <c r="O68" s="6"/>
    </row>
    <row r="69" spans="1:16">
      <c r="A69" s="13" t="s">
        <v>65</v>
      </c>
      <c r="B69" s="12">
        <v>10066787.80069958</v>
      </c>
      <c r="C69" s="12">
        <v>10474885.82712047</v>
      </c>
      <c r="D69" s="12">
        <v>11546728.467384296</v>
      </c>
      <c r="E69" s="12">
        <v>11992721.928639133</v>
      </c>
      <c r="F69" s="12">
        <v>11726972.321587943</v>
      </c>
      <c r="G69" s="12">
        <v>11337269.706012141</v>
      </c>
      <c r="H69" s="12">
        <v>11322908.797641888</v>
      </c>
      <c r="I69" s="12">
        <v>11526789.393104676</v>
      </c>
      <c r="J69" s="12">
        <v>11837705.668475684</v>
      </c>
      <c r="K69" s="12">
        <v>12021264.778665379</v>
      </c>
      <c r="L69" s="12">
        <v>12475612.568366794</v>
      </c>
      <c r="M69" s="12">
        <v>11197948.23476476</v>
      </c>
      <c r="N69" s="12"/>
      <c r="O69" s="6"/>
    </row>
    <row r="70" spans="1:16">
      <c r="A70" s="6"/>
      <c r="B70" s="6"/>
      <c r="C70" s="6"/>
      <c r="D70" s="6"/>
      <c r="E70" s="6"/>
      <c r="F70" s="6"/>
      <c r="H70" s="6"/>
      <c r="I70" s="6"/>
      <c r="J70" s="6"/>
      <c r="K70" s="6"/>
      <c r="L70" s="6"/>
      <c r="M70" s="6"/>
      <c r="N70" s="6"/>
      <c r="O70" s="6"/>
    </row>
    <row r="71" spans="1:16">
      <c r="A71" s="24" t="s">
        <v>68</v>
      </c>
      <c r="B71" s="18"/>
      <c r="C71" s="18"/>
      <c r="D71" s="18"/>
      <c r="E71" s="18"/>
      <c r="F71" s="18"/>
      <c r="G71" s="18"/>
      <c r="H71" s="18"/>
      <c r="I71" s="18"/>
      <c r="J71" s="18"/>
      <c r="K71" s="18"/>
      <c r="L71" s="18"/>
      <c r="M71" s="18"/>
      <c r="N71" s="18"/>
      <c r="O71" s="6"/>
    </row>
    <row r="72" spans="1:16">
      <c r="A72" s="13" t="s">
        <v>63</v>
      </c>
      <c r="B72" s="16">
        <f t="shared" ref="B72:N74" si="18">+B62-B67</f>
        <v>401212.86596708721</v>
      </c>
      <c r="C72" s="16">
        <f t="shared" si="18"/>
        <v>-341053.35975422431</v>
      </c>
      <c r="D72" s="16">
        <f t="shared" si="18"/>
        <v>-88275.973597159609</v>
      </c>
      <c r="E72" s="16">
        <f t="shared" si="18"/>
        <v>-561122.79458816955</v>
      </c>
      <c r="F72" s="16">
        <f t="shared" si="18"/>
        <v>181778.22371785622</v>
      </c>
      <c r="G72" s="16">
        <f t="shared" si="18"/>
        <v>549265.28224246902</v>
      </c>
      <c r="H72" s="16">
        <f t="shared" si="18"/>
        <v>53095.225036920048</v>
      </c>
      <c r="I72" s="16">
        <f t="shared" si="18"/>
        <v>411243.07120387815</v>
      </c>
      <c r="J72" s="16">
        <f t="shared" si="18"/>
        <v>157315.78629565798</v>
      </c>
      <c r="K72" s="16">
        <f t="shared" si="18"/>
        <v>426342.24981030636</v>
      </c>
      <c r="L72" s="16">
        <f t="shared" si="18"/>
        <v>140539.1375311031</v>
      </c>
      <c r="M72" s="16">
        <f t="shared" si="18"/>
        <v>0</v>
      </c>
      <c r="N72" s="6"/>
      <c r="O72" s="6"/>
      <c r="P72" s="16">
        <f>+N62-N67</f>
        <v>1950378.3752971515</v>
      </c>
    </row>
    <row r="73" spans="1:16" s="6" customFormat="1">
      <c r="A73" s="13" t="s">
        <v>64</v>
      </c>
      <c r="B73" s="16">
        <f t="shared" si="18"/>
        <v>401212.86596708721</v>
      </c>
      <c r="C73" s="16">
        <f t="shared" si="18"/>
        <v>60159.506212862907</v>
      </c>
      <c r="D73" s="16">
        <f t="shared" si="18"/>
        <v>-28116.467384296702</v>
      </c>
      <c r="E73" s="16">
        <f t="shared" si="18"/>
        <v>-589239.26197246625</v>
      </c>
      <c r="F73" s="16">
        <f t="shared" si="18"/>
        <v>-407461.03825461003</v>
      </c>
      <c r="G73" s="16">
        <f t="shared" si="18"/>
        <v>141804.24398785899</v>
      </c>
      <c r="H73" s="16">
        <f t="shared" si="18"/>
        <v>194899.46902477904</v>
      </c>
      <c r="I73" s="16">
        <f t="shared" si="18"/>
        <v>606142.54022865719</v>
      </c>
      <c r="J73" s="16">
        <f t="shared" si="18"/>
        <v>763458.32652431517</v>
      </c>
      <c r="K73" s="16">
        <f t="shared" si="18"/>
        <v>1189800.5763346218</v>
      </c>
      <c r="L73" s="16">
        <f t="shared" si="18"/>
        <v>1330339.7138657249</v>
      </c>
      <c r="M73" s="16">
        <f t="shared" si="18"/>
        <v>1330339.7138657249</v>
      </c>
      <c r="N73" s="16">
        <f t="shared" si="18"/>
        <v>0</v>
      </c>
    </row>
    <row r="74" spans="1:16">
      <c r="A74" s="1" t="s">
        <v>65</v>
      </c>
      <c r="B74" s="16">
        <f t="shared" si="18"/>
        <v>401212.86596708558</v>
      </c>
      <c r="C74" s="16">
        <f t="shared" si="18"/>
        <v>60159.506212862208</v>
      </c>
      <c r="D74" s="16">
        <f t="shared" si="18"/>
        <v>-28116.467384295538</v>
      </c>
      <c r="E74" s="16">
        <f t="shared" si="18"/>
        <v>-589239.26197246648</v>
      </c>
      <c r="F74" s="16">
        <f t="shared" si="18"/>
        <v>-407461.03825460933</v>
      </c>
      <c r="G74" s="16">
        <f t="shared" si="18"/>
        <v>141804.2439878583</v>
      </c>
      <c r="H74" s="16">
        <f t="shared" si="18"/>
        <v>194899.46902477741</v>
      </c>
      <c r="I74" s="16">
        <f t="shared" si="18"/>
        <v>606142.54022865742</v>
      </c>
      <c r="J74" s="16">
        <f t="shared" si="18"/>
        <v>763458.3265243154</v>
      </c>
      <c r="K74" s="16">
        <f t="shared" si="18"/>
        <v>1189800.5763346218</v>
      </c>
      <c r="L74" s="16">
        <f t="shared" si="18"/>
        <v>1330339.7138657253</v>
      </c>
      <c r="M74" s="16">
        <f t="shared" si="18"/>
        <v>1330339.7138657253</v>
      </c>
      <c r="N74" s="16"/>
      <c r="O74" s="6"/>
    </row>
    <row r="75" spans="1:16">
      <c r="B75" s="6"/>
      <c r="C75" s="6"/>
      <c r="D75" s="6"/>
      <c r="E75" s="6"/>
      <c r="F75" s="6"/>
      <c r="H75" s="6"/>
      <c r="I75" s="6"/>
      <c r="J75" s="6"/>
      <c r="K75" s="6"/>
      <c r="L75" s="6"/>
      <c r="M75" s="6"/>
      <c r="N75" s="6"/>
    </row>
    <row r="76" spans="1:16">
      <c r="A76" s="1"/>
      <c r="B76" s="4"/>
      <c r="C76" s="8"/>
      <c r="D76" s="8"/>
      <c r="E76" s="8"/>
      <c r="F76" s="8"/>
      <c r="H76" s="20"/>
      <c r="J76" s="6"/>
      <c r="K76" s="6"/>
    </row>
    <row r="77" spans="1:16">
      <c r="A77" s="1"/>
      <c r="B77" s="4"/>
      <c r="C77" s="8"/>
      <c r="D77" s="8"/>
      <c r="E77" s="8"/>
      <c r="F77" s="8"/>
      <c r="H77" s="20"/>
      <c r="J77" s="6"/>
    </row>
    <row r="78" spans="1:16">
      <c r="A78" s="1"/>
      <c r="B78" s="4"/>
      <c r="D78" s="8"/>
      <c r="E78" s="8"/>
      <c r="F78" s="8"/>
      <c r="H78" s="61"/>
      <c r="J78" s="6"/>
    </row>
    <row r="79" spans="1:16">
      <c r="E79" s="6"/>
      <c r="H79" s="20"/>
      <c r="J79" s="6"/>
      <c r="N79" s="25"/>
    </row>
    <row r="80" spans="1:16">
      <c r="A80" t="s">
        <v>69</v>
      </c>
      <c r="B80" t="s">
        <v>69</v>
      </c>
      <c r="C80" t="s">
        <v>69</v>
      </c>
      <c r="D80" t="s">
        <v>69</v>
      </c>
      <c r="E80" s="6" t="s">
        <v>69</v>
      </c>
      <c r="F80" t="s">
        <v>69</v>
      </c>
      <c r="G80" s="6" t="s">
        <v>69</v>
      </c>
      <c r="H80" t="s">
        <v>69</v>
      </c>
      <c r="I80" t="s">
        <v>69</v>
      </c>
      <c r="J80" s="6" t="s">
        <v>69</v>
      </c>
      <c r="K80" t="s">
        <v>69</v>
      </c>
      <c r="L80" t="s">
        <v>69</v>
      </c>
      <c r="M80" t="s">
        <v>69</v>
      </c>
      <c r="N80" t="s">
        <v>69</v>
      </c>
    </row>
    <row r="81" spans="1:14">
      <c r="E81" s="6"/>
      <c r="J81" s="6"/>
    </row>
    <row r="82" spans="1:14">
      <c r="A82" s="33" t="s">
        <v>70</v>
      </c>
      <c r="B82" s="47">
        <v>52000</v>
      </c>
      <c r="C82" s="47">
        <v>20000</v>
      </c>
      <c r="D82" s="47">
        <v>10000</v>
      </c>
      <c r="E82" s="47">
        <v>44355</v>
      </c>
      <c r="F82" s="47">
        <v>186840</v>
      </c>
      <c r="G82" s="10">
        <v>202000</v>
      </c>
      <c r="H82" s="54">
        <v>197000</v>
      </c>
      <c r="I82" s="47">
        <v>142000</v>
      </c>
      <c r="J82" s="47">
        <v>119000</v>
      </c>
      <c r="K82" s="47">
        <v>0</v>
      </c>
      <c r="L82" s="47">
        <v>0</v>
      </c>
      <c r="M82" s="47">
        <v>455000</v>
      </c>
      <c r="N82" s="7">
        <v>1428195</v>
      </c>
    </row>
    <row r="83" spans="1:14">
      <c r="A83" s="33" t="s">
        <v>71</v>
      </c>
      <c r="B83" s="2">
        <f>+B82</f>
        <v>52000</v>
      </c>
      <c r="C83" s="2">
        <f>+B83+C82</f>
        <v>72000</v>
      </c>
      <c r="D83" s="2">
        <f t="shared" ref="D83:M83" si="19">+C83+D82</f>
        <v>82000</v>
      </c>
      <c r="E83" s="7">
        <f t="shared" si="19"/>
        <v>126355</v>
      </c>
      <c r="F83" s="2">
        <f t="shared" si="19"/>
        <v>313195</v>
      </c>
      <c r="G83" s="7">
        <f t="shared" si="19"/>
        <v>515195</v>
      </c>
      <c r="H83" s="2">
        <f t="shared" si="19"/>
        <v>712195</v>
      </c>
      <c r="I83" s="2">
        <f t="shared" si="19"/>
        <v>854195</v>
      </c>
      <c r="J83" s="7">
        <f t="shared" si="19"/>
        <v>973195</v>
      </c>
      <c r="K83" s="2">
        <f t="shared" si="19"/>
        <v>973195</v>
      </c>
      <c r="L83" s="2">
        <f t="shared" si="19"/>
        <v>973195</v>
      </c>
      <c r="M83" s="2">
        <f t="shared" si="19"/>
        <v>1428195</v>
      </c>
    </row>
    <row r="84" spans="1:14">
      <c r="A84" s="33" t="s">
        <v>72</v>
      </c>
      <c r="B84" s="7">
        <f>+B53</f>
        <v>24982</v>
      </c>
      <c r="C84" s="7">
        <f>SUM($B53:C53)</f>
        <v>383444</v>
      </c>
      <c r="D84" s="7">
        <f>SUM($B53:D53)</f>
        <v>434108</v>
      </c>
      <c r="E84" s="7">
        <f>SUM($B53:E53)</f>
        <v>584660</v>
      </c>
      <c r="F84" s="7">
        <f>SUM($B53:F53)</f>
        <v>585470</v>
      </c>
      <c r="G84" s="7">
        <f>SUM($B53:G53)</f>
        <v>652422</v>
      </c>
      <c r="H84" s="7">
        <f>SUM(B53:H53)</f>
        <v>675909</v>
      </c>
      <c r="I84" s="7">
        <f>SUM(B53:I53)</f>
        <v>675909</v>
      </c>
      <c r="J84" s="7">
        <f>SUM(B53:J53)</f>
        <v>704773</v>
      </c>
      <c r="K84" s="7">
        <f>SUM(B53:K53)</f>
        <v>746027.46</v>
      </c>
      <c r="L84" s="7">
        <f>SUM(B53:L53)</f>
        <v>871088.46</v>
      </c>
      <c r="M84" s="7">
        <f>SUM(B53:M53)</f>
        <v>1326088.46</v>
      </c>
    </row>
    <row r="85" spans="1:14">
      <c r="A85" s="33" t="s">
        <v>73</v>
      </c>
      <c r="B85" s="7">
        <f t="shared" ref="B85:G85" si="20">+B83-B84</f>
        <v>27018</v>
      </c>
      <c r="C85" s="7">
        <f t="shared" si="20"/>
        <v>-311444</v>
      </c>
      <c r="D85" s="7">
        <f t="shared" si="20"/>
        <v>-352108</v>
      </c>
      <c r="E85" s="7">
        <f t="shared" si="20"/>
        <v>-458305</v>
      </c>
      <c r="F85" s="7">
        <f t="shared" si="20"/>
        <v>-272275</v>
      </c>
      <c r="G85" s="7">
        <f t="shared" si="20"/>
        <v>-137227</v>
      </c>
      <c r="H85" s="7">
        <f t="shared" ref="H85:M85" si="21">+H83-H84</f>
        <v>36286</v>
      </c>
      <c r="I85" s="7">
        <f t="shared" si="21"/>
        <v>178286</v>
      </c>
      <c r="J85" s="7">
        <f t="shared" si="21"/>
        <v>268422</v>
      </c>
      <c r="K85" s="7">
        <f t="shared" si="21"/>
        <v>227167.54000000004</v>
      </c>
      <c r="L85" s="7">
        <f t="shared" si="21"/>
        <v>102106.54000000004</v>
      </c>
      <c r="M85" s="7">
        <f t="shared" si="21"/>
        <v>102106.54000000004</v>
      </c>
    </row>
    <row r="86" spans="1:14">
      <c r="J86" s="6"/>
      <c r="K86" s="6"/>
    </row>
    <row r="87" spans="1:14">
      <c r="A87" t="s">
        <v>74</v>
      </c>
      <c r="B87" s="35">
        <f>-B56-B57</f>
        <v>288499</v>
      </c>
      <c r="C87" s="35">
        <f t="shared" ref="C87:N87" si="22">-C56-C57</f>
        <v>35937</v>
      </c>
      <c r="D87" s="35">
        <f t="shared" si="22"/>
        <v>56816</v>
      </c>
      <c r="E87" s="35">
        <f t="shared" si="22"/>
        <v>-149736</v>
      </c>
      <c r="F87" s="35">
        <f t="shared" si="22"/>
        <v>7086.95</v>
      </c>
      <c r="G87" s="40">
        <f t="shared" si="22"/>
        <v>70924</v>
      </c>
      <c r="H87" s="40">
        <f t="shared" si="22"/>
        <v>186829.65</v>
      </c>
      <c r="I87" s="35">
        <f t="shared" si="22"/>
        <v>164812</v>
      </c>
      <c r="J87" s="35">
        <f t="shared" si="22"/>
        <v>125501</v>
      </c>
      <c r="K87" s="40">
        <f t="shared" si="22"/>
        <v>117598.81999999999</v>
      </c>
      <c r="L87" s="35">
        <f t="shared" si="22"/>
        <v>109015</v>
      </c>
      <c r="M87" s="35">
        <f t="shared" si="22"/>
        <v>34000</v>
      </c>
      <c r="N87" s="35">
        <f t="shared" si="22"/>
        <v>1047283.42</v>
      </c>
    </row>
    <row r="88" spans="1:14">
      <c r="C88" s="35">
        <f>+B87+C87</f>
        <v>324436</v>
      </c>
      <c r="D88" s="35">
        <f>+C88+D87</f>
        <v>381252</v>
      </c>
      <c r="E88" s="35">
        <f t="shared" ref="E88:M88" si="23">+D88+E87</f>
        <v>231516</v>
      </c>
      <c r="F88" s="35">
        <f t="shared" si="23"/>
        <v>238602.95</v>
      </c>
      <c r="G88" s="40">
        <f t="shared" si="23"/>
        <v>309526.95</v>
      </c>
      <c r="H88" s="35">
        <f t="shared" si="23"/>
        <v>496356.6</v>
      </c>
      <c r="I88" s="40">
        <f t="shared" si="23"/>
        <v>661168.6</v>
      </c>
      <c r="J88" s="40">
        <f t="shared" si="23"/>
        <v>786669.6</v>
      </c>
      <c r="K88" s="40">
        <f t="shared" si="23"/>
        <v>904268.41999999993</v>
      </c>
      <c r="L88" s="35">
        <f t="shared" si="23"/>
        <v>1013283.4199999999</v>
      </c>
      <c r="M88" s="35">
        <f t="shared" si="23"/>
        <v>1047283.4199999999</v>
      </c>
    </row>
    <row r="89" spans="1:14">
      <c r="B89" s="6"/>
      <c r="C89" s="6"/>
      <c r="D89" s="6"/>
      <c r="E89" s="6"/>
    </row>
    <row r="90" spans="1:14">
      <c r="B90" s="6"/>
      <c r="C90" s="6"/>
      <c r="D90" s="21"/>
      <c r="E90" s="6"/>
    </row>
    <row r="91" spans="1:14">
      <c r="B91" s="6"/>
      <c r="C91" s="6"/>
      <c r="D91" s="6"/>
      <c r="E91" s="6"/>
    </row>
    <row r="92" spans="1:14">
      <c r="B92" s="6"/>
      <c r="C92" s="6"/>
      <c r="D92" s="6"/>
      <c r="E92" s="6"/>
    </row>
    <row r="93" spans="1:14">
      <c r="B93" s="6"/>
      <c r="C93" s="6"/>
      <c r="D93" s="6"/>
      <c r="E93" s="6"/>
    </row>
    <row r="94" spans="1:14">
      <c r="B94" s="6"/>
      <c r="C94" s="6"/>
      <c r="D94" s="34"/>
      <c r="E94" s="6"/>
    </row>
    <row r="95" spans="1:14">
      <c r="B95" s="6"/>
      <c r="C95" s="6"/>
      <c r="D95" s="6"/>
      <c r="E95" s="6"/>
    </row>
    <row r="96" spans="1:14">
      <c r="B96" s="6"/>
      <c r="C96" s="6"/>
      <c r="D96" s="6"/>
      <c r="E96" s="6"/>
    </row>
  </sheetData>
  <pageMargins left="0.28000000000000003" right="0.25" top="0.99" bottom="0.75" header="0.63" footer="0.23"/>
  <pageSetup scale="67" orientation="landscape" r:id="rId1"/>
  <headerFooter alignWithMargins="0">
    <oddHeader xml:space="preserve">&amp;C&amp;"Arial,Bold"&amp;11 49ER SHOPS, INC.
&amp;UFY2016/2017 OPERATIONAL CASH FLOW </oddHeader>
    <oddFooter>&amp;CCash Flow - FY2016/2017
May 2017</oddFooter>
  </headerFooter>
  <legacy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FF00"/>
    <pageSetUpPr fitToPage="1"/>
  </sheetPr>
  <dimension ref="A1:AR96"/>
  <sheetViews>
    <sheetView showGridLines="0" zoomScale="90" zoomScaleNormal="90" workbookViewId="0">
      <pane xSplit="1" ySplit="3" topLeftCell="B4" activePane="bottomRight" state="frozen"/>
      <selection pane="topRight" activeCell="B72" sqref="B72"/>
      <selection pane="bottomLeft" activeCell="B72" sqref="B72"/>
      <selection pane="bottomRight" activeCell="M44" sqref="M44"/>
    </sheetView>
  </sheetViews>
  <sheetFormatPr defaultRowHeight="12.75"/>
  <cols>
    <col min="1" max="1" width="35.42578125" customWidth="1"/>
    <col min="2" max="2" width="14" customWidth="1"/>
    <col min="3" max="3" width="12.5703125" customWidth="1"/>
    <col min="4" max="4" width="12.140625" customWidth="1"/>
    <col min="5" max="5" width="13.5703125" customWidth="1"/>
    <col min="6" max="6" width="12.85546875" customWidth="1"/>
    <col min="7" max="7" width="12.5703125" style="6" customWidth="1"/>
    <col min="8" max="9" width="12.85546875" customWidth="1"/>
    <col min="10" max="11" width="12.140625" customWidth="1"/>
    <col min="12" max="13" width="12.85546875" customWidth="1"/>
    <col min="14" max="14" width="12.85546875" bestFit="1" customWidth="1"/>
    <col min="15" max="15" width="10.140625" bestFit="1" customWidth="1"/>
    <col min="16" max="16" width="13.140625" bestFit="1" customWidth="1"/>
  </cols>
  <sheetData>
    <row r="1" spans="1:15" ht="13.5" thickBot="1">
      <c r="A1" s="46" t="s">
        <v>91</v>
      </c>
      <c r="E1" s="6"/>
      <c r="F1" s="6"/>
      <c r="J1" s="6"/>
      <c r="K1" s="6"/>
      <c r="N1" s="3"/>
    </row>
    <row r="2" spans="1:15">
      <c r="B2" s="45" t="s">
        <v>24</v>
      </c>
      <c r="C2" s="45" t="s">
        <v>24</v>
      </c>
      <c r="D2" s="45" t="s">
        <v>24</v>
      </c>
      <c r="E2" s="45" t="s">
        <v>24</v>
      </c>
      <c r="F2" s="45" t="s">
        <v>24</v>
      </c>
      <c r="G2" s="45" t="s">
        <v>24</v>
      </c>
      <c r="H2" s="45" t="s">
        <v>24</v>
      </c>
      <c r="I2" s="45" t="s">
        <v>24</v>
      </c>
      <c r="J2" s="45" t="s">
        <v>24</v>
      </c>
      <c r="K2" s="45" t="s">
        <v>24</v>
      </c>
      <c r="L2" s="45" t="s">
        <v>24</v>
      </c>
      <c r="M2" s="45" t="s">
        <v>24</v>
      </c>
      <c r="N2" s="55" t="s">
        <v>25</v>
      </c>
    </row>
    <row r="3" spans="1:15" s="5" customFormat="1">
      <c r="B3" s="11">
        <v>42553</v>
      </c>
      <c r="C3" s="11">
        <v>42584</v>
      </c>
      <c r="D3" s="11">
        <v>42615</v>
      </c>
      <c r="E3" s="11">
        <v>42645</v>
      </c>
      <c r="F3" s="11">
        <v>42676</v>
      </c>
      <c r="G3" s="11">
        <v>42706</v>
      </c>
      <c r="H3" s="11">
        <v>42737</v>
      </c>
      <c r="I3" s="11">
        <v>42768</v>
      </c>
      <c r="J3" s="11">
        <v>42796</v>
      </c>
      <c r="K3" s="11">
        <v>42827</v>
      </c>
      <c r="L3" s="11">
        <v>42857</v>
      </c>
      <c r="M3" s="11">
        <v>42888</v>
      </c>
      <c r="N3" s="57" t="s">
        <v>77</v>
      </c>
    </row>
    <row r="4" spans="1:15" hidden="1">
      <c r="A4" s="1" t="s">
        <v>27</v>
      </c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>
        <f>SUM(B4:M4)</f>
        <v>0</v>
      </c>
      <c r="O4" s="6"/>
    </row>
    <row r="5" spans="1:15" s="6" customFormat="1" hidden="1">
      <c r="A5" s="6" t="s">
        <v>28</v>
      </c>
      <c r="B5" s="53">
        <v>1199482</v>
      </c>
      <c r="C5" s="53">
        <v>4828670</v>
      </c>
      <c r="D5" s="53">
        <v>3749028</v>
      </c>
      <c r="E5" s="53">
        <v>3546355</v>
      </c>
      <c r="F5" s="53">
        <v>2585168</v>
      </c>
      <c r="G5" s="53">
        <v>2443265</v>
      </c>
      <c r="H5" s="53">
        <v>3426560</v>
      </c>
      <c r="I5" s="53">
        <v>3501507</v>
      </c>
      <c r="J5" s="53">
        <v>3214307</v>
      </c>
      <c r="K5" s="53">
        <v>3269506</v>
      </c>
      <c r="L5" s="53">
        <v>3081873</v>
      </c>
      <c r="M5" s="53">
        <v>1454183</v>
      </c>
      <c r="N5" s="12">
        <f>SUM(B5:M5)</f>
        <v>36299904</v>
      </c>
    </row>
    <row r="6" spans="1:15" s="6" customFormat="1" hidden="1">
      <c r="A6" s="6" t="s">
        <v>29</v>
      </c>
      <c r="B6" s="53">
        <v>54104</v>
      </c>
      <c r="C6" s="53">
        <v>50888</v>
      </c>
      <c r="D6" s="53">
        <v>47975</v>
      </c>
      <c r="E6" s="53">
        <v>339053</v>
      </c>
      <c r="F6" s="53">
        <v>50128</v>
      </c>
      <c r="G6" s="53">
        <v>100915</v>
      </c>
      <c r="H6" s="53">
        <v>55954</v>
      </c>
      <c r="I6" s="53">
        <v>64066</v>
      </c>
      <c r="J6" s="53">
        <v>70594</v>
      </c>
      <c r="K6" s="53">
        <v>572765</v>
      </c>
      <c r="L6" s="53">
        <v>188411</v>
      </c>
      <c r="M6" s="53">
        <v>169551</v>
      </c>
      <c r="N6" s="7">
        <f>SUM(B6:M6)</f>
        <v>1764404</v>
      </c>
    </row>
    <row r="7" spans="1:15" s="6" customFormat="1" hidden="1">
      <c r="B7" s="7"/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7">
        <f>SUM(B7:M7)</f>
        <v>0</v>
      </c>
    </row>
    <row r="8" spans="1:15" s="6" customFormat="1" hidden="1">
      <c r="B8" s="15"/>
      <c r="C8" s="15"/>
      <c r="D8" s="15"/>
      <c r="E8" s="15"/>
      <c r="F8" s="15"/>
      <c r="G8" s="15"/>
      <c r="H8" s="15"/>
      <c r="I8" s="15"/>
      <c r="J8" s="15"/>
      <c r="K8" s="15"/>
      <c r="L8" s="15"/>
      <c r="M8" s="15"/>
      <c r="N8" s="15">
        <f>SUM(B8:M8)</f>
        <v>0</v>
      </c>
    </row>
    <row r="9" spans="1:15" s="6" customFormat="1">
      <c r="A9" s="13" t="s">
        <v>30</v>
      </c>
      <c r="B9" s="12">
        <f t="shared" ref="B9:N9" si="0">SUM(B5:B8)</f>
        <v>1253586</v>
      </c>
      <c r="C9" s="12">
        <f t="shared" si="0"/>
        <v>4879558</v>
      </c>
      <c r="D9" s="12">
        <f t="shared" si="0"/>
        <v>3797003</v>
      </c>
      <c r="E9" s="12">
        <v>3546355</v>
      </c>
      <c r="F9" s="12">
        <f t="shared" si="0"/>
        <v>2635296</v>
      </c>
      <c r="G9" s="12">
        <f t="shared" si="0"/>
        <v>2544180</v>
      </c>
      <c r="H9" s="12">
        <f t="shared" si="0"/>
        <v>3482514</v>
      </c>
      <c r="I9" s="12">
        <f t="shared" si="0"/>
        <v>3565573</v>
      </c>
      <c r="J9" s="12">
        <f t="shared" si="0"/>
        <v>3284901</v>
      </c>
      <c r="K9" s="12">
        <f t="shared" si="0"/>
        <v>3842271</v>
      </c>
      <c r="L9" s="12">
        <f t="shared" si="0"/>
        <v>3270284</v>
      </c>
      <c r="M9" s="12">
        <f t="shared" si="0"/>
        <v>1623734</v>
      </c>
      <c r="N9" s="12">
        <f t="shared" si="0"/>
        <v>38064308</v>
      </c>
    </row>
    <row r="10" spans="1:15" s="6" customFormat="1" ht="6.75" customHeight="1"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</row>
    <row r="11" spans="1:15" s="6" customFormat="1">
      <c r="A11" s="13" t="s">
        <v>31</v>
      </c>
      <c r="B11" s="7">
        <v>7663</v>
      </c>
      <c r="C11" s="7">
        <v>2297</v>
      </c>
      <c r="D11" s="7">
        <v>6582</v>
      </c>
      <c r="E11" s="7">
        <v>62</v>
      </c>
      <c r="F11" s="7">
        <f>5776-5686</f>
        <v>90</v>
      </c>
      <c r="G11" s="7">
        <v>2997</v>
      </c>
      <c r="H11" s="7">
        <f>13058-6989</f>
        <v>6069</v>
      </c>
      <c r="I11" s="7">
        <f>9542-7182</f>
        <v>2360</v>
      </c>
      <c r="J11" s="7">
        <f>11101-10718</f>
        <v>383</v>
      </c>
      <c r="K11" s="7">
        <v>0</v>
      </c>
      <c r="L11" s="7">
        <f>65790-7577</f>
        <v>58213</v>
      </c>
      <c r="M11" s="7">
        <f>57030-9443</f>
        <v>47587</v>
      </c>
      <c r="N11" s="7">
        <f>SUM(B11:M11)</f>
        <v>134303</v>
      </c>
    </row>
    <row r="12" spans="1:15" s="6" customFormat="1" ht="7.5" customHeight="1">
      <c r="B12" s="7"/>
      <c r="C12" s="7"/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</row>
    <row r="13" spans="1:15" s="6" customFormat="1" ht="13.5" thickBot="1">
      <c r="A13" s="13" t="s">
        <v>32</v>
      </c>
      <c r="B13" s="14">
        <f t="shared" ref="B13:N13" si="1">B9+B11</f>
        <v>1261249</v>
      </c>
      <c r="C13" s="14">
        <f>C9+C11</f>
        <v>4881855</v>
      </c>
      <c r="D13" s="14">
        <f t="shared" si="1"/>
        <v>3803585</v>
      </c>
      <c r="E13" s="14">
        <f t="shared" si="1"/>
        <v>3546417</v>
      </c>
      <c r="F13" s="14">
        <f t="shared" si="1"/>
        <v>2635386</v>
      </c>
      <c r="G13" s="14">
        <f t="shared" si="1"/>
        <v>2547177</v>
      </c>
      <c r="H13" s="14">
        <f t="shared" si="1"/>
        <v>3488583</v>
      </c>
      <c r="I13" s="14">
        <f t="shared" si="1"/>
        <v>3567933</v>
      </c>
      <c r="J13" s="14">
        <f t="shared" si="1"/>
        <v>3285284</v>
      </c>
      <c r="K13" s="14">
        <f t="shared" si="1"/>
        <v>3842271</v>
      </c>
      <c r="L13" s="14">
        <f t="shared" si="1"/>
        <v>3328497</v>
      </c>
      <c r="M13" s="14">
        <f t="shared" si="1"/>
        <v>1671321</v>
      </c>
      <c r="N13" s="14">
        <f t="shared" si="1"/>
        <v>38198611</v>
      </c>
    </row>
    <row r="14" spans="1:15" s="6" customFormat="1" ht="13.5" thickTop="1">
      <c r="B14" s="7"/>
      <c r="C14" s="7"/>
      <c r="D14" s="7"/>
      <c r="E14" s="7"/>
      <c r="F14" s="7"/>
      <c r="G14" s="7"/>
      <c r="H14" s="7"/>
      <c r="I14" s="7"/>
      <c r="J14" s="7"/>
      <c r="K14" s="7"/>
      <c r="L14" s="7"/>
      <c r="M14" s="7"/>
    </row>
    <row r="15" spans="1:15" s="6" customFormat="1" hidden="1">
      <c r="A15" s="13" t="s">
        <v>33</v>
      </c>
      <c r="B15" s="7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</row>
    <row r="16" spans="1:15" s="6" customFormat="1" hidden="1">
      <c r="A16" s="6" t="s">
        <v>34</v>
      </c>
      <c r="B16" s="53">
        <v>620285</v>
      </c>
      <c r="C16" s="53">
        <v>2968543</v>
      </c>
      <c r="D16" s="53">
        <v>1627085</v>
      </c>
      <c r="E16" s="53">
        <v>1339249</v>
      </c>
      <c r="F16" s="53">
        <v>866632</v>
      </c>
      <c r="G16" s="53">
        <v>917825</v>
      </c>
      <c r="H16" s="53">
        <v>2106719</v>
      </c>
      <c r="I16" s="53">
        <v>1431976</v>
      </c>
      <c r="J16" s="53">
        <v>1168366</v>
      </c>
      <c r="K16" s="53">
        <v>1344740</v>
      </c>
      <c r="L16" s="53">
        <v>1147849</v>
      </c>
      <c r="M16" s="53">
        <v>900877</v>
      </c>
      <c r="N16" s="7">
        <f>SUM(B16:M16)</f>
        <v>16440146</v>
      </c>
    </row>
    <row r="17" spans="1:44" s="6" customFormat="1" hidden="1">
      <c r="B17" s="27"/>
      <c r="C17" s="27"/>
      <c r="D17" s="27"/>
      <c r="E17" s="27"/>
      <c r="F17" s="27"/>
      <c r="G17" s="27"/>
      <c r="H17" s="27"/>
      <c r="I17" s="27"/>
      <c r="J17" s="27"/>
      <c r="K17" s="27"/>
      <c r="L17" s="27"/>
      <c r="M17" s="27"/>
      <c r="N17" s="7">
        <f>SUM(B17:M17)</f>
        <v>0</v>
      </c>
    </row>
    <row r="18" spans="1:44" s="6" customFormat="1" hidden="1">
      <c r="B18" s="7"/>
      <c r="C18" s="7"/>
      <c r="D18" s="7"/>
      <c r="E18" s="7"/>
      <c r="F18" s="7"/>
      <c r="G18" s="7"/>
      <c r="H18" s="7"/>
      <c r="I18" s="7"/>
      <c r="J18" s="7"/>
      <c r="K18" s="7"/>
      <c r="L18" s="7"/>
      <c r="M18" s="7"/>
      <c r="N18" s="7">
        <v>0</v>
      </c>
    </row>
    <row r="19" spans="1:44" s="6" customFormat="1" hidden="1">
      <c r="B19" s="15"/>
      <c r="C19" s="15"/>
      <c r="D19" s="15"/>
      <c r="E19" s="15"/>
      <c r="F19" s="15"/>
      <c r="G19" s="15"/>
      <c r="H19" s="15"/>
      <c r="I19" s="15"/>
      <c r="J19" s="15"/>
      <c r="K19" s="15"/>
      <c r="L19" s="15"/>
      <c r="M19" s="15"/>
      <c r="N19" s="15">
        <f>SUM(B19:M19)</f>
        <v>0</v>
      </c>
    </row>
    <row r="20" spans="1:44" s="6" customFormat="1">
      <c r="A20" s="13" t="s">
        <v>35</v>
      </c>
      <c r="B20" s="12">
        <f t="shared" ref="B20:N20" si="2">SUM(B16:B19)</f>
        <v>620285</v>
      </c>
      <c r="C20" s="12">
        <f t="shared" si="2"/>
        <v>2968543</v>
      </c>
      <c r="D20" s="12">
        <f t="shared" si="2"/>
        <v>1627085</v>
      </c>
      <c r="E20" s="12">
        <f t="shared" si="2"/>
        <v>1339249</v>
      </c>
      <c r="F20" s="12">
        <f t="shared" si="2"/>
        <v>866632</v>
      </c>
      <c r="G20" s="12">
        <f t="shared" si="2"/>
        <v>917825</v>
      </c>
      <c r="H20" s="12">
        <f t="shared" si="2"/>
        <v>2106719</v>
      </c>
      <c r="I20" s="12">
        <f t="shared" si="2"/>
        <v>1431976</v>
      </c>
      <c r="J20" s="12">
        <f t="shared" si="2"/>
        <v>1168366</v>
      </c>
      <c r="K20" s="12">
        <f t="shared" si="2"/>
        <v>1344740</v>
      </c>
      <c r="L20" s="12">
        <f t="shared" si="2"/>
        <v>1147849</v>
      </c>
      <c r="M20" s="12">
        <f t="shared" si="2"/>
        <v>900877</v>
      </c>
      <c r="N20" s="12">
        <f t="shared" si="2"/>
        <v>16440146</v>
      </c>
    </row>
    <row r="21" spans="1:44" s="6" customFormat="1">
      <c r="B21" s="7"/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</row>
    <row r="22" spans="1:44" s="6" customFormat="1" hidden="1">
      <c r="A22" s="13" t="s">
        <v>36</v>
      </c>
      <c r="B22" s="7"/>
      <c r="C22" s="7"/>
      <c r="D22" s="7"/>
      <c r="E22" s="7"/>
      <c r="F22" s="7"/>
      <c r="G22" s="7"/>
      <c r="H22" s="7"/>
      <c r="I22" s="7"/>
      <c r="J22" s="7"/>
      <c r="K22" s="7"/>
      <c r="L22" s="7"/>
      <c r="M22" s="7"/>
    </row>
    <row r="23" spans="1:44" s="6" customFormat="1" hidden="1">
      <c r="A23" s="6" t="s">
        <v>37</v>
      </c>
      <c r="B23" s="7">
        <f t="shared" ref="B23:M26" si="3">+B5-B16</f>
        <v>579197</v>
      </c>
      <c r="C23" s="7">
        <f t="shared" si="3"/>
        <v>1860127</v>
      </c>
      <c r="D23" s="7">
        <f t="shared" si="3"/>
        <v>2121943</v>
      </c>
      <c r="E23" s="7">
        <f t="shared" si="3"/>
        <v>2207106</v>
      </c>
      <c r="F23" s="7">
        <f t="shared" si="3"/>
        <v>1718536</v>
      </c>
      <c r="G23" s="7">
        <f t="shared" si="3"/>
        <v>1525440</v>
      </c>
      <c r="H23" s="7">
        <f t="shared" si="3"/>
        <v>1319841</v>
      </c>
      <c r="I23" s="7">
        <f t="shared" si="3"/>
        <v>2069531</v>
      </c>
      <c r="J23" s="7">
        <f t="shared" si="3"/>
        <v>2045941</v>
      </c>
      <c r="K23" s="7">
        <f t="shared" si="3"/>
        <v>1924766</v>
      </c>
      <c r="L23" s="7">
        <f t="shared" si="3"/>
        <v>1934024</v>
      </c>
      <c r="M23" s="7">
        <f t="shared" si="3"/>
        <v>553306</v>
      </c>
      <c r="N23" s="7">
        <f>SUM(B23:M23)</f>
        <v>19859758</v>
      </c>
    </row>
    <row r="24" spans="1:44" s="6" customFormat="1" hidden="1">
      <c r="A24" s="6" t="s">
        <v>37</v>
      </c>
      <c r="B24" s="7">
        <f t="shared" si="3"/>
        <v>54104</v>
      </c>
      <c r="C24" s="7">
        <f t="shared" si="3"/>
        <v>50888</v>
      </c>
      <c r="D24" s="7">
        <f t="shared" si="3"/>
        <v>47975</v>
      </c>
      <c r="E24" s="7">
        <f t="shared" si="3"/>
        <v>339053</v>
      </c>
      <c r="F24" s="7">
        <f t="shared" si="3"/>
        <v>50128</v>
      </c>
      <c r="G24" s="7">
        <f t="shared" si="3"/>
        <v>100915</v>
      </c>
      <c r="H24" s="7">
        <f t="shared" si="3"/>
        <v>55954</v>
      </c>
      <c r="I24" s="7">
        <f t="shared" si="3"/>
        <v>64066</v>
      </c>
      <c r="J24" s="7">
        <f t="shared" si="3"/>
        <v>70594</v>
      </c>
      <c r="K24" s="7">
        <f t="shared" si="3"/>
        <v>572765</v>
      </c>
      <c r="L24" s="7">
        <f t="shared" si="3"/>
        <v>188411</v>
      </c>
      <c r="M24" s="7">
        <f t="shared" si="3"/>
        <v>169551</v>
      </c>
      <c r="N24" s="7">
        <f>SUM(B24:M24)</f>
        <v>1764404</v>
      </c>
    </row>
    <row r="25" spans="1:44" s="6" customFormat="1" hidden="1">
      <c r="A25" s="6" t="s">
        <v>38</v>
      </c>
      <c r="B25" s="7">
        <f t="shared" si="3"/>
        <v>0</v>
      </c>
      <c r="C25" s="7">
        <f t="shared" si="3"/>
        <v>0</v>
      </c>
      <c r="D25" s="7">
        <f t="shared" si="3"/>
        <v>0</v>
      </c>
      <c r="E25" s="7">
        <f t="shared" si="3"/>
        <v>0</v>
      </c>
      <c r="F25" s="7">
        <f t="shared" si="3"/>
        <v>0</v>
      </c>
      <c r="G25" s="7">
        <f t="shared" si="3"/>
        <v>0</v>
      </c>
      <c r="H25" s="7">
        <f t="shared" si="3"/>
        <v>0</v>
      </c>
      <c r="I25" s="7">
        <f t="shared" si="3"/>
        <v>0</v>
      </c>
      <c r="J25" s="7">
        <f t="shared" si="3"/>
        <v>0</v>
      </c>
      <c r="K25" s="7">
        <f t="shared" si="3"/>
        <v>0</v>
      </c>
      <c r="L25" s="7">
        <f t="shared" si="3"/>
        <v>0</v>
      </c>
      <c r="M25" s="7">
        <f t="shared" si="3"/>
        <v>0</v>
      </c>
      <c r="N25" s="7">
        <f>SUM(B25:M25)</f>
        <v>0</v>
      </c>
    </row>
    <row r="26" spans="1:44" s="6" customFormat="1" hidden="1">
      <c r="A26" s="6" t="s">
        <v>38</v>
      </c>
      <c r="B26" s="15">
        <f t="shared" si="3"/>
        <v>0</v>
      </c>
      <c r="C26" s="15">
        <f t="shared" si="3"/>
        <v>0</v>
      </c>
      <c r="D26" s="15">
        <f t="shared" si="3"/>
        <v>0</v>
      </c>
      <c r="E26" s="15">
        <f t="shared" si="3"/>
        <v>0</v>
      </c>
      <c r="F26" s="15">
        <f t="shared" si="3"/>
        <v>0</v>
      </c>
      <c r="G26" s="15">
        <f t="shared" si="3"/>
        <v>0</v>
      </c>
      <c r="H26" s="15">
        <f t="shared" si="3"/>
        <v>0</v>
      </c>
      <c r="I26" s="15">
        <f t="shared" si="3"/>
        <v>0</v>
      </c>
      <c r="J26" s="15">
        <f t="shared" si="3"/>
        <v>0</v>
      </c>
      <c r="K26" s="15">
        <f t="shared" si="3"/>
        <v>0</v>
      </c>
      <c r="L26" s="15">
        <f t="shared" si="3"/>
        <v>0</v>
      </c>
      <c r="M26" s="15">
        <f t="shared" si="3"/>
        <v>0</v>
      </c>
      <c r="N26" s="15">
        <f>SUM(B26:M26)</f>
        <v>0</v>
      </c>
    </row>
    <row r="27" spans="1:44" s="6" customFormat="1">
      <c r="A27" s="13" t="s">
        <v>39</v>
      </c>
      <c r="B27" s="12">
        <f t="shared" ref="B27:N27" si="4">SUM(B23:B26)</f>
        <v>633301</v>
      </c>
      <c r="C27" s="12">
        <f t="shared" si="4"/>
        <v>1911015</v>
      </c>
      <c r="D27" s="12">
        <f t="shared" si="4"/>
        <v>2169918</v>
      </c>
      <c r="E27" s="12">
        <f t="shared" si="4"/>
        <v>2546159</v>
      </c>
      <c r="F27" s="12">
        <f t="shared" si="4"/>
        <v>1768664</v>
      </c>
      <c r="G27" s="12">
        <f t="shared" si="4"/>
        <v>1626355</v>
      </c>
      <c r="H27" s="12">
        <f t="shared" si="4"/>
        <v>1375795</v>
      </c>
      <c r="I27" s="12">
        <f t="shared" si="4"/>
        <v>2133597</v>
      </c>
      <c r="J27" s="12">
        <f t="shared" si="4"/>
        <v>2116535</v>
      </c>
      <c r="K27" s="12">
        <f t="shared" si="4"/>
        <v>2497531</v>
      </c>
      <c r="L27" s="12">
        <f t="shared" si="4"/>
        <v>2122435</v>
      </c>
      <c r="M27" s="12">
        <f>SUM(M23:M26)</f>
        <v>722857</v>
      </c>
      <c r="N27" s="12">
        <f t="shared" si="4"/>
        <v>21624162</v>
      </c>
    </row>
    <row r="28" spans="1:44" s="6" customFormat="1">
      <c r="B28" s="7"/>
      <c r="C28" s="7"/>
      <c r="D28" s="7"/>
      <c r="E28" s="7"/>
      <c r="F28" s="7"/>
      <c r="G28" s="7"/>
      <c r="H28" s="7"/>
      <c r="I28" s="7"/>
      <c r="J28" s="7"/>
      <c r="K28" s="7"/>
      <c r="L28" s="7"/>
      <c r="M28" s="7"/>
    </row>
    <row r="29" spans="1:44" s="6" customFormat="1" hidden="1">
      <c r="A29" s="13" t="s">
        <v>40</v>
      </c>
      <c r="B29" s="7"/>
      <c r="C29" s="7"/>
      <c r="D29" s="7"/>
      <c r="E29" s="7"/>
      <c r="F29" s="7"/>
      <c r="G29" s="7"/>
      <c r="H29" s="7"/>
      <c r="I29" s="7"/>
      <c r="J29" s="7"/>
      <c r="K29" s="7"/>
      <c r="L29" s="7"/>
      <c r="M29" s="7"/>
    </row>
    <row r="30" spans="1:44" s="6" customFormat="1" hidden="1">
      <c r="A30" s="6" t="s">
        <v>41</v>
      </c>
      <c r="B30" s="53">
        <v>392880</v>
      </c>
      <c r="C30" s="53">
        <v>559131</v>
      </c>
      <c r="D30" s="53">
        <v>664356</v>
      </c>
      <c r="E30" s="53">
        <v>808302</v>
      </c>
      <c r="F30" s="53">
        <v>577909</v>
      </c>
      <c r="G30" s="53">
        <v>554216</v>
      </c>
      <c r="H30" s="53">
        <v>599925</v>
      </c>
      <c r="I30" s="53">
        <v>700444</v>
      </c>
      <c r="J30" s="53">
        <v>675949</v>
      </c>
      <c r="K30" s="53">
        <v>733042</v>
      </c>
      <c r="L30" s="53">
        <v>638064</v>
      </c>
      <c r="M30" s="53">
        <v>530547</v>
      </c>
      <c r="N30" s="7">
        <f>SUM(B30:M30)</f>
        <v>7434765</v>
      </c>
    </row>
    <row r="31" spans="1:44" s="6" customFormat="1" hidden="1">
      <c r="A31" s="6" t="s">
        <v>42</v>
      </c>
      <c r="B31" s="53">
        <v>216187</v>
      </c>
      <c r="C31" s="53">
        <v>190413</v>
      </c>
      <c r="D31" s="53">
        <v>232147</v>
      </c>
      <c r="E31" s="53">
        <v>210938</v>
      </c>
      <c r="F31" s="53">
        <v>193412</v>
      </c>
      <c r="G31" s="53">
        <v>167260</v>
      </c>
      <c r="H31" s="53">
        <v>226827</v>
      </c>
      <c r="I31" s="53">
        <v>203520</v>
      </c>
      <c r="J31" s="53">
        <v>211437</v>
      </c>
      <c r="K31" s="53">
        <v>188816</v>
      </c>
      <c r="L31" s="53">
        <v>104234</v>
      </c>
      <c r="M31" s="53">
        <v>170711</v>
      </c>
      <c r="N31" s="7">
        <f>SUM(B31:M31)</f>
        <v>2315902</v>
      </c>
    </row>
    <row r="32" spans="1:44" s="6" customFormat="1" ht="15" hidden="1">
      <c r="A32" s="6" t="s">
        <v>38</v>
      </c>
      <c r="B32" s="65"/>
      <c r="C32" s="65"/>
      <c r="D32" s="65"/>
      <c r="E32" s="65"/>
      <c r="F32" s="68"/>
      <c r="G32" s="68"/>
      <c r="H32" s="68"/>
      <c r="I32" s="68"/>
      <c r="J32" s="68"/>
      <c r="K32" s="68"/>
      <c r="L32" s="68"/>
      <c r="M32" s="68"/>
      <c r="N32" s="7">
        <f>SUM(B32:M32)</f>
        <v>0</v>
      </c>
      <c r="P32" s="6">
        <f>+B32*-1</f>
        <v>0</v>
      </c>
      <c r="Q32" s="6">
        <f t="shared" ref="Q32:AF33" si="5">+C32*-1</f>
        <v>0</v>
      </c>
      <c r="R32" s="6">
        <f t="shared" si="5"/>
        <v>0</v>
      </c>
      <c r="S32" s="6">
        <f t="shared" si="5"/>
        <v>0</v>
      </c>
      <c r="T32" s="6">
        <f t="shared" si="5"/>
        <v>0</v>
      </c>
      <c r="U32" s="6">
        <f t="shared" si="5"/>
        <v>0</v>
      </c>
      <c r="V32" s="6">
        <f t="shared" si="5"/>
        <v>0</v>
      </c>
      <c r="W32" s="6">
        <f t="shared" si="5"/>
        <v>0</v>
      </c>
      <c r="X32" s="6">
        <f t="shared" si="5"/>
        <v>0</v>
      </c>
      <c r="Y32" s="6">
        <f t="shared" si="5"/>
        <v>0</v>
      </c>
      <c r="Z32" s="6">
        <f t="shared" si="5"/>
        <v>0</v>
      </c>
      <c r="AA32" s="6">
        <f t="shared" si="5"/>
        <v>0</v>
      </c>
      <c r="AB32" s="6">
        <f t="shared" si="5"/>
        <v>0</v>
      </c>
      <c r="AC32" s="6">
        <f t="shared" si="5"/>
        <v>0</v>
      </c>
      <c r="AD32" s="6">
        <f t="shared" si="5"/>
        <v>0</v>
      </c>
      <c r="AE32" s="6">
        <f t="shared" si="5"/>
        <v>0</v>
      </c>
      <c r="AF32" s="6">
        <f t="shared" si="5"/>
        <v>0</v>
      </c>
      <c r="AG32" s="6">
        <f t="shared" ref="AG32:AR33" si="6">+S32*-1</f>
        <v>0</v>
      </c>
      <c r="AH32" s="6">
        <f t="shared" si="6"/>
        <v>0</v>
      </c>
      <c r="AI32" s="6">
        <f t="shared" si="6"/>
        <v>0</v>
      </c>
      <c r="AJ32" s="6">
        <f t="shared" si="6"/>
        <v>0</v>
      </c>
      <c r="AK32" s="6">
        <f t="shared" si="6"/>
        <v>0</v>
      </c>
      <c r="AL32" s="6">
        <f t="shared" si="6"/>
        <v>0</v>
      </c>
      <c r="AM32" s="6">
        <f t="shared" si="6"/>
        <v>0</v>
      </c>
      <c r="AN32" s="6">
        <f t="shared" si="6"/>
        <v>0</v>
      </c>
      <c r="AO32" s="6">
        <f t="shared" si="6"/>
        <v>0</v>
      </c>
      <c r="AP32" s="6">
        <f t="shared" si="6"/>
        <v>0</v>
      </c>
      <c r="AQ32" s="6">
        <f t="shared" si="6"/>
        <v>0</v>
      </c>
      <c r="AR32" s="6">
        <f t="shared" si="6"/>
        <v>0</v>
      </c>
    </row>
    <row r="33" spans="1:44" s="6" customFormat="1" hidden="1">
      <c r="B33" s="15"/>
      <c r="C33" s="15"/>
      <c r="D33" s="15"/>
      <c r="E33" s="15"/>
      <c r="F33" s="15"/>
      <c r="G33" s="15"/>
      <c r="H33" s="15"/>
      <c r="I33" s="15"/>
      <c r="J33" s="15"/>
      <c r="K33" s="15"/>
      <c r="L33" s="15"/>
      <c r="M33" s="15"/>
      <c r="N33" s="15">
        <f>SUM(B33:M33)</f>
        <v>0</v>
      </c>
      <c r="Q33" s="6">
        <f t="shared" si="5"/>
        <v>0</v>
      </c>
      <c r="R33" s="6">
        <f t="shared" si="5"/>
        <v>0</v>
      </c>
      <c r="S33" s="6">
        <f t="shared" si="5"/>
        <v>0</v>
      </c>
      <c r="T33" s="6">
        <f t="shared" si="5"/>
        <v>0</v>
      </c>
      <c r="U33" s="6">
        <f t="shared" si="5"/>
        <v>0</v>
      </c>
      <c r="V33" s="6">
        <f t="shared" si="5"/>
        <v>0</v>
      </c>
      <c r="W33" s="6">
        <f t="shared" si="5"/>
        <v>0</v>
      </c>
      <c r="X33" s="6">
        <f t="shared" si="5"/>
        <v>0</v>
      </c>
      <c r="Y33" s="6">
        <f t="shared" si="5"/>
        <v>0</v>
      </c>
      <c r="Z33" s="6">
        <f t="shared" si="5"/>
        <v>0</v>
      </c>
      <c r="AA33" s="6">
        <f t="shared" si="5"/>
        <v>0</v>
      </c>
      <c r="AB33" s="6">
        <f t="shared" si="5"/>
        <v>0</v>
      </c>
      <c r="AC33" s="6">
        <f t="shared" si="5"/>
        <v>0</v>
      </c>
      <c r="AD33" s="6">
        <f t="shared" si="5"/>
        <v>0</v>
      </c>
      <c r="AE33" s="6">
        <f t="shared" si="5"/>
        <v>0</v>
      </c>
      <c r="AF33" s="6">
        <f t="shared" si="5"/>
        <v>0</v>
      </c>
      <c r="AG33" s="6">
        <f t="shared" si="6"/>
        <v>0</v>
      </c>
      <c r="AH33" s="6">
        <f t="shared" si="6"/>
        <v>0</v>
      </c>
      <c r="AI33" s="6">
        <f t="shared" si="6"/>
        <v>0</v>
      </c>
      <c r="AJ33" s="6">
        <f t="shared" si="6"/>
        <v>0</v>
      </c>
      <c r="AK33" s="6">
        <f t="shared" si="6"/>
        <v>0</v>
      </c>
      <c r="AL33" s="6">
        <f t="shared" si="6"/>
        <v>0</v>
      </c>
      <c r="AM33" s="6">
        <f t="shared" si="6"/>
        <v>0</v>
      </c>
      <c r="AN33" s="6">
        <f t="shared" si="6"/>
        <v>0</v>
      </c>
      <c r="AO33" s="6">
        <f t="shared" si="6"/>
        <v>0</v>
      </c>
      <c r="AP33" s="6">
        <f t="shared" si="6"/>
        <v>0</v>
      </c>
      <c r="AQ33" s="6">
        <f t="shared" si="6"/>
        <v>0</v>
      </c>
      <c r="AR33" s="6">
        <f t="shared" si="6"/>
        <v>0</v>
      </c>
    </row>
    <row r="34" spans="1:44" s="6" customFormat="1">
      <c r="A34" s="13" t="s">
        <v>43</v>
      </c>
      <c r="B34" s="12">
        <f t="shared" ref="B34:N34" si="7">SUM(B30:B33)</f>
        <v>609067</v>
      </c>
      <c r="C34" s="12">
        <f t="shared" si="7"/>
        <v>749544</v>
      </c>
      <c r="D34" s="12">
        <f t="shared" si="7"/>
        <v>896503</v>
      </c>
      <c r="E34" s="12">
        <f t="shared" si="7"/>
        <v>1019240</v>
      </c>
      <c r="F34" s="12">
        <f t="shared" si="7"/>
        <v>771321</v>
      </c>
      <c r="G34" s="12">
        <f t="shared" si="7"/>
        <v>721476</v>
      </c>
      <c r="H34" s="12">
        <f t="shared" si="7"/>
        <v>826752</v>
      </c>
      <c r="I34" s="12">
        <f t="shared" si="7"/>
        <v>903964</v>
      </c>
      <c r="J34" s="12">
        <f t="shared" si="7"/>
        <v>887386</v>
      </c>
      <c r="K34" s="12">
        <f t="shared" si="7"/>
        <v>921858</v>
      </c>
      <c r="L34" s="12">
        <f t="shared" si="7"/>
        <v>742298</v>
      </c>
      <c r="M34" s="12">
        <f t="shared" si="7"/>
        <v>701258</v>
      </c>
      <c r="N34" s="12">
        <f t="shared" si="7"/>
        <v>9750667</v>
      </c>
      <c r="O34" s="7"/>
    </row>
    <row r="35" spans="1:44" s="6" customFormat="1">
      <c r="B35" s="7"/>
      <c r="C35" s="7"/>
      <c r="D35" s="7"/>
      <c r="E35" s="7"/>
      <c r="F35" s="7"/>
      <c r="G35" s="7"/>
      <c r="H35" s="7"/>
      <c r="I35" s="7"/>
      <c r="J35" s="7"/>
      <c r="K35" s="7"/>
      <c r="L35" s="7"/>
      <c r="M35" s="7"/>
    </row>
    <row r="36" spans="1:44" s="6" customFormat="1" hidden="1">
      <c r="A36" s="13" t="s">
        <v>44</v>
      </c>
      <c r="B36" s="7"/>
      <c r="C36" s="7"/>
      <c r="D36" s="7"/>
      <c r="E36" s="7"/>
      <c r="F36" s="7"/>
      <c r="G36" s="7"/>
      <c r="H36" s="7"/>
      <c r="I36" s="7"/>
      <c r="J36" s="7"/>
      <c r="K36" s="7"/>
      <c r="L36" s="7"/>
      <c r="M36" s="7"/>
    </row>
    <row r="37" spans="1:44" s="6" customFormat="1" hidden="1">
      <c r="A37" s="6" t="s">
        <v>45</v>
      </c>
      <c r="B37" s="53">
        <v>957334</v>
      </c>
      <c r="C37" s="53">
        <v>1284431</v>
      </c>
      <c r="D37" s="53">
        <v>1445140</v>
      </c>
      <c r="E37" s="53">
        <v>1605674</v>
      </c>
      <c r="F37" s="53">
        <v>1524417</v>
      </c>
      <c r="G37" s="66">
        <v>1260096</v>
      </c>
      <c r="H37" s="66">
        <v>1231421</v>
      </c>
      <c r="I37" s="66">
        <v>1441090</v>
      </c>
      <c r="J37" s="66">
        <v>1481996</v>
      </c>
      <c r="K37" s="53">
        <v>1658913</v>
      </c>
      <c r="L37" s="53">
        <v>1366856.0727674812</v>
      </c>
      <c r="M37" s="53">
        <v>1103056</v>
      </c>
      <c r="N37" s="7">
        <f>SUM(B37:M37)</f>
        <v>16360424.072767481</v>
      </c>
      <c r="O37" s="53"/>
      <c r="P37" s="62"/>
    </row>
    <row r="38" spans="1:44" s="6" customFormat="1" hidden="1">
      <c r="A38" s="6" t="s">
        <v>46</v>
      </c>
      <c r="B38" s="7">
        <f>-B34</f>
        <v>-609067</v>
      </c>
      <c r="C38" s="7">
        <f t="shared" ref="C38:M38" si="8">-C34</f>
        <v>-749544</v>
      </c>
      <c r="D38" s="7">
        <f t="shared" si="8"/>
        <v>-896503</v>
      </c>
      <c r="E38" s="7">
        <f t="shared" si="8"/>
        <v>-1019240</v>
      </c>
      <c r="F38" s="7">
        <f t="shared" si="8"/>
        <v>-771321</v>
      </c>
      <c r="G38" s="7">
        <f t="shared" si="8"/>
        <v>-721476</v>
      </c>
      <c r="H38" s="7">
        <f t="shared" si="8"/>
        <v>-826752</v>
      </c>
      <c r="I38" s="7">
        <f t="shared" si="8"/>
        <v>-903964</v>
      </c>
      <c r="J38" s="7">
        <f t="shared" si="8"/>
        <v>-887386</v>
      </c>
      <c r="K38" s="7">
        <f t="shared" si="8"/>
        <v>-921858</v>
      </c>
      <c r="L38" s="7">
        <f t="shared" si="8"/>
        <v>-742298</v>
      </c>
      <c r="M38" s="7">
        <f t="shared" si="8"/>
        <v>-701258</v>
      </c>
      <c r="N38" s="7">
        <f>SUM(B38:M38)</f>
        <v>-9750667</v>
      </c>
    </row>
    <row r="39" spans="1:44" s="6" customFormat="1" hidden="1">
      <c r="A39" s="6" t="s">
        <v>47</v>
      </c>
      <c r="B39" s="53">
        <v>-73369</v>
      </c>
      <c r="C39" s="53">
        <v>-72678</v>
      </c>
      <c r="D39" s="53">
        <v>-71948</v>
      </c>
      <c r="E39" s="53">
        <v>-72678</v>
      </c>
      <c r="F39" s="53">
        <v>-72867</v>
      </c>
      <c r="G39" s="53">
        <v>-72836</v>
      </c>
      <c r="H39" s="53">
        <v>-69729</v>
      </c>
      <c r="I39" s="53">
        <v>-69080</v>
      </c>
      <c r="J39" s="53">
        <v>-82065.061666666603</v>
      </c>
      <c r="K39" s="53">
        <v>-79458</v>
      </c>
      <c r="L39" s="53">
        <v>-81487</v>
      </c>
      <c r="M39" s="53">
        <v>-79753</v>
      </c>
      <c r="N39" s="7">
        <v>-971805.1199999993</v>
      </c>
    </row>
    <row r="40" spans="1:44" s="6" customFormat="1" hidden="1">
      <c r="A40" s="6" t="s">
        <v>78</v>
      </c>
      <c r="B40" s="53"/>
      <c r="C40" s="53"/>
      <c r="D40" s="53"/>
      <c r="E40" s="53"/>
      <c r="F40" s="53"/>
      <c r="G40" s="53"/>
      <c r="H40" s="53"/>
      <c r="I40" s="53"/>
      <c r="J40" s="53"/>
      <c r="K40" s="53"/>
      <c r="L40" s="53"/>
      <c r="M40" s="53"/>
      <c r="N40" s="7">
        <f>SUM(B40:M40)</f>
        <v>0</v>
      </c>
    </row>
    <row r="41" spans="1:44" s="6" customFormat="1" hidden="1">
      <c r="A41" s="6" t="s">
        <v>48</v>
      </c>
      <c r="B41" s="60">
        <v>-10663.666666666701</v>
      </c>
      <c r="C41" s="60">
        <v>-10663.666666666701</v>
      </c>
      <c r="D41" s="60">
        <v>-10663.666666666701</v>
      </c>
      <c r="E41" s="60">
        <v>-10663.666666666701</v>
      </c>
      <c r="F41" s="60">
        <v>-10663.666666666701</v>
      </c>
      <c r="G41" s="60">
        <v>-10663.666666666701</v>
      </c>
      <c r="H41" s="60">
        <v>-10663.666666666701</v>
      </c>
      <c r="I41" s="60">
        <v>-10663.666666666701</v>
      </c>
      <c r="J41" s="60">
        <v>-10664</v>
      </c>
      <c r="K41" s="60">
        <v>-10664</v>
      </c>
      <c r="L41" s="60">
        <v>-10664</v>
      </c>
      <c r="M41" s="60">
        <v>117300</v>
      </c>
      <c r="N41" s="15">
        <f>SUM(B41:M41)</f>
        <v>-1.3333333336049691</v>
      </c>
    </row>
    <row r="42" spans="1:44" s="6" customFormat="1">
      <c r="A42" s="13" t="s">
        <v>49</v>
      </c>
      <c r="B42" s="12">
        <f t="shared" ref="B42:N42" si="9">SUM(B37:B41)</f>
        <v>264234.33333333331</v>
      </c>
      <c r="C42" s="12">
        <f t="shared" si="9"/>
        <v>451545.33333333331</v>
      </c>
      <c r="D42" s="12">
        <f t="shared" si="9"/>
        <v>466025.33333333331</v>
      </c>
      <c r="E42" s="12">
        <f t="shared" si="9"/>
        <v>503092.33333333331</v>
      </c>
      <c r="F42" s="12">
        <f t="shared" si="9"/>
        <v>669565.33333333326</v>
      </c>
      <c r="G42" s="12">
        <f t="shared" si="9"/>
        <v>455120.33333333331</v>
      </c>
      <c r="H42" s="12">
        <f t="shared" si="9"/>
        <v>324276.33333333331</v>
      </c>
      <c r="I42" s="12">
        <f t="shared" si="9"/>
        <v>457382.33333333331</v>
      </c>
      <c r="J42" s="12">
        <f t="shared" si="9"/>
        <v>501880.93833333341</v>
      </c>
      <c r="K42" s="12">
        <f t="shared" si="9"/>
        <v>646933</v>
      </c>
      <c r="L42" s="12">
        <f t="shared" si="9"/>
        <v>532407.07276748121</v>
      </c>
      <c r="M42" s="12">
        <f t="shared" si="9"/>
        <v>439345</v>
      </c>
      <c r="N42" s="12">
        <f t="shared" si="9"/>
        <v>5637950.6194341481</v>
      </c>
    </row>
    <row r="43" spans="1:44">
      <c r="A43" s="1"/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2"/>
      <c r="N43" s="12"/>
      <c r="O43" s="6"/>
    </row>
    <row r="44" spans="1:44">
      <c r="A44" s="13" t="s">
        <v>50</v>
      </c>
      <c r="B44" s="53">
        <v>275362</v>
      </c>
      <c r="C44" s="53">
        <v>282653</v>
      </c>
      <c r="D44" s="53">
        <v>316557</v>
      </c>
      <c r="E44" s="53">
        <v>459677</v>
      </c>
      <c r="F44" s="53">
        <v>293116</v>
      </c>
      <c r="G44" s="53">
        <v>257165</v>
      </c>
      <c r="H44" s="53">
        <v>315444</v>
      </c>
      <c r="I44" s="53">
        <v>284299</v>
      </c>
      <c r="J44" s="53">
        <v>316356</v>
      </c>
      <c r="K44" s="53">
        <v>355383</v>
      </c>
      <c r="L44" s="53">
        <v>305310</v>
      </c>
      <c r="M44" s="53">
        <v>637691.65717914759</v>
      </c>
      <c r="N44" s="12">
        <f>SUM(B44:M44)</f>
        <v>4099013.6571791475</v>
      </c>
      <c r="O44" s="6"/>
    </row>
    <row r="45" spans="1:44">
      <c r="A45" s="6" t="s">
        <v>51</v>
      </c>
      <c r="B45" s="22">
        <v>0</v>
      </c>
      <c r="C45" s="22">
        <v>-10000</v>
      </c>
      <c r="D45" s="22">
        <v>-10000</v>
      </c>
      <c r="E45" s="22">
        <v>-10000</v>
      </c>
      <c r="F45" s="22">
        <v>-10000</v>
      </c>
      <c r="G45" s="22">
        <v>-10000</v>
      </c>
      <c r="H45" s="22">
        <v>-10000</v>
      </c>
      <c r="I45" s="22">
        <v>-10000</v>
      </c>
      <c r="J45" s="22">
        <v>-10000</v>
      </c>
      <c r="K45" s="22">
        <v>-10000</v>
      </c>
      <c r="L45" s="22">
        <v>-10000</v>
      </c>
      <c r="M45" s="22">
        <f>626522-783494-380000</f>
        <v>-536972</v>
      </c>
      <c r="N45" s="22">
        <f>SUM(B45:M45)</f>
        <v>-636972</v>
      </c>
      <c r="O45" s="6"/>
    </row>
    <row r="46" spans="1:44">
      <c r="A46" s="1" t="s">
        <v>50</v>
      </c>
      <c r="B46" s="12">
        <f>SUM(B44:B45)</f>
        <v>275362</v>
      </c>
      <c r="C46" s="12">
        <f>SUM(C44:C45)</f>
        <v>272653</v>
      </c>
      <c r="D46" s="12">
        <f t="shared" ref="D46:N46" si="10">SUM(D44:D45)</f>
        <v>306557</v>
      </c>
      <c r="E46" s="12">
        <f t="shared" si="10"/>
        <v>449677</v>
      </c>
      <c r="F46" s="12">
        <f t="shared" si="10"/>
        <v>283116</v>
      </c>
      <c r="G46" s="12">
        <f t="shared" si="10"/>
        <v>247165</v>
      </c>
      <c r="H46" s="12">
        <f t="shared" si="10"/>
        <v>305444</v>
      </c>
      <c r="I46" s="12">
        <f t="shared" si="10"/>
        <v>274299</v>
      </c>
      <c r="J46" s="12">
        <f t="shared" si="10"/>
        <v>306356</v>
      </c>
      <c r="K46" s="12">
        <f t="shared" si="10"/>
        <v>345383</v>
      </c>
      <c r="L46" s="12">
        <f t="shared" si="10"/>
        <v>295310</v>
      </c>
      <c r="M46" s="12">
        <f t="shared" si="10"/>
        <v>100719.65717914759</v>
      </c>
      <c r="N46" s="12">
        <f t="shared" si="10"/>
        <v>3462041.6571791475</v>
      </c>
      <c r="O46" s="6"/>
    </row>
    <row r="47" spans="1:44">
      <c r="B47" s="7"/>
      <c r="C47" s="7"/>
      <c r="D47" s="7"/>
      <c r="E47" s="7"/>
      <c r="F47" s="7"/>
      <c r="G47" s="7"/>
      <c r="H47" s="7"/>
      <c r="I47" s="7"/>
      <c r="J47" s="7"/>
      <c r="K47" s="6"/>
      <c r="L47" s="6"/>
      <c r="M47" s="6"/>
      <c r="N47" s="6"/>
      <c r="O47" s="6"/>
    </row>
    <row r="48" spans="1:44">
      <c r="A48" s="13" t="s">
        <v>52</v>
      </c>
      <c r="B48" s="19">
        <f t="shared" ref="B48:N48" si="11">+B20+B34+B42+B46</f>
        <v>1768948.3333333333</v>
      </c>
      <c r="C48" s="19">
        <f t="shared" si="11"/>
        <v>4442285.333333334</v>
      </c>
      <c r="D48" s="19">
        <f t="shared" si="11"/>
        <v>3296170.3333333335</v>
      </c>
      <c r="E48" s="19">
        <f t="shared" si="11"/>
        <v>3311258.3333333335</v>
      </c>
      <c r="F48" s="19">
        <f t="shared" si="11"/>
        <v>2590634.333333333</v>
      </c>
      <c r="G48" s="19">
        <f t="shared" si="11"/>
        <v>2341586.333333333</v>
      </c>
      <c r="H48" s="19">
        <f t="shared" si="11"/>
        <v>3563191.3333333335</v>
      </c>
      <c r="I48" s="19">
        <f t="shared" si="11"/>
        <v>3067621.3333333335</v>
      </c>
      <c r="J48" s="19">
        <f t="shared" si="11"/>
        <v>2863988.9383333335</v>
      </c>
      <c r="K48" s="19">
        <f t="shared" si="11"/>
        <v>3258914</v>
      </c>
      <c r="L48" s="19">
        <f t="shared" si="11"/>
        <v>2717864.0727674812</v>
      </c>
      <c r="M48" s="19">
        <f t="shared" si="11"/>
        <v>2142199.6571791475</v>
      </c>
      <c r="N48" s="19">
        <f t="shared" si="11"/>
        <v>35290805.276613295</v>
      </c>
      <c r="O48" s="6"/>
    </row>
    <row r="49" spans="1:17">
      <c r="B49" s="7"/>
      <c r="C49" s="7"/>
      <c r="D49" s="7"/>
      <c r="E49" s="7"/>
      <c r="F49" s="7"/>
      <c r="G49" s="7"/>
      <c r="H49" s="7"/>
      <c r="I49" s="7"/>
      <c r="J49" s="7"/>
      <c r="K49" s="6"/>
      <c r="L49" s="6"/>
      <c r="M49" s="6"/>
      <c r="N49" s="6"/>
      <c r="O49" s="6"/>
    </row>
    <row r="50" spans="1:17">
      <c r="A50" s="1" t="s">
        <v>53</v>
      </c>
      <c r="B50" s="12">
        <f t="shared" ref="B50:M50" si="12">+B13-B48</f>
        <v>-507699.33333333326</v>
      </c>
      <c r="C50" s="12">
        <f t="shared" si="12"/>
        <v>439569.66666666605</v>
      </c>
      <c r="D50" s="12">
        <f t="shared" si="12"/>
        <v>507414.66666666651</v>
      </c>
      <c r="E50" s="12">
        <f t="shared" si="12"/>
        <v>235158.66666666651</v>
      </c>
      <c r="F50" s="12">
        <f t="shared" si="12"/>
        <v>44751.666666666977</v>
      </c>
      <c r="G50" s="12">
        <f t="shared" si="12"/>
        <v>205590.66666666698</v>
      </c>
      <c r="H50" s="12">
        <f t="shared" si="12"/>
        <v>-74608.333333333489</v>
      </c>
      <c r="I50" s="12">
        <f t="shared" si="12"/>
        <v>500311.66666666651</v>
      </c>
      <c r="J50" s="12">
        <f t="shared" si="12"/>
        <v>421295.06166666653</v>
      </c>
      <c r="K50" s="12">
        <f t="shared" si="12"/>
        <v>583357</v>
      </c>
      <c r="L50" s="12">
        <f t="shared" si="12"/>
        <v>610632.92723251879</v>
      </c>
      <c r="M50" s="12">
        <f t="shared" si="12"/>
        <v>-470878.65717914747</v>
      </c>
      <c r="N50" s="12">
        <f>SUM(B50:M50)</f>
        <v>2494895.6650533709</v>
      </c>
      <c r="O50" s="6"/>
      <c r="P50" s="25"/>
    </row>
    <row r="51" spans="1:17" ht="7.5" customHeight="1">
      <c r="B51" s="7"/>
      <c r="C51" s="7"/>
      <c r="D51" s="7"/>
      <c r="E51" s="7"/>
      <c r="F51" s="7"/>
      <c r="G51" s="7"/>
      <c r="H51" s="7"/>
      <c r="I51" s="7"/>
      <c r="J51" s="7"/>
      <c r="K51" s="6"/>
      <c r="L51" s="6"/>
      <c r="M51" s="6"/>
      <c r="N51" s="6"/>
      <c r="O51" s="6"/>
    </row>
    <row r="52" spans="1:17">
      <c r="A52" s="1" t="s">
        <v>54</v>
      </c>
      <c r="B52" s="7"/>
      <c r="C52" s="7"/>
      <c r="D52" s="7"/>
      <c r="E52" s="7"/>
      <c r="F52" s="7"/>
      <c r="G52" s="7"/>
      <c r="H52" s="7"/>
      <c r="I52" s="7"/>
      <c r="J52" s="7"/>
      <c r="K52" s="6"/>
      <c r="L52" s="6"/>
      <c r="M52" s="6"/>
      <c r="N52" s="6"/>
      <c r="O52" s="6"/>
    </row>
    <row r="53" spans="1:17" s="6" customFormat="1">
      <c r="A53" s="6" t="s">
        <v>55</v>
      </c>
      <c r="B53" s="10">
        <v>24982</v>
      </c>
      <c r="C53" s="10">
        <v>358462</v>
      </c>
      <c r="D53" s="10">
        <v>50664</v>
      </c>
      <c r="E53" s="10">
        <v>150552</v>
      </c>
      <c r="F53" s="10">
        <v>810</v>
      </c>
      <c r="G53" s="10">
        <v>66952</v>
      </c>
      <c r="H53" s="23">
        <v>23487</v>
      </c>
      <c r="I53" s="10"/>
      <c r="J53" s="10">
        <v>28864</v>
      </c>
      <c r="K53" s="10">
        <v>41254.46</v>
      </c>
      <c r="L53" s="10">
        <v>125061</v>
      </c>
      <c r="M53" s="10">
        <f>27221-27608+5000</f>
        <v>4613</v>
      </c>
      <c r="N53" s="10">
        <f>SUM(B53:M53)</f>
        <v>875701.46</v>
      </c>
      <c r="P53" s="40"/>
    </row>
    <row r="54" spans="1:17" s="6" customFormat="1">
      <c r="A54" s="6" t="s">
        <v>56</v>
      </c>
      <c r="B54" s="10"/>
      <c r="C54" s="10"/>
      <c r="D54" s="47">
        <v>-520000</v>
      </c>
      <c r="E54" s="10"/>
      <c r="F54" s="10">
        <v>85000</v>
      </c>
      <c r="G54" s="10"/>
      <c r="H54" s="10"/>
      <c r="I54" s="10"/>
      <c r="J54" s="10"/>
      <c r="K54" s="10"/>
      <c r="L54" s="10"/>
      <c r="M54" s="10"/>
      <c r="N54" s="10">
        <f>SUM(B54:M54)</f>
        <v>-435000</v>
      </c>
      <c r="P54" s="7"/>
      <c r="Q54" s="6">
        <v>0</v>
      </c>
    </row>
    <row r="55" spans="1:17" s="6" customFormat="1">
      <c r="A55" s="6" t="s">
        <v>57</v>
      </c>
      <c r="B55" s="10">
        <f>50000+228312</f>
        <v>278312</v>
      </c>
      <c r="C55" s="10">
        <v>50000</v>
      </c>
      <c r="D55" s="10">
        <v>50000</v>
      </c>
      <c r="E55" s="10">
        <v>50000</v>
      </c>
      <c r="F55" s="10">
        <v>50000</v>
      </c>
      <c r="G55" s="10">
        <v>50000</v>
      </c>
      <c r="H55" s="10">
        <v>50000</v>
      </c>
      <c r="I55" s="10">
        <v>50000</v>
      </c>
      <c r="J55" s="10">
        <v>50000</v>
      </c>
      <c r="K55" s="10">
        <v>50000</v>
      </c>
      <c r="L55" s="10">
        <v>0</v>
      </c>
      <c r="M55" s="10">
        <v>0</v>
      </c>
      <c r="N55" s="10">
        <f>SUM(B55:M55)</f>
        <v>728312</v>
      </c>
      <c r="P55" s="7"/>
    </row>
    <row r="56" spans="1:17" s="6" customFormat="1">
      <c r="A56" s="37" t="s">
        <v>58</v>
      </c>
      <c r="B56" s="7">
        <v>-26129</v>
      </c>
      <c r="C56" s="7">
        <f>-44-9248</f>
        <v>-9292</v>
      </c>
      <c r="D56" s="7">
        <f>-15614+D11</f>
        <v>-9032</v>
      </c>
      <c r="E56" s="7">
        <f>-5908-140</f>
        <v>-6048</v>
      </c>
      <c r="F56" s="7">
        <f>-5524.48-161.91</f>
        <v>-5686.3899999999994</v>
      </c>
      <c r="G56" s="7">
        <v>-82140</v>
      </c>
      <c r="H56" s="10">
        <v>-6989.05</v>
      </c>
      <c r="I56" s="7">
        <v>-9542</v>
      </c>
      <c r="J56" s="7">
        <v>-10718</v>
      </c>
      <c r="K56" s="7">
        <v>-8839.67</v>
      </c>
      <c r="L56" s="7">
        <v>-7577</v>
      </c>
      <c r="M56" s="7">
        <v>-9443</v>
      </c>
      <c r="N56" s="7">
        <f>SUM(B56:M56)</f>
        <v>-191436.11000000002</v>
      </c>
      <c r="P56" s="56"/>
    </row>
    <row r="57" spans="1:17" s="6" customFormat="1">
      <c r="A57" s="6" t="s">
        <v>59</v>
      </c>
      <c r="B57" s="22">
        <v>-262370</v>
      </c>
      <c r="C57" s="22">
        <v>-26645</v>
      </c>
      <c r="D57" s="22">
        <v>-47784</v>
      </c>
      <c r="E57" s="22">
        <v>155784</v>
      </c>
      <c r="F57" s="22">
        <f>4377.86-5778.42</f>
        <v>-1400.5600000000004</v>
      </c>
      <c r="G57" s="22">
        <v>11216</v>
      </c>
      <c r="H57" s="10">
        <v>-179840.6</v>
      </c>
      <c r="I57" s="22">
        <v>-155270</v>
      </c>
      <c r="J57" s="22">
        <v>-114783</v>
      </c>
      <c r="K57" s="22">
        <v>-108759.15</v>
      </c>
      <c r="L57" s="22">
        <v>-101438</v>
      </c>
      <c r="M57" s="22">
        <v>-10409</v>
      </c>
      <c r="N57" s="22">
        <f>SUM(B57:M57)</f>
        <v>-841699.31</v>
      </c>
      <c r="P57" s="7"/>
    </row>
    <row r="58" spans="1:17" s="6" customFormat="1">
      <c r="A58" s="13" t="s">
        <v>60</v>
      </c>
      <c r="B58" s="19">
        <f t="shared" ref="B58:N58" si="13">SUM(B53:B57)</f>
        <v>14795</v>
      </c>
      <c r="C58" s="19">
        <f t="shared" si="13"/>
        <v>372525</v>
      </c>
      <c r="D58" s="19">
        <f t="shared" si="13"/>
        <v>-476152</v>
      </c>
      <c r="E58" s="19">
        <f t="shared" si="13"/>
        <v>350288</v>
      </c>
      <c r="F58" s="19">
        <f t="shared" si="13"/>
        <v>128723.05</v>
      </c>
      <c r="G58" s="19">
        <f t="shared" si="13"/>
        <v>46028</v>
      </c>
      <c r="H58" s="19">
        <f>SUM(H53:H57)</f>
        <v>-113342.65000000001</v>
      </c>
      <c r="I58" s="19">
        <f t="shared" si="13"/>
        <v>-114812</v>
      </c>
      <c r="J58" s="19">
        <f t="shared" si="13"/>
        <v>-46637</v>
      </c>
      <c r="K58" s="19">
        <f t="shared" si="13"/>
        <v>-26344.36</v>
      </c>
      <c r="L58" s="19">
        <f t="shared" si="13"/>
        <v>16046</v>
      </c>
      <c r="M58" s="19">
        <f t="shared" si="13"/>
        <v>-15239</v>
      </c>
      <c r="N58" s="19">
        <f t="shared" si="13"/>
        <v>135878.03999999992</v>
      </c>
    </row>
    <row r="59" spans="1:17">
      <c r="B59" s="7"/>
      <c r="C59" s="7"/>
      <c r="D59" s="7"/>
      <c r="E59" s="7"/>
      <c r="F59" s="7"/>
      <c r="G59" s="7"/>
      <c r="H59" s="7"/>
      <c r="I59" s="7"/>
      <c r="J59" s="7"/>
      <c r="K59" s="7"/>
      <c r="L59" s="7"/>
      <c r="M59" s="7"/>
      <c r="N59" s="7"/>
      <c r="O59" s="6"/>
    </row>
    <row r="60" spans="1:17">
      <c r="A60" s="1" t="s">
        <v>61</v>
      </c>
      <c r="B60" s="12">
        <v>10990495</v>
      </c>
      <c r="C60" s="7"/>
      <c r="D60" s="7"/>
      <c r="E60" s="7"/>
      <c r="F60" s="7"/>
      <c r="G60" s="7"/>
      <c r="H60" s="7" t="s">
        <v>38</v>
      </c>
      <c r="I60" s="7"/>
      <c r="J60" s="7"/>
      <c r="K60" s="6"/>
      <c r="L60" s="6"/>
      <c r="M60" s="6"/>
      <c r="N60" s="6"/>
      <c r="O60" s="6"/>
    </row>
    <row r="61" spans="1:17">
      <c r="A61" s="13" t="s">
        <v>62</v>
      </c>
      <c r="B61" s="19">
        <f t="shared" ref="B61:N61" si="14">+B58+B48</f>
        <v>1783743.3333333333</v>
      </c>
      <c r="C61" s="19">
        <f t="shared" si="14"/>
        <v>4814810.333333334</v>
      </c>
      <c r="D61" s="19">
        <f t="shared" si="14"/>
        <v>2820018.3333333335</v>
      </c>
      <c r="E61" s="19">
        <f t="shared" si="14"/>
        <v>3661546.3333333335</v>
      </c>
      <c r="F61" s="19">
        <f t="shared" si="14"/>
        <v>2719357.3833333328</v>
      </c>
      <c r="G61" s="19">
        <f t="shared" si="14"/>
        <v>2387614.333333333</v>
      </c>
      <c r="H61" s="19">
        <f t="shared" si="14"/>
        <v>3449848.6833333336</v>
      </c>
      <c r="I61" s="19">
        <f t="shared" si="14"/>
        <v>2952809.3333333335</v>
      </c>
      <c r="J61" s="19">
        <f t="shared" si="14"/>
        <v>2817351.9383333335</v>
      </c>
      <c r="K61" s="19">
        <f t="shared" si="14"/>
        <v>3232569.64</v>
      </c>
      <c r="L61" s="19">
        <f t="shared" si="14"/>
        <v>2733910.0727674812</v>
      </c>
      <c r="M61" s="19">
        <f t="shared" si="14"/>
        <v>2126960.6571791475</v>
      </c>
      <c r="N61" s="19">
        <f t="shared" si="14"/>
        <v>35426683.316613294</v>
      </c>
      <c r="O61" s="6"/>
    </row>
    <row r="62" spans="1:17" ht="13.5" thickBot="1">
      <c r="A62" s="13" t="s">
        <v>63</v>
      </c>
      <c r="B62" s="30">
        <f t="shared" ref="B62:N62" si="15">+B13-B61</f>
        <v>-522494.33333333326</v>
      </c>
      <c r="C62" s="30">
        <f t="shared" si="15"/>
        <v>67044.666666666046</v>
      </c>
      <c r="D62" s="30">
        <f t="shared" si="15"/>
        <v>983566.66666666651</v>
      </c>
      <c r="E62" s="30">
        <f t="shared" si="15"/>
        <v>-115129.33333333349</v>
      </c>
      <c r="F62" s="30">
        <f t="shared" si="15"/>
        <v>-83971.383333332837</v>
      </c>
      <c r="G62" s="30">
        <f t="shared" si="15"/>
        <v>159562.66666666698</v>
      </c>
      <c r="H62" s="30">
        <f t="shared" si="15"/>
        <v>38734.316666666418</v>
      </c>
      <c r="I62" s="30">
        <f t="shared" si="15"/>
        <v>615123.66666666651</v>
      </c>
      <c r="J62" s="30">
        <f t="shared" si="15"/>
        <v>467932.06166666653</v>
      </c>
      <c r="K62" s="30">
        <f t="shared" si="15"/>
        <v>609701.35999999987</v>
      </c>
      <c r="L62" s="30">
        <f t="shared" si="15"/>
        <v>594586.92723251879</v>
      </c>
      <c r="M62" s="30">
        <f t="shared" si="15"/>
        <v>-455639.65717914747</v>
      </c>
      <c r="N62" s="14">
        <f t="shared" si="15"/>
        <v>2771927.6833867058</v>
      </c>
      <c r="O62" s="6"/>
      <c r="P62" s="25"/>
    </row>
    <row r="63" spans="1:17" s="6" customFormat="1" ht="13.5" thickTop="1">
      <c r="A63" s="13" t="s">
        <v>64</v>
      </c>
      <c r="B63" s="32">
        <f>+B62</f>
        <v>-522494.33333333326</v>
      </c>
      <c r="C63" s="32">
        <f t="shared" ref="C63:M63" si="16">B63+C62</f>
        <v>-455449.66666666721</v>
      </c>
      <c r="D63" s="32">
        <f t="shared" si="16"/>
        <v>528116.9999999993</v>
      </c>
      <c r="E63" s="32">
        <f t="shared" si="16"/>
        <v>412987.66666666581</v>
      </c>
      <c r="F63" s="32">
        <f t="shared" si="16"/>
        <v>329016.28333333298</v>
      </c>
      <c r="G63" s="32">
        <f t="shared" si="16"/>
        <v>488578.94999999995</v>
      </c>
      <c r="H63" s="32">
        <f t="shared" si="16"/>
        <v>527313.26666666637</v>
      </c>
      <c r="I63" s="32">
        <f t="shared" si="16"/>
        <v>1142436.9333333329</v>
      </c>
      <c r="J63" s="32">
        <f t="shared" si="16"/>
        <v>1610368.9949999994</v>
      </c>
      <c r="K63" s="32">
        <f t="shared" si="16"/>
        <v>2220070.3549999995</v>
      </c>
      <c r="L63" s="32">
        <f t="shared" si="16"/>
        <v>2814657.2822325183</v>
      </c>
      <c r="M63" s="32">
        <f t="shared" si="16"/>
        <v>2359017.6250533708</v>
      </c>
      <c r="N63" s="12"/>
    </row>
    <row r="64" spans="1:17">
      <c r="A64" s="13" t="s">
        <v>65</v>
      </c>
      <c r="B64" s="12">
        <f t="shared" ref="B64:M64" si="17">+$B$60+B63</f>
        <v>10468000.666666666</v>
      </c>
      <c r="C64" s="12">
        <f t="shared" si="17"/>
        <v>10535045.333333332</v>
      </c>
      <c r="D64" s="12">
        <f t="shared" si="17"/>
        <v>11518612</v>
      </c>
      <c r="E64" s="12">
        <f t="shared" si="17"/>
        <v>11403482.666666666</v>
      </c>
      <c r="F64" s="12">
        <f t="shared" si="17"/>
        <v>11319511.283333333</v>
      </c>
      <c r="G64" s="12">
        <f t="shared" si="17"/>
        <v>11479073.949999999</v>
      </c>
      <c r="H64" s="12">
        <f t="shared" si="17"/>
        <v>11517808.266666666</v>
      </c>
      <c r="I64" s="12">
        <f t="shared" si="17"/>
        <v>12132931.933333334</v>
      </c>
      <c r="J64" s="12">
        <f t="shared" si="17"/>
        <v>12600863.994999999</v>
      </c>
      <c r="K64" s="12">
        <f t="shared" si="17"/>
        <v>13210565.355</v>
      </c>
      <c r="L64" s="12">
        <f t="shared" si="17"/>
        <v>13805152.282232519</v>
      </c>
      <c r="M64" s="12">
        <f t="shared" si="17"/>
        <v>13349512.62505337</v>
      </c>
      <c r="N64" s="12"/>
      <c r="O64" s="6"/>
      <c r="P64" s="29"/>
    </row>
    <row r="65" spans="1:16">
      <c r="A65" s="6"/>
      <c r="B65" s="7"/>
      <c r="C65" s="7"/>
      <c r="D65" s="7"/>
      <c r="E65" s="7"/>
      <c r="F65" s="7"/>
      <c r="G65" s="7"/>
      <c r="H65" s="7"/>
      <c r="I65" s="7"/>
      <c r="J65" s="7"/>
      <c r="K65" s="6"/>
      <c r="L65" s="6"/>
      <c r="M65" s="6"/>
      <c r="N65" s="6"/>
      <c r="O65" s="6"/>
    </row>
    <row r="66" spans="1:16" s="6" customFormat="1">
      <c r="A66" s="17" t="s">
        <v>79</v>
      </c>
      <c r="B66" s="18"/>
      <c r="C66" s="18"/>
      <c r="D66" s="18"/>
      <c r="E66" s="18"/>
      <c r="F66" s="18"/>
      <c r="G66" s="18"/>
      <c r="H66" s="18"/>
      <c r="I66" s="18"/>
      <c r="J66" s="18"/>
      <c r="K66" s="18"/>
      <c r="L66" s="18"/>
      <c r="M66" s="18"/>
      <c r="N66" s="18"/>
    </row>
    <row r="67" spans="1:16" ht="13.5" thickBot="1">
      <c r="A67" s="13" t="s">
        <v>67</v>
      </c>
      <c r="B67" s="30">
        <v>-923707.19930042047</v>
      </c>
      <c r="C67" s="30">
        <v>408098.02642089035</v>
      </c>
      <c r="D67" s="30">
        <v>1071842.6402638261</v>
      </c>
      <c r="E67" s="30">
        <v>445993.46125483606</v>
      </c>
      <c r="F67" s="30">
        <v>-265749.60705118906</v>
      </c>
      <c r="G67" s="30">
        <v>-389702.61557580205</v>
      </c>
      <c r="H67" s="30">
        <v>-14360.90837025363</v>
      </c>
      <c r="I67" s="30">
        <v>203880.59546278836</v>
      </c>
      <c r="J67" s="30">
        <v>310916.27537100855</v>
      </c>
      <c r="K67" s="30">
        <v>183559.11018969351</v>
      </c>
      <c r="L67" s="30">
        <v>454347.78970141569</v>
      </c>
      <c r="M67" s="30">
        <v>-1277664.3336020331</v>
      </c>
      <c r="N67" s="16"/>
      <c r="O67" s="6"/>
    </row>
    <row r="68" spans="1:16" ht="13.5" thickTop="1">
      <c r="A68" s="13" t="s">
        <v>64</v>
      </c>
      <c r="B68" s="32">
        <v>-923707.19930042047</v>
      </c>
      <c r="C68" s="32">
        <v>-515609.17287953012</v>
      </c>
      <c r="D68" s="32">
        <v>556233.467384296</v>
      </c>
      <c r="E68" s="32">
        <v>1002226.9286391321</v>
      </c>
      <c r="F68" s="32">
        <v>736477.32158794301</v>
      </c>
      <c r="G68" s="32">
        <v>346774.70601214096</v>
      </c>
      <c r="H68" s="32">
        <v>332413.79764188733</v>
      </c>
      <c r="I68" s="32">
        <v>536294.39310467569</v>
      </c>
      <c r="J68" s="32">
        <v>847210.66847568424</v>
      </c>
      <c r="K68" s="32">
        <v>1030769.7786653778</v>
      </c>
      <c r="L68" s="32">
        <v>1485117.5683667934</v>
      </c>
      <c r="M68" s="32">
        <v>207453.23476476036</v>
      </c>
      <c r="N68" s="16"/>
      <c r="O68" s="6"/>
    </row>
    <row r="69" spans="1:16">
      <c r="A69" s="13" t="s">
        <v>65</v>
      </c>
      <c r="B69" s="12">
        <v>10066787.80069958</v>
      </c>
      <c r="C69" s="12">
        <v>10474885.82712047</v>
      </c>
      <c r="D69" s="12">
        <v>11546728.467384296</v>
      </c>
      <c r="E69" s="12">
        <v>11992721.928639133</v>
      </c>
      <c r="F69" s="12">
        <v>11726972.321587943</v>
      </c>
      <c r="G69" s="12">
        <v>11337269.706012141</v>
      </c>
      <c r="H69" s="12">
        <v>11322908.797641888</v>
      </c>
      <c r="I69" s="12">
        <v>11526789.393104676</v>
      </c>
      <c r="J69" s="12">
        <v>11837705.668475684</v>
      </c>
      <c r="K69" s="12">
        <v>12021264.778665379</v>
      </c>
      <c r="L69" s="12">
        <v>12475612.568366794</v>
      </c>
      <c r="M69" s="12">
        <v>11197948.23476476</v>
      </c>
      <c r="N69" s="12"/>
      <c r="O69" s="6"/>
    </row>
    <row r="70" spans="1:16">
      <c r="A70" s="6"/>
      <c r="B70" s="6"/>
      <c r="C70" s="6"/>
      <c r="D70" s="6"/>
      <c r="E70" s="6"/>
      <c r="F70" s="6"/>
      <c r="H70" s="6"/>
      <c r="I70" s="6"/>
      <c r="J70" s="6"/>
      <c r="K70" s="6"/>
      <c r="L70" s="6"/>
      <c r="M70" s="6"/>
      <c r="N70" s="6"/>
      <c r="O70" s="6"/>
    </row>
    <row r="71" spans="1:16">
      <c r="A71" s="24" t="s">
        <v>68</v>
      </c>
      <c r="B71" s="18"/>
      <c r="C71" s="18"/>
      <c r="D71" s="18"/>
      <c r="E71" s="18"/>
      <c r="F71" s="18"/>
      <c r="G71" s="18"/>
      <c r="H71" s="18"/>
      <c r="I71" s="18"/>
      <c r="J71" s="18"/>
      <c r="K71" s="18"/>
      <c r="L71" s="18"/>
      <c r="M71" s="18"/>
      <c r="N71" s="18"/>
      <c r="O71" s="6"/>
    </row>
    <row r="72" spans="1:16">
      <c r="A72" s="13" t="s">
        <v>63</v>
      </c>
      <c r="B72" s="16">
        <f t="shared" ref="B72:N74" si="18">+B62-B67</f>
        <v>401212.86596708721</v>
      </c>
      <c r="C72" s="16">
        <f t="shared" si="18"/>
        <v>-341053.35975422431</v>
      </c>
      <c r="D72" s="16">
        <f t="shared" si="18"/>
        <v>-88275.973597159609</v>
      </c>
      <c r="E72" s="16">
        <f t="shared" si="18"/>
        <v>-561122.79458816955</v>
      </c>
      <c r="F72" s="16">
        <f t="shared" si="18"/>
        <v>181778.22371785622</v>
      </c>
      <c r="G72" s="16">
        <f t="shared" si="18"/>
        <v>549265.28224246902</v>
      </c>
      <c r="H72" s="16">
        <f t="shared" si="18"/>
        <v>53095.225036920048</v>
      </c>
      <c r="I72" s="16">
        <f t="shared" si="18"/>
        <v>411243.07120387815</v>
      </c>
      <c r="J72" s="16">
        <f t="shared" si="18"/>
        <v>157015.78629565798</v>
      </c>
      <c r="K72" s="16">
        <f t="shared" si="18"/>
        <v>426142.24981030636</v>
      </c>
      <c r="L72" s="16">
        <f t="shared" si="18"/>
        <v>140239.1375311031</v>
      </c>
      <c r="M72" s="16">
        <f t="shared" si="18"/>
        <v>822024.67642288562</v>
      </c>
      <c r="N72" s="6"/>
      <c r="O72" s="6"/>
      <c r="P72" s="16">
        <f>+N62-N67</f>
        <v>2771927.6833867058</v>
      </c>
    </row>
    <row r="73" spans="1:16" s="6" customFormat="1">
      <c r="A73" s="13" t="s">
        <v>64</v>
      </c>
      <c r="B73" s="16">
        <f t="shared" si="18"/>
        <v>401212.86596708721</v>
      </c>
      <c r="C73" s="16">
        <f t="shared" si="18"/>
        <v>60159.506212862907</v>
      </c>
      <c r="D73" s="16">
        <f t="shared" si="18"/>
        <v>-28116.467384296702</v>
      </c>
      <c r="E73" s="16">
        <f t="shared" si="18"/>
        <v>-589239.26197246625</v>
      </c>
      <c r="F73" s="16">
        <f t="shared" si="18"/>
        <v>-407461.03825461003</v>
      </c>
      <c r="G73" s="16">
        <f t="shared" si="18"/>
        <v>141804.24398785899</v>
      </c>
      <c r="H73" s="16">
        <f t="shared" si="18"/>
        <v>194899.46902477904</v>
      </c>
      <c r="I73" s="16">
        <f t="shared" si="18"/>
        <v>606142.54022865719</v>
      </c>
      <c r="J73" s="16">
        <f t="shared" si="18"/>
        <v>763158.32652431517</v>
      </c>
      <c r="K73" s="16">
        <f t="shared" si="18"/>
        <v>1189300.5763346218</v>
      </c>
      <c r="L73" s="16">
        <f t="shared" si="18"/>
        <v>1329539.7138657249</v>
      </c>
      <c r="M73" s="16">
        <f t="shared" si="18"/>
        <v>2151564.3902886105</v>
      </c>
      <c r="N73" s="16">
        <f t="shared" si="18"/>
        <v>0</v>
      </c>
    </row>
    <row r="74" spans="1:16">
      <c r="A74" s="1" t="s">
        <v>65</v>
      </c>
      <c r="B74" s="16">
        <f t="shared" si="18"/>
        <v>401212.86596708558</v>
      </c>
      <c r="C74" s="16">
        <f t="shared" si="18"/>
        <v>60159.506212862208</v>
      </c>
      <c r="D74" s="16">
        <f t="shared" si="18"/>
        <v>-28116.467384295538</v>
      </c>
      <c r="E74" s="16">
        <f t="shared" si="18"/>
        <v>-589239.26197246648</v>
      </c>
      <c r="F74" s="16">
        <f t="shared" si="18"/>
        <v>-407461.03825460933</v>
      </c>
      <c r="G74" s="16">
        <f t="shared" si="18"/>
        <v>141804.2439878583</v>
      </c>
      <c r="H74" s="16">
        <f t="shared" si="18"/>
        <v>194899.46902477741</v>
      </c>
      <c r="I74" s="16">
        <f t="shared" si="18"/>
        <v>606142.54022865742</v>
      </c>
      <c r="J74" s="16">
        <f t="shared" si="18"/>
        <v>763158.3265243154</v>
      </c>
      <c r="K74" s="16">
        <f t="shared" si="18"/>
        <v>1189300.5763346218</v>
      </c>
      <c r="L74" s="16">
        <f t="shared" si="18"/>
        <v>1329539.7138657253</v>
      </c>
      <c r="M74" s="16">
        <f t="shared" si="18"/>
        <v>2151564.39028861</v>
      </c>
      <c r="N74" s="16"/>
      <c r="O74" s="6"/>
    </row>
    <row r="75" spans="1:16">
      <c r="B75" s="6"/>
      <c r="C75" s="6"/>
      <c r="D75" s="6"/>
      <c r="E75" s="6"/>
      <c r="F75" s="6"/>
      <c r="H75" s="6"/>
      <c r="I75" s="6"/>
      <c r="J75" s="6"/>
      <c r="K75" s="6"/>
      <c r="L75" s="6"/>
      <c r="M75" s="6"/>
      <c r="N75" s="6"/>
    </row>
    <row r="76" spans="1:16">
      <c r="A76" s="1"/>
      <c r="B76" s="4"/>
      <c r="C76" s="8"/>
      <c r="D76" s="8"/>
      <c r="E76" s="8"/>
      <c r="F76" s="8"/>
      <c r="H76" s="20"/>
      <c r="J76" s="6"/>
      <c r="K76" s="6"/>
    </row>
    <row r="77" spans="1:16">
      <c r="A77" s="1"/>
      <c r="B77" s="4"/>
      <c r="C77" s="8"/>
      <c r="D77" s="8"/>
      <c r="E77" s="8"/>
      <c r="F77" s="8"/>
      <c r="H77" s="20"/>
      <c r="J77" s="6"/>
    </row>
    <row r="78" spans="1:16">
      <c r="A78" s="1"/>
      <c r="B78" s="4"/>
      <c r="D78" s="8"/>
      <c r="E78" s="8"/>
      <c r="F78" s="8"/>
      <c r="H78" s="61"/>
      <c r="J78" s="6"/>
    </row>
    <row r="79" spans="1:16">
      <c r="E79" s="6"/>
      <c r="H79" s="20"/>
      <c r="J79" s="6"/>
      <c r="N79" s="25"/>
    </row>
    <row r="80" spans="1:16">
      <c r="A80" t="s">
        <v>69</v>
      </c>
      <c r="B80" t="s">
        <v>69</v>
      </c>
      <c r="C80" t="s">
        <v>69</v>
      </c>
      <c r="D80" t="s">
        <v>69</v>
      </c>
      <c r="E80" s="6" t="s">
        <v>69</v>
      </c>
      <c r="F80" t="s">
        <v>69</v>
      </c>
      <c r="G80" s="6" t="s">
        <v>69</v>
      </c>
      <c r="H80" t="s">
        <v>69</v>
      </c>
      <c r="I80" t="s">
        <v>69</v>
      </c>
      <c r="J80" s="6" t="s">
        <v>69</v>
      </c>
      <c r="K80" t="s">
        <v>69</v>
      </c>
      <c r="L80" t="s">
        <v>69</v>
      </c>
      <c r="M80" t="s">
        <v>69</v>
      </c>
      <c r="N80" t="s">
        <v>69</v>
      </c>
    </row>
    <row r="81" spans="1:14">
      <c r="E81" s="6"/>
      <c r="J81" s="6"/>
    </row>
    <row r="82" spans="1:14">
      <c r="A82" s="33" t="s">
        <v>70</v>
      </c>
      <c r="B82" s="47">
        <v>52000</v>
      </c>
      <c r="C82" s="47">
        <v>20000</v>
      </c>
      <c r="D82" s="47">
        <v>10000</v>
      </c>
      <c r="E82" s="47">
        <v>44355</v>
      </c>
      <c r="F82" s="47">
        <v>186840</v>
      </c>
      <c r="G82" s="10">
        <v>202000</v>
      </c>
      <c r="H82" s="54">
        <v>197000</v>
      </c>
      <c r="I82" s="47">
        <v>142000</v>
      </c>
      <c r="J82" s="47">
        <v>119000</v>
      </c>
      <c r="K82" s="47">
        <v>0</v>
      </c>
      <c r="L82" s="47">
        <v>0</v>
      </c>
      <c r="M82" s="47">
        <v>455000</v>
      </c>
      <c r="N82" s="7">
        <v>1428195</v>
      </c>
    </row>
    <row r="83" spans="1:14">
      <c r="A83" s="33" t="s">
        <v>71</v>
      </c>
      <c r="B83" s="2">
        <f>+B82</f>
        <v>52000</v>
      </c>
      <c r="C83" s="2">
        <f>+B83+C82</f>
        <v>72000</v>
      </c>
      <c r="D83" s="2">
        <f t="shared" ref="D83:M83" si="19">+C83+D82</f>
        <v>82000</v>
      </c>
      <c r="E83" s="7">
        <f t="shared" si="19"/>
        <v>126355</v>
      </c>
      <c r="F83" s="2">
        <f t="shared" si="19"/>
        <v>313195</v>
      </c>
      <c r="G83" s="7">
        <f t="shared" si="19"/>
        <v>515195</v>
      </c>
      <c r="H83" s="2">
        <f t="shared" si="19"/>
        <v>712195</v>
      </c>
      <c r="I83" s="2">
        <f t="shared" si="19"/>
        <v>854195</v>
      </c>
      <c r="J83" s="7">
        <f t="shared" si="19"/>
        <v>973195</v>
      </c>
      <c r="K83" s="2">
        <f t="shared" si="19"/>
        <v>973195</v>
      </c>
      <c r="L83" s="2">
        <f t="shared" si="19"/>
        <v>973195</v>
      </c>
      <c r="M83" s="2">
        <f t="shared" si="19"/>
        <v>1428195</v>
      </c>
    </row>
    <row r="84" spans="1:14">
      <c r="A84" s="33" t="s">
        <v>72</v>
      </c>
      <c r="B84" s="7">
        <f>+B53</f>
        <v>24982</v>
      </c>
      <c r="C84" s="7">
        <f>SUM($B53:C53)</f>
        <v>383444</v>
      </c>
      <c r="D84" s="7">
        <f>SUM($B53:D53)</f>
        <v>434108</v>
      </c>
      <c r="E84" s="7">
        <f>SUM($B53:E53)</f>
        <v>584660</v>
      </c>
      <c r="F84" s="7">
        <f>SUM($B53:F53)</f>
        <v>585470</v>
      </c>
      <c r="G84" s="7">
        <f>SUM($B53:G53)</f>
        <v>652422</v>
      </c>
      <c r="H84" s="7">
        <f>SUM(B53:H53)</f>
        <v>675909</v>
      </c>
      <c r="I84" s="7">
        <f>SUM(B53:I53)</f>
        <v>675909</v>
      </c>
      <c r="J84" s="7">
        <f>SUM(B53:J53)</f>
        <v>704773</v>
      </c>
      <c r="K84" s="7">
        <f>SUM(B53:K53)</f>
        <v>746027.46</v>
      </c>
      <c r="L84" s="7">
        <f>SUM(B53:L53)</f>
        <v>871088.46</v>
      </c>
      <c r="M84" s="7">
        <f>SUM(B53:M53)</f>
        <v>875701.46</v>
      </c>
    </row>
    <row r="85" spans="1:14">
      <c r="A85" s="33" t="s">
        <v>73</v>
      </c>
      <c r="B85" s="7">
        <f t="shared" ref="B85:G85" si="20">+B83-B84</f>
        <v>27018</v>
      </c>
      <c r="C85" s="7">
        <f t="shared" si="20"/>
        <v>-311444</v>
      </c>
      <c r="D85" s="7">
        <f t="shared" si="20"/>
        <v>-352108</v>
      </c>
      <c r="E85" s="7">
        <f t="shared" si="20"/>
        <v>-458305</v>
      </c>
      <c r="F85" s="7">
        <f t="shared" si="20"/>
        <v>-272275</v>
      </c>
      <c r="G85" s="7">
        <f t="shared" si="20"/>
        <v>-137227</v>
      </c>
      <c r="H85" s="7">
        <f t="shared" ref="H85:M85" si="21">+H83-H84</f>
        <v>36286</v>
      </c>
      <c r="I85" s="7">
        <f t="shared" si="21"/>
        <v>178286</v>
      </c>
      <c r="J85" s="7">
        <f t="shared" si="21"/>
        <v>268422</v>
      </c>
      <c r="K85" s="7">
        <f t="shared" si="21"/>
        <v>227167.54000000004</v>
      </c>
      <c r="L85" s="7">
        <f t="shared" si="21"/>
        <v>102106.54000000004</v>
      </c>
      <c r="M85" s="7">
        <f t="shared" si="21"/>
        <v>552493.54</v>
      </c>
    </row>
    <row r="86" spans="1:14">
      <c r="J86" s="6"/>
      <c r="K86" s="6"/>
    </row>
    <row r="87" spans="1:14">
      <c r="A87" t="s">
        <v>74</v>
      </c>
      <c r="B87" s="35">
        <f>-B56-B57</f>
        <v>288499</v>
      </c>
      <c r="C87" s="35">
        <f t="shared" ref="C87:N87" si="22">-C56-C57</f>
        <v>35937</v>
      </c>
      <c r="D87" s="35">
        <f t="shared" si="22"/>
        <v>56816</v>
      </c>
      <c r="E87" s="35">
        <f t="shared" si="22"/>
        <v>-149736</v>
      </c>
      <c r="F87" s="35">
        <f t="shared" si="22"/>
        <v>7086.95</v>
      </c>
      <c r="G87" s="40">
        <f t="shared" si="22"/>
        <v>70924</v>
      </c>
      <c r="H87" s="40">
        <f t="shared" si="22"/>
        <v>186829.65</v>
      </c>
      <c r="I87" s="35">
        <f t="shared" si="22"/>
        <v>164812</v>
      </c>
      <c r="J87" s="35">
        <f t="shared" si="22"/>
        <v>125501</v>
      </c>
      <c r="K87" s="40">
        <f t="shared" si="22"/>
        <v>117598.81999999999</v>
      </c>
      <c r="L87" s="35">
        <f t="shared" si="22"/>
        <v>109015</v>
      </c>
      <c r="M87" s="35">
        <f t="shared" si="22"/>
        <v>19852</v>
      </c>
      <c r="N87" s="35">
        <f t="shared" si="22"/>
        <v>1033135.42</v>
      </c>
    </row>
    <row r="88" spans="1:14">
      <c r="C88" s="35">
        <f>+B87+C87</f>
        <v>324436</v>
      </c>
      <c r="D88" s="35">
        <f>+C88+D87</f>
        <v>381252</v>
      </c>
      <c r="E88" s="35">
        <f t="shared" ref="E88:M88" si="23">+D88+E87</f>
        <v>231516</v>
      </c>
      <c r="F88" s="35">
        <f t="shared" si="23"/>
        <v>238602.95</v>
      </c>
      <c r="G88" s="40">
        <f t="shared" si="23"/>
        <v>309526.95</v>
      </c>
      <c r="H88" s="35">
        <f t="shared" si="23"/>
        <v>496356.6</v>
      </c>
      <c r="I88" s="40">
        <f t="shared" si="23"/>
        <v>661168.6</v>
      </c>
      <c r="J88" s="40">
        <f t="shared" si="23"/>
        <v>786669.6</v>
      </c>
      <c r="K88" s="40">
        <f t="shared" si="23"/>
        <v>904268.41999999993</v>
      </c>
      <c r="L88" s="35">
        <f t="shared" si="23"/>
        <v>1013283.4199999999</v>
      </c>
      <c r="M88" s="35">
        <f t="shared" si="23"/>
        <v>1033135.4199999999</v>
      </c>
    </row>
    <row r="89" spans="1:14">
      <c r="B89" s="6"/>
      <c r="C89" s="6"/>
      <c r="D89" s="6"/>
      <c r="E89" s="6"/>
    </row>
    <row r="90" spans="1:14">
      <c r="B90" s="6"/>
      <c r="C90" s="6"/>
      <c r="D90" s="21"/>
      <c r="E90" s="6"/>
    </row>
    <row r="91" spans="1:14">
      <c r="B91" s="6"/>
      <c r="C91" s="6"/>
      <c r="D91" s="6"/>
      <c r="E91" s="6"/>
    </row>
    <row r="92" spans="1:14">
      <c r="B92" s="6"/>
      <c r="C92" s="6"/>
      <c r="D92" s="6"/>
      <c r="E92" s="6"/>
    </row>
    <row r="93" spans="1:14">
      <c r="B93" s="6"/>
      <c r="C93" s="6"/>
      <c r="D93" s="6"/>
      <c r="E93" s="6"/>
    </row>
    <row r="94" spans="1:14">
      <c r="B94" s="6"/>
      <c r="C94" s="6"/>
      <c r="D94" s="34"/>
      <c r="E94" s="6"/>
    </row>
    <row r="95" spans="1:14">
      <c r="B95" s="6"/>
      <c r="C95" s="6"/>
      <c r="D95" s="6"/>
      <c r="E95" s="6"/>
    </row>
    <row r="96" spans="1:14">
      <c r="B96" s="6"/>
      <c r="C96" s="6"/>
      <c r="D96" s="6"/>
      <c r="E96" s="6"/>
    </row>
  </sheetData>
  <pageMargins left="0.28000000000000003" right="0.25" top="0.99" bottom="0.75" header="0.63" footer="0.23"/>
  <pageSetup scale="67" orientation="landscape" r:id="rId1"/>
  <headerFooter alignWithMargins="0">
    <oddHeader xml:space="preserve">&amp;C&amp;"Arial,Bold"&amp;11 49ER SHOPS, INC.
&amp;UFY2016/2017 OPERATIONAL CASH FLOW </oddHeader>
    <oddFooter>&amp;CCash Flow - FY2016/2017
June 2017 Pre-Audit</oddFooter>
  </headerFooter>
  <legacy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FF00"/>
    <pageSetUpPr fitToPage="1"/>
  </sheetPr>
  <dimension ref="A1:AR96"/>
  <sheetViews>
    <sheetView showGridLines="0" zoomScale="90" zoomScaleNormal="90" workbookViewId="0">
      <pane xSplit="1" ySplit="3" topLeftCell="B52" activePane="bottomRight" state="frozen"/>
      <selection pane="topRight" activeCell="B72" sqref="B72"/>
      <selection pane="bottomLeft" activeCell="B72" sqref="B72"/>
      <selection pane="bottomRight" activeCell="I77" sqref="I77"/>
    </sheetView>
  </sheetViews>
  <sheetFormatPr defaultRowHeight="12.75"/>
  <cols>
    <col min="1" max="1" width="35.42578125" customWidth="1"/>
    <col min="2" max="2" width="14" customWidth="1"/>
    <col min="3" max="3" width="12.5703125" customWidth="1"/>
    <col min="4" max="4" width="12.140625" customWidth="1"/>
    <col min="5" max="5" width="13.5703125" customWidth="1"/>
    <col min="6" max="6" width="12.85546875" customWidth="1"/>
    <col min="7" max="7" width="12.5703125" style="6" customWidth="1"/>
    <col min="8" max="9" width="12.85546875" customWidth="1"/>
    <col min="10" max="11" width="12.140625" customWidth="1"/>
    <col min="12" max="13" width="12.85546875" customWidth="1"/>
    <col min="14" max="14" width="12.85546875" bestFit="1" customWidth="1"/>
    <col min="15" max="15" width="12.42578125" bestFit="1" customWidth="1"/>
    <col min="16" max="16" width="13.140625" bestFit="1" customWidth="1"/>
  </cols>
  <sheetData>
    <row r="1" spans="1:15" ht="13.5" thickBot="1">
      <c r="A1" s="46" t="s">
        <v>91</v>
      </c>
      <c r="E1" s="6"/>
      <c r="F1" s="6"/>
      <c r="J1" s="6"/>
      <c r="K1" s="6"/>
      <c r="N1" s="3"/>
    </row>
    <row r="2" spans="1:15">
      <c r="B2" s="48" t="s">
        <v>24</v>
      </c>
      <c r="C2" s="48" t="s">
        <v>24</v>
      </c>
      <c r="D2" s="48" t="s">
        <v>24</v>
      </c>
      <c r="E2" s="48" t="s">
        <v>24</v>
      </c>
      <c r="F2" s="48" t="s">
        <v>24</v>
      </c>
      <c r="G2" s="48" t="s">
        <v>24</v>
      </c>
      <c r="H2" s="48" t="s">
        <v>24</v>
      </c>
      <c r="I2" s="48" t="s">
        <v>24</v>
      </c>
      <c r="J2" s="48" t="s">
        <v>24</v>
      </c>
      <c r="K2" s="48" t="s">
        <v>24</v>
      </c>
      <c r="L2" s="48" t="s">
        <v>24</v>
      </c>
      <c r="M2" s="48" t="s">
        <v>24</v>
      </c>
      <c r="N2" s="28" t="s">
        <v>25</v>
      </c>
    </row>
    <row r="3" spans="1:15" s="5" customFormat="1">
      <c r="B3" s="11">
        <v>42553</v>
      </c>
      <c r="C3" s="11">
        <v>42584</v>
      </c>
      <c r="D3" s="11">
        <v>42615</v>
      </c>
      <c r="E3" s="11">
        <v>42645</v>
      </c>
      <c r="F3" s="11">
        <v>42676</v>
      </c>
      <c r="G3" s="11">
        <v>42706</v>
      </c>
      <c r="H3" s="11">
        <v>42737</v>
      </c>
      <c r="I3" s="11">
        <v>42768</v>
      </c>
      <c r="J3" s="11">
        <v>42796</v>
      </c>
      <c r="K3" s="11">
        <v>42827</v>
      </c>
      <c r="L3" s="11">
        <v>42857</v>
      </c>
      <c r="M3" s="11">
        <v>42888</v>
      </c>
      <c r="N3" s="57" t="s">
        <v>77</v>
      </c>
    </row>
    <row r="4" spans="1:15" hidden="1">
      <c r="A4" s="1" t="s">
        <v>27</v>
      </c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>
        <f>SUM(B4:M4)</f>
        <v>0</v>
      </c>
      <c r="O4" s="29"/>
    </row>
    <row r="5" spans="1:15" s="6" customFormat="1" hidden="1">
      <c r="A5" s="6" t="s">
        <v>28</v>
      </c>
      <c r="B5" s="53">
        <v>1199482</v>
      </c>
      <c r="C5" s="53">
        <v>4828670</v>
      </c>
      <c r="D5" s="53">
        <v>3749028</v>
      </c>
      <c r="E5" s="53">
        <v>3546355</v>
      </c>
      <c r="F5" s="53">
        <v>2585168</v>
      </c>
      <c r="G5" s="53">
        <v>2443265</v>
      </c>
      <c r="H5" s="53">
        <v>3426560</v>
      </c>
      <c r="I5" s="53">
        <v>3501507</v>
      </c>
      <c r="J5" s="53">
        <v>3214307</v>
      </c>
      <c r="K5" s="53">
        <v>3269506</v>
      </c>
      <c r="L5" s="53">
        <v>3081873</v>
      </c>
      <c r="M5" s="53">
        <v>1444717</v>
      </c>
      <c r="N5" s="12">
        <f>SUM(B5:M5)</f>
        <v>36290438</v>
      </c>
      <c r="O5" s="29"/>
    </row>
    <row r="6" spans="1:15" s="6" customFormat="1" hidden="1">
      <c r="A6" s="6" t="s">
        <v>29</v>
      </c>
      <c r="B6" s="53">
        <v>54104</v>
      </c>
      <c r="C6" s="53">
        <v>50888</v>
      </c>
      <c r="D6" s="53">
        <v>47975</v>
      </c>
      <c r="E6" s="53">
        <v>339053</v>
      </c>
      <c r="F6" s="53">
        <v>50128</v>
      </c>
      <c r="G6" s="53">
        <v>100915</v>
      </c>
      <c r="H6" s="53">
        <v>55954</v>
      </c>
      <c r="I6" s="53">
        <v>64066</v>
      </c>
      <c r="J6" s="53">
        <v>70594</v>
      </c>
      <c r="K6" s="53">
        <v>572765</v>
      </c>
      <c r="L6" s="53">
        <v>188411</v>
      </c>
      <c r="M6" s="53">
        <v>152051</v>
      </c>
      <c r="N6" s="7">
        <f>SUM(B6:M6)</f>
        <v>1746904</v>
      </c>
      <c r="O6" s="29"/>
    </row>
    <row r="7" spans="1:15" s="6" customFormat="1" hidden="1">
      <c r="B7" s="7"/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7">
        <f>SUM(B7:M7)</f>
        <v>0</v>
      </c>
      <c r="O7" s="29"/>
    </row>
    <row r="8" spans="1:15" s="6" customFormat="1" hidden="1">
      <c r="B8" s="15"/>
      <c r="C8" s="15"/>
      <c r="D8" s="15"/>
      <c r="E8" s="15"/>
      <c r="F8" s="15"/>
      <c r="G8" s="15"/>
      <c r="H8" s="15"/>
      <c r="I8" s="15"/>
      <c r="J8" s="15"/>
      <c r="K8" s="15"/>
      <c r="L8" s="15"/>
      <c r="M8" s="15"/>
      <c r="N8" s="15">
        <f>SUM(B8:M8)</f>
        <v>0</v>
      </c>
      <c r="O8" s="29"/>
    </row>
    <row r="9" spans="1:15" s="6" customFormat="1">
      <c r="A9" s="13" t="s">
        <v>30</v>
      </c>
      <c r="B9" s="12">
        <f t="shared" ref="B9:N9" si="0">SUM(B5:B8)</f>
        <v>1253586</v>
      </c>
      <c r="C9" s="12">
        <f t="shared" si="0"/>
        <v>4879558</v>
      </c>
      <c r="D9" s="12">
        <f t="shared" si="0"/>
        <v>3797003</v>
      </c>
      <c r="E9" s="12">
        <f t="shared" si="0"/>
        <v>3885408</v>
      </c>
      <c r="F9" s="12">
        <f t="shared" si="0"/>
        <v>2635296</v>
      </c>
      <c r="G9" s="12">
        <f t="shared" si="0"/>
        <v>2544180</v>
      </c>
      <c r="H9" s="12">
        <f t="shared" si="0"/>
        <v>3482514</v>
      </c>
      <c r="I9" s="12">
        <f t="shared" si="0"/>
        <v>3565573</v>
      </c>
      <c r="J9" s="12">
        <f t="shared" si="0"/>
        <v>3284901</v>
      </c>
      <c r="K9" s="12">
        <f t="shared" si="0"/>
        <v>3842271</v>
      </c>
      <c r="L9" s="12">
        <f t="shared" si="0"/>
        <v>3270284</v>
      </c>
      <c r="M9" s="12">
        <f t="shared" si="0"/>
        <v>1596768</v>
      </c>
      <c r="N9" s="12">
        <f t="shared" si="0"/>
        <v>38037342</v>
      </c>
      <c r="O9" s="29"/>
    </row>
    <row r="10" spans="1:15" s="6" customFormat="1" ht="6.75" customHeight="1"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29"/>
    </row>
    <row r="11" spans="1:15" s="6" customFormat="1">
      <c r="A11" s="13" t="s">
        <v>31</v>
      </c>
      <c r="B11" s="7">
        <v>7663</v>
      </c>
      <c r="C11" s="7">
        <v>2297</v>
      </c>
      <c r="D11" s="7">
        <v>6582</v>
      </c>
      <c r="E11" s="7">
        <v>62</v>
      </c>
      <c r="F11" s="7">
        <f>5776-5686</f>
        <v>90</v>
      </c>
      <c r="G11" s="7">
        <v>2997</v>
      </c>
      <c r="H11" s="7">
        <f>13058-6989</f>
        <v>6069</v>
      </c>
      <c r="I11" s="7">
        <f>9542-7182</f>
        <v>2360</v>
      </c>
      <c r="J11" s="7">
        <f>11101-10718</f>
        <v>383</v>
      </c>
      <c r="K11" s="7">
        <v>0</v>
      </c>
      <c r="L11" s="7">
        <f>65790-7577</f>
        <v>58213</v>
      </c>
      <c r="M11" s="7">
        <f>57030-9443</f>
        <v>47587</v>
      </c>
      <c r="N11" s="7">
        <f>SUM(B11:M11)</f>
        <v>134303</v>
      </c>
      <c r="O11" s="29"/>
    </row>
    <row r="12" spans="1:15" s="6" customFormat="1" ht="7.5" customHeight="1">
      <c r="B12" s="7"/>
      <c r="C12" s="7"/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  <c r="O12" s="29"/>
    </row>
    <row r="13" spans="1:15" s="6" customFormat="1" ht="13.5" thickBot="1">
      <c r="A13" s="13" t="s">
        <v>32</v>
      </c>
      <c r="B13" s="14">
        <f t="shared" ref="B13:N13" si="1">B9+B11</f>
        <v>1261249</v>
      </c>
      <c r="C13" s="14">
        <f>C9+C11</f>
        <v>4881855</v>
      </c>
      <c r="D13" s="14">
        <f t="shared" si="1"/>
        <v>3803585</v>
      </c>
      <c r="E13" s="14">
        <f t="shared" si="1"/>
        <v>3885470</v>
      </c>
      <c r="F13" s="14">
        <f t="shared" si="1"/>
        <v>2635386</v>
      </c>
      <c r="G13" s="14">
        <f t="shared" si="1"/>
        <v>2547177</v>
      </c>
      <c r="H13" s="14">
        <f t="shared" si="1"/>
        <v>3488583</v>
      </c>
      <c r="I13" s="14">
        <f t="shared" si="1"/>
        <v>3567933</v>
      </c>
      <c r="J13" s="14">
        <f t="shared" si="1"/>
        <v>3285284</v>
      </c>
      <c r="K13" s="14">
        <f t="shared" si="1"/>
        <v>3842271</v>
      </c>
      <c r="L13" s="14">
        <f t="shared" si="1"/>
        <v>3328497</v>
      </c>
      <c r="M13" s="14">
        <f t="shared" si="1"/>
        <v>1644355</v>
      </c>
      <c r="N13" s="14">
        <f t="shared" si="1"/>
        <v>38171645</v>
      </c>
      <c r="O13" s="29"/>
    </row>
    <row r="14" spans="1:15" s="6" customFormat="1" ht="13.5" thickTop="1">
      <c r="B14" s="7"/>
      <c r="C14" s="7"/>
      <c r="D14" s="7"/>
      <c r="E14" s="7"/>
      <c r="F14" s="7"/>
      <c r="G14" s="7"/>
      <c r="H14" s="7"/>
      <c r="I14" s="7"/>
      <c r="J14" s="7"/>
      <c r="K14" s="7"/>
      <c r="L14" s="7"/>
      <c r="M14" s="7"/>
    </row>
    <row r="15" spans="1:15" s="6" customFormat="1" hidden="1">
      <c r="A15" s="13" t="s">
        <v>33</v>
      </c>
      <c r="B15" s="7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</row>
    <row r="16" spans="1:15" s="6" customFormat="1" hidden="1">
      <c r="A16" s="6" t="s">
        <v>34</v>
      </c>
      <c r="B16" s="53">
        <v>620285</v>
      </c>
      <c r="C16" s="53">
        <v>2968543</v>
      </c>
      <c r="D16" s="53">
        <v>1627085</v>
      </c>
      <c r="E16" s="53">
        <v>1339249</v>
      </c>
      <c r="F16" s="53">
        <v>866632</v>
      </c>
      <c r="G16" s="53">
        <v>917825</v>
      </c>
      <c r="H16" s="53">
        <v>2106719</v>
      </c>
      <c r="I16" s="53">
        <v>1431976</v>
      </c>
      <c r="J16" s="53">
        <v>1168366</v>
      </c>
      <c r="K16" s="53">
        <v>1344740</v>
      </c>
      <c r="L16" s="53">
        <v>1147849</v>
      </c>
      <c r="M16" s="53">
        <v>903749</v>
      </c>
      <c r="N16" s="7">
        <f>SUM(B16:M16)</f>
        <v>16443018</v>
      </c>
      <c r="O16" s="29"/>
    </row>
    <row r="17" spans="1:44" s="6" customFormat="1" hidden="1">
      <c r="B17" s="27"/>
      <c r="C17" s="27"/>
      <c r="D17" s="27"/>
      <c r="E17" s="27"/>
      <c r="F17" s="27"/>
      <c r="G17" s="27"/>
      <c r="H17" s="27"/>
      <c r="I17" s="27"/>
      <c r="J17" s="27"/>
      <c r="K17" s="27"/>
      <c r="L17" s="27"/>
      <c r="M17" s="27"/>
      <c r="N17" s="7">
        <f>SUM(B17:M17)</f>
        <v>0</v>
      </c>
    </row>
    <row r="18" spans="1:44" s="6" customFormat="1" hidden="1">
      <c r="B18" s="7"/>
      <c r="C18" s="7"/>
      <c r="D18" s="7"/>
      <c r="E18" s="7"/>
      <c r="F18" s="7"/>
      <c r="G18" s="7"/>
      <c r="H18" s="7"/>
      <c r="I18" s="7"/>
      <c r="J18" s="7"/>
      <c r="K18" s="7"/>
      <c r="L18" s="7"/>
      <c r="M18" s="7"/>
      <c r="N18" s="7">
        <v>0</v>
      </c>
    </row>
    <row r="19" spans="1:44" s="6" customFormat="1" hidden="1">
      <c r="B19" s="15"/>
      <c r="C19" s="15"/>
      <c r="D19" s="15"/>
      <c r="E19" s="15"/>
      <c r="F19" s="15"/>
      <c r="G19" s="15"/>
      <c r="H19" s="15"/>
      <c r="I19" s="15"/>
      <c r="J19" s="15"/>
      <c r="K19" s="15"/>
      <c r="L19" s="15"/>
      <c r="M19" s="15"/>
      <c r="N19" s="15">
        <f>SUM(B19:M19)</f>
        <v>0</v>
      </c>
    </row>
    <row r="20" spans="1:44" s="6" customFormat="1">
      <c r="A20" s="13" t="s">
        <v>35</v>
      </c>
      <c r="B20" s="12">
        <f t="shared" ref="B20:N20" si="2">SUM(B16:B19)</f>
        <v>620285</v>
      </c>
      <c r="C20" s="12">
        <f t="shared" si="2"/>
        <v>2968543</v>
      </c>
      <c r="D20" s="12">
        <f t="shared" si="2"/>
        <v>1627085</v>
      </c>
      <c r="E20" s="12">
        <f t="shared" si="2"/>
        <v>1339249</v>
      </c>
      <c r="F20" s="12">
        <f t="shared" si="2"/>
        <v>866632</v>
      </c>
      <c r="G20" s="12">
        <f t="shared" si="2"/>
        <v>917825</v>
      </c>
      <c r="H20" s="12">
        <f t="shared" si="2"/>
        <v>2106719</v>
      </c>
      <c r="I20" s="12">
        <f t="shared" si="2"/>
        <v>1431976</v>
      </c>
      <c r="J20" s="12">
        <f t="shared" si="2"/>
        <v>1168366</v>
      </c>
      <c r="K20" s="12">
        <f t="shared" si="2"/>
        <v>1344740</v>
      </c>
      <c r="L20" s="12">
        <f t="shared" si="2"/>
        <v>1147849</v>
      </c>
      <c r="M20" s="12">
        <f t="shared" si="2"/>
        <v>903749</v>
      </c>
      <c r="N20" s="12">
        <f t="shared" si="2"/>
        <v>16443018</v>
      </c>
      <c r="O20" s="29"/>
    </row>
    <row r="21" spans="1:44" s="6" customFormat="1">
      <c r="B21" s="7"/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</row>
    <row r="22" spans="1:44" s="6" customFormat="1" hidden="1">
      <c r="A22" s="13" t="s">
        <v>36</v>
      </c>
      <c r="B22" s="7"/>
      <c r="C22" s="7"/>
      <c r="D22" s="7"/>
      <c r="E22" s="7"/>
      <c r="F22" s="7"/>
      <c r="G22" s="7"/>
      <c r="H22" s="7"/>
      <c r="I22" s="7"/>
      <c r="J22" s="7"/>
      <c r="K22" s="7"/>
      <c r="L22" s="7"/>
      <c r="M22" s="7"/>
    </row>
    <row r="23" spans="1:44" s="6" customFormat="1" hidden="1">
      <c r="A23" s="6" t="s">
        <v>37</v>
      </c>
      <c r="B23" s="7">
        <f t="shared" ref="B23:M26" si="3">+B5-B16</f>
        <v>579197</v>
      </c>
      <c r="C23" s="7">
        <f t="shared" si="3"/>
        <v>1860127</v>
      </c>
      <c r="D23" s="7">
        <f t="shared" si="3"/>
        <v>2121943</v>
      </c>
      <c r="E23" s="7">
        <f t="shared" si="3"/>
        <v>2207106</v>
      </c>
      <c r="F23" s="7">
        <f t="shared" si="3"/>
        <v>1718536</v>
      </c>
      <c r="G23" s="7">
        <f t="shared" si="3"/>
        <v>1525440</v>
      </c>
      <c r="H23" s="7">
        <f t="shared" si="3"/>
        <v>1319841</v>
      </c>
      <c r="I23" s="7">
        <f t="shared" si="3"/>
        <v>2069531</v>
      </c>
      <c r="J23" s="7">
        <f t="shared" si="3"/>
        <v>2045941</v>
      </c>
      <c r="K23" s="7">
        <f t="shared" si="3"/>
        <v>1924766</v>
      </c>
      <c r="L23" s="7">
        <f t="shared" si="3"/>
        <v>1934024</v>
      </c>
      <c r="M23" s="7">
        <f t="shared" si="3"/>
        <v>540968</v>
      </c>
      <c r="N23" s="7">
        <f>SUM(B23:M23)</f>
        <v>19847420</v>
      </c>
      <c r="O23" s="29"/>
    </row>
    <row r="24" spans="1:44" s="6" customFormat="1" hidden="1">
      <c r="A24" s="6" t="s">
        <v>37</v>
      </c>
      <c r="B24" s="7">
        <f t="shared" si="3"/>
        <v>54104</v>
      </c>
      <c r="C24" s="7">
        <f t="shared" si="3"/>
        <v>50888</v>
      </c>
      <c r="D24" s="7">
        <f t="shared" si="3"/>
        <v>47975</v>
      </c>
      <c r="E24" s="7">
        <f t="shared" si="3"/>
        <v>339053</v>
      </c>
      <c r="F24" s="7">
        <f t="shared" si="3"/>
        <v>50128</v>
      </c>
      <c r="G24" s="7">
        <f t="shared" si="3"/>
        <v>100915</v>
      </c>
      <c r="H24" s="7">
        <f t="shared" si="3"/>
        <v>55954</v>
      </c>
      <c r="I24" s="7">
        <f t="shared" si="3"/>
        <v>64066</v>
      </c>
      <c r="J24" s="7">
        <f t="shared" si="3"/>
        <v>70594</v>
      </c>
      <c r="K24" s="7">
        <f t="shared" si="3"/>
        <v>572765</v>
      </c>
      <c r="L24" s="7">
        <f t="shared" si="3"/>
        <v>188411</v>
      </c>
      <c r="M24" s="7">
        <f t="shared" si="3"/>
        <v>152051</v>
      </c>
      <c r="N24" s="7">
        <f>SUM(B24:M24)</f>
        <v>1746904</v>
      </c>
      <c r="O24" s="29"/>
    </row>
    <row r="25" spans="1:44" s="6" customFormat="1" hidden="1">
      <c r="A25" s="6" t="s">
        <v>38</v>
      </c>
      <c r="B25" s="7">
        <f t="shared" si="3"/>
        <v>0</v>
      </c>
      <c r="C25" s="7">
        <f t="shared" si="3"/>
        <v>0</v>
      </c>
      <c r="D25" s="7">
        <f t="shared" si="3"/>
        <v>0</v>
      </c>
      <c r="E25" s="7">
        <f t="shared" si="3"/>
        <v>0</v>
      </c>
      <c r="F25" s="7">
        <f t="shared" si="3"/>
        <v>0</v>
      </c>
      <c r="G25" s="7">
        <f t="shared" si="3"/>
        <v>0</v>
      </c>
      <c r="H25" s="7">
        <f t="shared" si="3"/>
        <v>0</v>
      </c>
      <c r="I25" s="7">
        <f t="shared" si="3"/>
        <v>0</v>
      </c>
      <c r="J25" s="7">
        <f t="shared" si="3"/>
        <v>0</v>
      </c>
      <c r="K25" s="7">
        <f t="shared" si="3"/>
        <v>0</v>
      </c>
      <c r="L25" s="7">
        <f t="shared" si="3"/>
        <v>0</v>
      </c>
      <c r="M25" s="7">
        <f t="shared" si="3"/>
        <v>0</v>
      </c>
      <c r="N25" s="7">
        <f>SUM(B25:M25)</f>
        <v>0</v>
      </c>
      <c r="O25" s="29"/>
    </row>
    <row r="26" spans="1:44" s="6" customFormat="1" hidden="1">
      <c r="A26" s="6" t="s">
        <v>38</v>
      </c>
      <c r="B26" s="15">
        <f t="shared" si="3"/>
        <v>0</v>
      </c>
      <c r="C26" s="15">
        <f t="shared" si="3"/>
        <v>0</v>
      </c>
      <c r="D26" s="15">
        <f t="shared" si="3"/>
        <v>0</v>
      </c>
      <c r="E26" s="15">
        <f t="shared" si="3"/>
        <v>0</v>
      </c>
      <c r="F26" s="15">
        <f t="shared" si="3"/>
        <v>0</v>
      </c>
      <c r="G26" s="15">
        <f t="shared" si="3"/>
        <v>0</v>
      </c>
      <c r="H26" s="15">
        <f t="shared" si="3"/>
        <v>0</v>
      </c>
      <c r="I26" s="15">
        <f t="shared" si="3"/>
        <v>0</v>
      </c>
      <c r="J26" s="15">
        <f t="shared" si="3"/>
        <v>0</v>
      </c>
      <c r="K26" s="15">
        <f t="shared" si="3"/>
        <v>0</v>
      </c>
      <c r="L26" s="15">
        <f t="shared" si="3"/>
        <v>0</v>
      </c>
      <c r="M26" s="15">
        <f t="shared" si="3"/>
        <v>0</v>
      </c>
      <c r="N26" s="15">
        <f>SUM(B26:M26)</f>
        <v>0</v>
      </c>
      <c r="O26" s="29"/>
    </row>
    <row r="27" spans="1:44" s="6" customFormat="1">
      <c r="A27" s="13" t="s">
        <v>39</v>
      </c>
      <c r="B27" s="12">
        <f t="shared" ref="B27:N27" si="4">SUM(B23:B26)</f>
        <v>633301</v>
      </c>
      <c r="C27" s="12">
        <f t="shared" si="4"/>
        <v>1911015</v>
      </c>
      <c r="D27" s="12">
        <f t="shared" si="4"/>
        <v>2169918</v>
      </c>
      <c r="E27" s="12">
        <f t="shared" si="4"/>
        <v>2546159</v>
      </c>
      <c r="F27" s="12">
        <f t="shared" si="4"/>
        <v>1768664</v>
      </c>
      <c r="G27" s="12">
        <f t="shared" si="4"/>
        <v>1626355</v>
      </c>
      <c r="H27" s="12">
        <f t="shared" si="4"/>
        <v>1375795</v>
      </c>
      <c r="I27" s="12">
        <f t="shared" si="4"/>
        <v>2133597</v>
      </c>
      <c r="J27" s="12">
        <f t="shared" si="4"/>
        <v>2116535</v>
      </c>
      <c r="K27" s="12">
        <f t="shared" si="4"/>
        <v>2497531</v>
      </c>
      <c r="L27" s="12">
        <f t="shared" si="4"/>
        <v>2122435</v>
      </c>
      <c r="M27" s="12">
        <f>SUM(M23:M26)</f>
        <v>693019</v>
      </c>
      <c r="N27" s="12">
        <f t="shared" si="4"/>
        <v>21594324</v>
      </c>
      <c r="O27" s="29"/>
    </row>
    <row r="28" spans="1:44" s="6" customFormat="1">
      <c r="B28" s="7"/>
      <c r="C28" s="7"/>
      <c r="D28" s="7"/>
      <c r="E28" s="7"/>
      <c r="F28" s="7"/>
      <c r="G28" s="7"/>
      <c r="H28" s="7"/>
      <c r="I28" s="7"/>
      <c r="J28" s="7"/>
      <c r="K28" s="7"/>
      <c r="L28" s="7"/>
      <c r="M28" s="7"/>
    </row>
    <row r="29" spans="1:44" s="6" customFormat="1" hidden="1">
      <c r="A29" s="13" t="s">
        <v>40</v>
      </c>
      <c r="B29" s="7"/>
      <c r="C29" s="7"/>
      <c r="D29" s="7"/>
      <c r="E29" s="7"/>
      <c r="F29" s="7"/>
      <c r="G29" s="7"/>
      <c r="H29" s="7"/>
      <c r="I29" s="7"/>
      <c r="J29" s="7"/>
      <c r="K29" s="7"/>
      <c r="L29" s="7"/>
      <c r="M29" s="7"/>
    </row>
    <row r="30" spans="1:44" s="6" customFormat="1" hidden="1">
      <c r="A30" s="6" t="s">
        <v>41</v>
      </c>
      <c r="B30" s="53">
        <v>392880</v>
      </c>
      <c r="C30" s="53">
        <v>559131</v>
      </c>
      <c r="D30" s="53">
        <v>664356</v>
      </c>
      <c r="E30" s="53">
        <v>808302</v>
      </c>
      <c r="F30" s="53">
        <v>577909</v>
      </c>
      <c r="G30" s="53">
        <v>554216</v>
      </c>
      <c r="H30" s="53">
        <v>599925</v>
      </c>
      <c r="I30" s="53">
        <v>700444</v>
      </c>
      <c r="J30" s="53">
        <v>675949</v>
      </c>
      <c r="K30" s="53">
        <v>733042</v>
      </c>
      <c r="L30" s="53">
        <v>638064</v>
      </c>
      <c r="M30" s="53">
        <v>529402</v>
      </c>
      <c r="N30" s="7">
        <f>SUM(B30:M30)</f>
        <v>7433620</v>
      </c>
      <c r="O30" s="29"/>
    </row>
    <row r="31" spans="1:44" s="6" customFormat="1" hidden="1">
      <c r="A31" s="6" t="s">
        <v>42</v>
      </c>
      <c r="B31" s="53">
        <v>216187</v>
      </c>
      <c r="C31" s="53">
        <v>190413</v>
      </c>
      <c r="D31" s="53">
        <v>232147</v>
      </c>
      <c r="E31" s="53">
        <v>210938</v>
      </c>
      <c r="F31" s="53">
        <v>193412</v>
      </c>
      <c r="G31" s="53">
        <v>167260</v>
      </c>
      <c r="H31" s="53">
        <v>226827</v>
      </c>
      <c r="I31" s="53">
        <v>203520</v>
      </c>
      <c r="J31" s="53">
        <v>211437</v>
      </c>
      <c r="K31" s="53">
        <v>188816</v>
      </c>
      <c r="L31" s="53">
        <v>104234</v>
      </c>
      <c r="M31" s="53">
        <v>171856</v>
      </c>
      <c r="N31" s="7">
        <f>SUM(B31:M31)</f>
        <v>2317047</v>
      </c>
      <c r="O31" s="29"/>
    </row>
    <row r="32" spans="1:44" s="6" customFormat="1" ht="15" hidden="1">
      <c r="A32" s="6" t="s">
        <v>38</v>
      </c>
      <c r="B32" s="68"/>
      <c r="C32" s="68"/>
      <c r="D32" s="68"/>
      <c r="E32" s="68"/>
      <c r="F32" s="68"/>
      <c r="G32" s="68"/>
      <c r="H32" s="68"/>
      <c r="I32" s="68"/>
      <c r="J32" s="68"/>
      <c r="K32" s="68"/>
      <c r="L32" s="68"/>
      <c r="M32" s="68"/>
      <c r="N32" s="7">
        <f>SUM(B32:M32)</f>
        <v>0</v>
      </c>
      <c r="O32" s="29"/>
      <c r="P32" s="6">
        <f>+B32*-1</f>
        <v>0</v>
      </c>
      <c r="Q32" s="6">
        <f t="shared" ref="Q32:AF33" si="5">+C32*-1</f>
        <v>0</v>
      </c>
      <c r="R32" s="6">
        <f t="shared" si="5"/>
        <v>0</v>
      </c>
      <c r="S32" s="6">
        <f t="shared" si="5"/>
        <v>0</v>
      </c>
      <c r="T32" s="6">
        <f t="shared" si="5"/>
        <v>0</v>
      </c>
      <c r="U32" s="6">
        <f t="shared" si="5"/>
        <v>0</v>
      </c>
      <c r="V32" s="6">
        <f t="shared" si="5"/>
        <v>0</v>
      </c>
      <c r="W32" s="6">
        <f t="shared" si="5"/>
        <v>0</v>
      </c>
      <c r="X32" s="6">
        <f t="shared" si="5"/>
        <v>0</v>
      </c>
      <c r="Y32" s="6">
        <f t="shared" si="5"/>
        <v>0</v>
      </c>
      <c r="Z32" s="6">
        <f t="shared" si="5"/>
        <v>0</v>
      </c>
      <c r="AA32" s="6">
        <f t="shared" si="5"/>
        <v>0</v>
      </c>
      <c r="AB32" s="6">
        <f t="shared" si="5"/>
        <v>0</v>
      </c>
      <c r="AC32" s="6">
        <f t="shared" si="5"/>
        <v>0</v>
      </c>
      <c r="AD32" s="6">
        <f t="shared" si="5"/>
        <v>0</v>
      </c>
      <c r="AE32" s="6">
        <f t="shared" si="5"/>
        <v>0</v>
      </c>
      <c r="AF32" s="6">
        <f t="shared" si="5"/>
        <v>0</v>
      </c>
      <c r="AG32" s="6">
        <f t="shared" ref="AG32:AR33" si="6">+S32*-1</f>
        <v>0</v>
      </c>
      <c r="AH32" s="6">
        <f t="shared" si="6"/>
        <v>0</v>
      </c>
      <c r="AI32" s="6">
        <f t="shared" si="6"/>
        <v>0</v>
      </c>
      <c r="AJ32" s="6">
        <f t="shared" si="6"/>
        <v>0</v>
      </c>
      <c r="AK32" s="6">
        <f t="shared" si="6"/>
        <v>0</v>
      </c>
      <c r="AL32" s="6">
        <f t="shared" si="6"/>
        <v>0</v>
      </c>
      <c r="AM32" s="6">
        <f t="shared" si="6"/>
        <v>0</v>
      </c>
      <c r="AN32" s="6">
        <f t="shared" si="6"/>
        <v>0</v>
      </c>
      <c r="AO32" s="6">
        <f t="shared" si="6"/>
        <v>0</v>
      </c>
      <c r="AP32" s="6">
        <f t="shared" si="6"/>
        <v>0</v>
      </c>
      <c r="AQ32" s="6">
        <f t="shared" si="6"/>
        <v>0</v>
      </c>
      <c r="AR32" s="6">
        <f t="shared" si="6"/>
        <v>0</v>
      </c>
    </row>
    <row r="33" spans="1:44" s="6" customFormat="1" hidden="1">
      <c r="B33" s="15"/>
      <c r="C33" s="15"/>
      <c r="D33" s="15"/>
      <c r="E33" s="15"/>
      <c r="F33" s="15"/>
      <c r="G33" s="15"/>
      <c r="H33" s="15"/>
      <c r="I33" s="15"/>
      <c r="J33" s="15"/>
      <c r="K33" s="15"/>
      <c r="L33" s="15"/>
      <c r="M33" s="15"/>
      <c r="N33" s="15">
        <f>SUM(B33:M33)</f>
        <v>0</v>
      </c>
      <c r="O33" s="29"/>
      <c r="Q33" s="6">
        <f t="shared" si="5"/>
        <v>0</v>
      </c>
      <c r="R33" s="6">
        <f t="shared" si="5"/>
        <v>0</v>
      </c>
      <c r="S33" s="6">
        <f t="shared" si="5"/>
        <v>0</v>
      </c>
      <c r="T33" s="6">
        <f t="shared" si="5"/>
        <v>0</v>
      </c>
      <c r="U33" s="6">
        <f t="shared" si="5"/>
        <v>0</v>
      </c>
      <c r="V33" s="6">
        <f t="shared" si="5"/>
        <v>0</v>
      </c>
      <c r="W33" s="6">
        <f t="shared" si="5"/>
        <v>0</v>
      </c>
      <c r="X33" s="6">
        <f t="shared" si="5"/>
        <v>0</v>
      </c>
      <c r="Y33" s="6">
        <f t="shared" si="5"/>
        <v>0</v>
      </c>
      <c r="Z33" s="6">
        <f t="shared" si="5"/>
        <v>0</v>
      </c>
      <c r="AA33" s="6">
        <f t="shared" si="5"/>
        <v>0</v>
      </c>
      <c r="AB33" s="6">
        <f t="shared" si="5"/>
        <v>0</v>
      </c>
      <c r="AC33" s="6">
        <f t="shared" si="5"/>
        <v>0</v>
      </c>
      <c r="AD33" s="6">
        <f t="shared" si="5"/>
        <v>0</v>
      </c>
      <c r="AE33" s="6">
        <f t="shared" si="5"/>
        <v>0</v>
      </c>
      <c r="AF33" s="6">
        <f t="shared" si="5"/>
        <v>0</v>
      </c>
      <c r="AG33" s="6">
        <f t="shared" si="6"/>
        <v>0</v>
      </c>
      <c r="AH33" s="6">
        <f t="shared" si="6"/>
        <v>0</v>
      </c>
      <c r="AI33" s="6">
        <f t="shared" si="6"/>
        <v>0</v>
      </c>
      <c r="AJ33" s="6">
        <f t="shared" si="6"/>
        <v>0</v>
      </c>
      <c r="AK33" s="6">
        <f t="shared" si="6"/>
        <v>0</v>
      </c>
      <c r="AL33" s="6">
        <f t="shared" si="6"/>
        <v>0</v>
      </c>
      <c r="AM33" s="6">
        <f t="shared" si="6"/>
        <v>0</v>
      </c>
      <c r="AN33" s="6">
        <f t="shared" si="6"/>
        <v>0</v>
      </c>
      <c r="AO33" s="6">
        <f t="shared" si="6"/>
        <v>0</v>
      </c>
      <c r="AP33" s="6">
        <f t="shared" si="6"/>
        <v>0</v>
      </c>
      <c r="AQ33" s="6">
        <f t="shared" si="6"/>
        <v>0</v>
      </c>
      <c r="AR33" s="6">
        <f t="shared" si="6"/>
        <v>0</v>
      </c>
    </row>
    <row r="34" spans="1:44" s="6" customFormat="1">
      <c r="A34" s="13" t="s">
        <v>43</v>
      </c>
      <c r="B34" s="12">
        <f t="shared" ref="B34:N34" si="7">SUM(B30:B33)</f>
        <v>609067</v>
      </c>
      <c r="C34" s="12">
        <f t="shared" si="7"/>
        <v>749544</v>
      </c>
      <c r="D34" s="12">
        <f t="shared" si="7"/>
        <v>896503</v>
      </c>
      <c r="E34" s="12">
        <f t="shared" si="7"/>
        <v>1019240</v>
      </c>
      <c r="F34" s="12">
        <f t="shared" si="7"/>
        <v>771321</v>
      </c>
      <c r="G34" s="12">
        <f t="shared" si="7"/>
        <v>721476</v>
      </c>
      <c r="H34" s="12">
        <f t="shared" si="7"/>
        <v>826752</v>
      </c>
      <c r="I34" s="12">
        <f t="shared" si="7"/>
        <v>903964</v>
      </c>
      <c r="J34" s="12">
        <f t="shared" si="7"/>
        <v>887386</v>
      </c>
      <c r="K34" s="12">
        <f t="shared" si="7"/>
        <v>921858</v>
      </c>
      <c r="L34" s="12">
        <f t="shared" si="7"/>
        <v>742298</v>
      </c>
      <c r="M34" s="12">
        <f t="shared" si="7"/>
        <v>701258</v>
      </c>
      <c r="N34" s="12">
        <f t="shared" si="7"/>
        <v>9750667</v>
      </c>
      <c r="O34" s="29"/>
    </row>
    <row r="35" spans="1:44" s="6" customFormat="1">
      <c r="B35" s="7"/>
      <c r="C35" s="7"/>
      <c r="D35" s="7"/>
      <c r="E35" s="7"/>
      <c r="F35" s="7"/>
      <c r="G35" s="7"/>
      <c r="H35" s="7"/>
      <c r="I35" s="7"/>
      <c r="J35" s="7"/>
      <c r="K35" s="7"/>
      <c r="L35" s="7"/>
      <c r="M35" s="7"/>
    </row>
    <row r="36" spans="1:44" s="6" customFormat="1" hidden="1">
      <c r="A36" s="13" t="s">
        <v>44</v>
      </c>
      <c r="B36" s="7"/>
      <c r="C36" s="7"/>
      <c r="D36" s="7"/>
      <c r="E36" s="7"/>
      <c r="F36" s="7"/>
      <c r="G36" s="7"/>
      <c r="H36" s="7"/>
      <c r="I36" s="7"/>
      <c r="J36" s="7"/>
      <c r="K36" s="7"/>
      <c r="L36" s="7"/>
      <c r="M36" s="7"/>
    </row>
    <row r="37" spans="1:44" s="6" customFormat="1" hidden="1">
      <c r="A37" s="6" t="s">
        <v>45</v>
      </c>
      <c r="B37" s="53">
        <v>957334</v>
      </c>
      <c r="C37" s="53">
        <v>1284431</v>
      </c>
      <c r="D37" s="53">
        <v>1445140</v>
      </c>
      <c r="E37" s="53">
        <v>1605674</v>
      </c>
      <c r="F37" s="53">
        <v>1524417</v>
      </c>
      <c r="G37" s="66">
        <v>1260096</v>
      </c>
      <c r="H37" s="66">
        <v>1231421</v>
      </c>
      <c r="I37" s="66">
        <v>1441090</v>
      </c>
      <c r="J37" s="66">
        <v>1481996</v>
      </c>
      <c r="K37" s="53">
        <v>1658913</v>
      </c>
      <c r="L37" s="53">
        <v>1366856.0727674812</v>
      </c>
      <c r="M37" s="53">
        <v>1143424</v>
      </c>
      <c r="N37" s="7">
        <f>SUM(B37:M37)</f>
        <v>16400792.072767481</v>
      </c>
      <c r="O37" s="29"/>
      <c r="P37" s="69"/>
    </row>
    <row r="38" spans="1:44" s="6" customFormat="1" hidden="1">
      <c r="A38" s="6" t="s">
        <v>46</v>
      </c>
      <c r="B38" s="7">
        <f>-B34</f>
        <v>-609067</v>
      </c>
      <c r="C38" s="7">
        <f t="shared" ref="C38:M38" si="8">-C34</f>
        <v>-749544</v>
      </c>
      <c r="D38" s="7">
        <f t="shared" si="8"/>
        <v>-896503</v>
      </c>
      <c r="E38" s="7">
        <f t="shared" si="8"/>
        <v>-1019240</v>
      </c>
      <c r="F38" s="7">
        <f t="shared" si="8"/>
        <v>-771321</v>
      </c>
      <c r="G38" s="7">
        <f t="shared" si="8"/>
        <v>-721476</v>
      </c>
      <c r="H38" s="7">
        <f t="shared" si="8"/>
        <v>-826752</v>
      </c>
      <c r="I38" s="7">
        <f t="shared" si="8"/>
        <v>-903964</v>
      </c>
      <c r="J38" s="7">
        <f t="shared" si="8"/>
        <v>-887386</v>
      </c>
      <c r="K38" s="7">
        <f t="shared" si="8"/>
        <v>-921858</v>
      </c>
      <c r="L38" s="7">
        <f t="shared" si="8"/>
        <v>-742298</v>
      </c>
      <c r="M38" s="7">
        <f t="shared" si="8"/>
        <v>-701258</v>
      </c>
      <c r="N38" s="7">
        <f>SUM(B38:M38)</f>
        <v>-9750667</v>
      </c>
      <c r="O38" s="29"/>
    </row>
    <row r="39" spans="1:44" s="6" customFormat="1" hidden="1">
      <c r="A39" s="6" t="s">
        <v>47</v>
      </c>
      <c r="B39" s="53">
        <v>-73369</v>
      </c>
      <c r="C39" s="53">
        <v>-72678</v>
      </c>
      <c r="D39" s="53">
        <v>-71948</v>
      </c>
      <c r="E39" s="53">
        <v>-72678</v>
      </c>
      <c r="F39" s="53">
        <v>-72867</v>
      </c>
      <c r="G39" s="53">
        <v>-72836</v>
      </c>
      <c r="H39" s="53">
        <v>-69729</v>
      </c>
      <c r="I39" s="53">
        <v>-69080</v>
      </c>
      <c r="J39" s="53">
        <v>-82065.061666666603</v>
      </c>
      <c r="K39" s="53">
        <v>-79458</v>
      </c>
      <c r="L39" s="53">
        <v>-81487</v>
      </c>
      <c r="M39" s="53">
        <v>-78772</v>
      </c>
      <c r="N39" s="7">
        <f>SUM(B39:M39)</f>
        <v>-896967.06166666665</v>
      </c>
      <c r="O39" s="29"/>
    </row>
    <row r="40" spans="1:44" s="6" customFormat="1" hidden="1">
      <c r="A40" s="6" t="s">
        <v>78</v>
      </c>
      <c r="B40" s="53"/>
      <c r="C40" s="53"/>
      <c r="D40" s="53"/>
      <c r="E40" s="53"/>
      <c r="F40" s="53"/>
      <c r="G40" s="53"/>
      <c r="H40" s="53"/>
      <c r="I40" s="53"/>
      <c r="J40" s="53"/>
      <c r="K40" s="53"/>
      <c r="L40" s="53"/>
      <c r="M40" s="53"/>
      <c r="N40" s="7">
        <f>SUM(B40:M40)</f>
        <v>0</v>
      </c>
      <c r="O40" s="29"/>
    </row>
    <row r="41" spans="1:44" s="6" customFormat="1" hidden="1">
      <c r="A41" s="6" t="s">
        <v>48</v>
      </c>
      <c r="B41" s="60">
        <v>-10663.666666666701</v>
      </c>
      <c r="C41" s="60">
        <v>-10663.666666666701</v>
      </c>
      <c r="D41" s="60">
        <v>-10663.666666666701</v>
      </c>
      <c r="E41" s="60">
        <v>-10663.666666666701</v>
      </c>
      <c r="F41" s="60">
        <v>-10663.666666666701</v>
      </c>
      <c r="G41" s="60">
        <v>-10663.666666666701</v>
      </c>
      <c r="H41" s="60">
        <v>-10663.666666666701</v>
      </c>
      <c r="I41" s="60">
        <v>-10663.666666666701</v>
      </c>
      <c r="J41" s="60">
        <v>-10664</v>
      </c>
      <c r="K41" s="60">
        <v>-10664</v>
      </c>
      <c r="L41" s="60">
        <v>-10664</v>
      </c>
      <c r="M41" s="60">
        <v>117300</v>
      </c>
      <c r="N41" s="15">
        <f>SUM(B41:M41)</f>
        <v>-1.3333333336049691</v>
      </c>
      <c r="O41" s="29"/>
    </row>
    <row r="42" spans="1:44" s="6" customFormat="1">
      <c r="A42" s="13" t="s">
        <v>49</v>
      </c>
      <c r="B42" s="12">
        <f t="shared" ref="B42:N42" si="9">SUM(B37:B41)</f>
        <v>264234.33333333331</v>
      </c>
      <c r="C42" s="12">
        <f t="shared" si="9"/>
        <v>451545.33333333331</v>
      </c>
      <c r="D42" s="12">
        <f t="shared" si="9"/>
        <v>466025.33333333331</v>
      </c>
      <c r="E42" s="12">
        <f t="shared" si="9"/>
        <v>503092.33333333331</v>
      </c>
      <c r="F42" s="12">
        <f t="shared" si="9"/>
        <v>669565.33333333326</v>
      </c>
      <c r="G42" s="12">
        <f t="shared" si="9"/>
        <v>455120.33333333331</v>
      </c>
      <c r="H42" s="12">
        <f t="shared" si="9"/>
        <v>324276.33333333331</v>
      </c>
      <c r="I42" s="12">
        <f t="shared" si="9"/>
        <v>457382.33333333331</v>
      </c>
      <c r="J42" s="12">
        <f t="shared" si="9"/>
        <v>501880.93833333341</v>
      </c>
      <c r="K42" s="12">
        <f t="shared" si="9"/>
        <v>646933</v>
      </c>
      <c r="L42" s="12">
        <f t="shared" si="9"/>
        <v>532407.07276748121</v>
      </c>
      <c r="M42" s="12">
        <f t="shared" si="9"/>
        <v>480694</v>
      </c>
      <c r="N42" s="12">
        <f t="shared" si="9"/>
        <v>5753156.6777674807</v>
      </c>
      <c r="O42" s="29"/>
    </row>
    <row r="43" spans="1:44">
      <c r="A43" s="1"/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2"/>
      <c r="N43" s="12"/>
      <c r="O43" s="6"/>
    </row>
    <row r="44" spans="1:44" hidden="1">
      <c r="A44" s="13" t="s">
        <v>50</v>
      </c>
      <c r="B44" s="53">
        <v>275362</v>
      </c>
      <c r="C44" s="53">
        <v>282653</v>
      </c>
      <c r="D44" s="53">
        <v>316557</v>
      </c>
      <c r="E44" s="53">
        <v>459677</v>
      </c>
      <c r="F44" s="53">
        <v>293116</v>
      </c>
      <c r="G44" s="53">
        <v>257165</v>
      </c>
      <c r="H44" s="53">
        <v>315444</v>
      </c>
      <c r="I44" s="53">
        <v>284299</v>
      </c>
      <c r="J44" s="53">
        <v>316356</v>
      </c>
      <c r="K44" s="53">
        <v>355383</v>
      </c>
      <c r="L44" s="53">
        <v>305310</v>
      </c>
      <c r="M44" s="53">
        <v>1390920</v>
      </c>
      <c r="N44" s="12">
        <f>SUM(B44:M44)</f>
        <v>4852242</v>
      </c>
      <c r="O44" s="29"/>
    </row>
    <row r="45" spans="1:44" hidden="1">
      <c r="A45" s="6" t="s">
        <v>51</v>
      </c>
      <c r="B45" s="22">
        <v>0</v>
      </c>
      <c r="C45" s="22">
        <v>-10000</v>
      </c>
      <c r="D45" s="22">
        <v>-10000</v>
      </c>
      <c r="E45" s="22">
        <v>-10000</v>
      </c>
      <c r="F45" s="22">
        <v>-10000</v>
      </c>
      <c r="G45" s="22">
        <v>-10000</v>
      </c>
      <c r="H45" s="22">
        <v>-10000</v>
      </c>
      <c r="I45" s="22">
        <v>-10000</v>
      </c>
      <c r="J45" s="22">
        <v>-10000</v>
      </c>
      <c r="K45" s="22">
        <v>-10000</v>
      </c>
      <c r="L45" s="22">
        <v>-10000</v>
      </c>
      <c r="M45" s="22">
        <f>626522-783494-484167-380000</f>
        <v>-1021139</v>
      </c>
      <c r="N45" s="22">
        <f>SUM(B45:M45)</f>
        <v>-1121139</v>
      </c>
      <c r="O45" s="29"/>
    </row>
    <row r="46" spans="1:44">
      <c r="A46" s="1" t="s">
        <v>50</v>
      </c>
      <c r="B46" s="12">
        <f>SUM(B44:B45)</f>
        <v>275362</v>
      </c>
      <c r="C46" s="12">
        <f>SUM(C44:C45)</f>
        <v>272653</v>
      </c>
      <c r="D46" s="12">
        <f t="shared" ref="D46:N46" si="10">SUM(D44:D45)</f>
        <v>306557</v>
      </c>
      <c r="E46" s="12">
        <f t="shared" si="10"/>
        <v>449677</v>
      </c>
      <c r="F46" s="12">
        <f t="shared" si="10"/>
        <v>283116</v>
      </c>
      <c r="G46" s="12">
        <f t="shared" si="10"/>
        <v>247165</v>
      </c>
      <c r="H46" s="12">
        <f t="shared" si="10"/>
        <v>305444</v>
      </c>
      <c r="I46" s="12">
        <f t="shared" si="10"/>
        <v>274299</v>
      </c>
      <c r="J46" s="12">
        <f t="shared" si="10"/>
        <v>306356</v>
      </c>
      <c r="K46" s="12">
        <f t="shared" si="10"/>
        <v>345383</v>
      </c>
      <c r="L46" s="12">
        <f t="shared" si="10"/>
        <v>295310</v>
      </c>
      <c r="M46" s="12">
        <f t="shared" si="10"/>
        <v>369781</v>
      </c>
      <c r="N46" s="12">
        <f t="shared" si="10"/>
        <v>3731103</v>
      </c>
      <c r="O46" s="29"/>
    </row>
    <row r="47" spans="1:44">
      <c r="B47" s="7"/>
      <c r="C47" s="7"/>
      <c r="D47" s="7"/>
      <c r="E47" s="7"/>
      <c r="F47" s="7"/>
      <c r="G47" s="7"/>
      <c r="H47" s="7"/>
      <c r="I47" s="7"/>
      <c r="J47" s="7"/>
      <c r="K47" s="6"/>
      <c r="L47" s="6"/>
      <c r="M47" s="6"/>
      <c r="N47" s="6"/>
      <c r="O47" s="6"/>
    </row>
    <row r="48" spans="1:44">
      <c r="A48" s="13" t="s">
        <v>52</v>
      </c>
      <c r="B48" s="19">
        <f t="shared" ref="B48:N48" si="11">+B20+B34+B42+B46</f>
        <v>1768948.3333333333</v>
      </c>
      <c r="C48" s="19">
        <f t="shared" si="11"/>
        <v>4442285.333333334</v>
      </c>
      <c r="D48" s="19">
        <f t="shared" si="11"/>
        <v>3296170.3333333335</v>
      </c>
      <c r="E48" s="19">
        <f t="shared" si="11"/>
        <v>3311258.3333333335</v>
      </c>
      <c r="F48" s="19">
        <f t="shared" si="11"/>
        <v>2590634.333333333</v>
      </c>
      <c r="G48" s="19">
        <f t="shared" si="11"/>
        <v>2341586.333333333</v>
      </c>
      <c r="H48" s="19">
        <f t="shared" si="11"/>
        <v>3563191.3333333335</v>
      </c>
      <c r="I48" s="19">
        <f t="shared" si="11"/>
        <v>3067621.3333333335</v>
      </c>
      <c r="J48" s="19">
        <f t="shared" si="11"/>
        <v>2863988.9383333335</v>
      </c>
      <c r="K48" s="19">
        <f t="shared" si="11"/>
        <v>3258914</v>
      </c>
      <c r="L48" s="19">
        <f t="shared" si="11"/>
        <v>2717864.0727674812</v>
      </c>
      <c r="M48" s="19">
        <f t="shared" si="11"/>
        <v>2455482</v>
      </c>
      <c r="N48" s="19">
        <f t="shared" si="11"/>
        <v>35677944.677767485</v>
      </c>
      <c r="O48" s="29"/>
    </row>
    <row r="49" spans="1:17">
      <c r="B49" s="7"/>
      <c r="C49" s="7"/>
      <c r="D49" s="7"/>
      <c r="E49" s="7"/>
      <c r="F49" s="7"/>
      <c r="G49" s="7"/>
      <c r="H49" s="7"/>
      <c r="I49" s="7"/>
      <c r="J49" s="7"/>
      <c r="K49" s="6"/>
      <c r="L49" s="6"/>
      <c r="M49" s="6"/>
      <c r="N49" s="6"/>
      <c r="O49" s="6"/>
    </row>
    <row r="50" spans="1:17">
      <c r="A50" s="1" t="s">
        <v>53</v>
      </c>
      <c r="B50" s="12">
        <f t="shared" ref="B50:M50" si="12">+B13-B48</f>
        <v>-507699.33333333326</v>
      </c>
      <c r="C50" s="12">
        <f t="shared" si="12"/>
        <v>439569.66666666605</v>
      </c>
      <c r="D50" s="12">
        <f t="shared" si="12"/>
        <v>507414.66666666651</v>
      </c>
      <c r="E50" s="12">
        <f t="shared" si="12"/>
        <v>574211.66666666651</v>
      </c>
      <c r="F50" s="12">
        <f t="shared" si="12"/>
        <v>44751.666666666977</v>
      </c>
      <c r="G50" s="12">
        <f t="shared" si="12"/>
        <v>205590.66666666698</v>
      </c>
      <c r="H50" s="12">
        <f t="shared" si="12"/>
        <v>-74608.333333333489</v>
      </c>
      <c r="I50" s="12">
        <f t="shared" si="12"/>
        <v>500311.66666666651</v>
      </c>
      <c r="J50" s="12">
        <f t="shared" si="12"/>
        <v>421295.06166666653</v>
      </c>
      <c r="K50" s="12">
        <f t="shared" si="12"/>
        <v>583357</v>
      </c>
      <c r="L50" s="12">
        <f t="shared" si="12"/>
        <v>610632.92723251879</v>
      </c>
      <c r="M50" s="12">
        <f t="shared" si="12"/>
        <v>-811127</v>
      </c>
      <c r="N50" s="12">
        <f>SUM(B50:M50)</f>
        <v>2493700.3222325183</v>
      </c>
      <c r="O50" s="6"/>
      <c r="P50" s="25"/>
    </row>
    <row r="51" spans="1:17" ht="7.5" customHeight="1">
      <c r="B51" s="7"/>
      <c r="C51" s="7"/>
      <c r="D51" s="7"/>
      <c r="E51" s="7"/>
      <c r="F51" s="7"/>
      <c r="G51" s="7"/>
      <c r="H51" s="7"/>
      <c r="I51" s="7"/>
      <c r="J51" s="7"/>
      <c r="K51" s="6"/>
      <c r="L51" s="6"/>
      <c r="M51" s="6"/>
      <c r="N51" s="6"/>
      <c r="O51" s="6"/>
    </row>
    <row r="52" spans="1:17">
      <c r="A52" s="1" t="s">
        <v>54</v>
      </c>
      <c r="B52" s="7"/>
      <c r="C52" s="7"/>
      <c r="D52" s="7"/>
      <c r="E52" s="7"/>
      <c r="F52" s="7"/>
      <c r="G52" s="7"/>
      <c r="H52" s="7"/>
      <c r="I52" s="7"/>
      <c r="J52" s="7"/>
      <c r="K52" s="6"/>
      <c r="L52" s="6"/>
      <c r="M52" s="6"/>
      <c r="N52" s="6"/>
      <c r="O52" s="6"/>
    </row>
    <row r="53" spans="1:17" s="6" customFormat="1">
      <c r="A53" s="6" t="s">
        <v>55</v>
      </c>
      <c r="B53" s="10">
        <v>24982</v>
      </c>
      <c r="C53" s="10">
        <v>358462</v>
      </c>
      <c r="D53" s="10">
        <v>50664</v>
      </c>
      <c r="E53" s="10">
        <v>150552</v>
      </c>
      <c r="F53" s="10">
        <v>810</v>
      </c>
      <c r="G53" s="10">
        <v>66952</v>
      </c>
      <c r="H53" s="23">
        <v>23487</v>
      </c>
      <c r="I53" s="10"/>
      <c r="J53" s="10">
        <v>28864</v>
      </c>
      <c r="K53" s="10">
        <v>41254.46</v>
      </c>
      <c r="L53" s="10">
        <v>125061</v>
      </c>
      <c r="M53" s="10">
        <f>27221-27608+5000</f>
        <v>4613</v>
      </c>
      <c r="N53" s="10">
        <f>SUM(B53:M53)</f>
        <v>875701.46</v>
      </c>
      <c r="P53" s="40"/>
    </row>
    <row r="54" spans="1:17" s="6" customFormat="1">
      <c r="A54" s="6" t="s">
        <v>56</v>
      </c>
      <c r="B54" s="10"/>
      <c r="C54" s="10"/>
      <c r="D54" s="47">
        <v>-520000</v>
      </c>
      <c r="E54" s="10"/>
      <c r="F54" s="10">
        <v>85000</v>
      </c>
      <c r="G54" s="10"/>
      <c r="H54" s="10"/>
      <c r="I54" s="10"/>
      <c r="J54" s="10"/>
      <c r="K54" s="10"/>
      <c r="L54" s="10"/>
      <c r="M54" s="10"/>
      <c r="N54" s="10">
        <f>SUM(B54:M54)</f>
        <v>-435000</v>
      </c>
      <c r="P54" s="7"/>
      <c r="Q54" s="6">
        <v>0</v>
      </c>
    </row>
    <row r="55" spans="1:17" s="6" customFormat="1">
      <c r="A55" s="6" t="s">
        <v>57</v>
      </c>
      <c r="B55" s="10">
        <f>50000+228312</f>
        <v>278312</v>
      </c>
      <c r="C55" s="10">
        <v>50000</v>
      </c>
      <c r="D55" s="10">
        <v>50000</v>
      </c>
      <c r="E55" s="10">
        <v>50000</v>
      </c>
      <c r="F55" s="10">
        <v>50000</v>
      </c>
      <c r="G55" s="10">
        <v>50000</v>
      </c>
      <c r="H55" s="10">
        <v>50000</v>
      </c>
      <c r="I55" s="10">
        <v>50000</v>
      </c>
      <c r="J55" s="10">
        <v>50000</v>
      </c>
      <c r="K55" s="10">
        <v>50000</v>
      </c>
      <c r="L55" s="10">
        <v>0</v>
      </c>
      <c r="M55" s="10">
        <v>0</v>
      </c>
      <c r="N55" s="10">
        <f>SUM(B55:M55)</f>
        <v>728312</v>
      </c>
      <c r="P55" s="7"/>
    </row>
    <row r="56" spans="1:17" s="6" customFormat="1">
      <c r="A56" s="37" t="s">
        <v>58</v>
      </c>
      <c r="B56" s="7">
        <v>-26129</v>
      </c>
      <c r="C56" s="7">
        <f>-44-9248</f>
        <v>-9292</v>
      </c>
      <c r="D56" s="7">
        <f>-15614+D11</f>
        <v>-9032</v>
      </c>
      <c r="E56" s="7">
        <f>-5908-140</f>
        <v>-6048</v>
      </c>
      <c r="F56" s="7">
        <f>-5524.48-161.91</f>
        <v>-5686.3899999999994</v>
      </c>
      <c r="G56" s="7">
        <v>-82140</v>
      </c>
      <c r="H56" s="10">
        <v>-6989.05</v>
      </c>
      <c r="I56" s="7">
        <v>-9542</v>
      </c>
      <c r="J56" s="7">
        <v>-10718</v>
      </c>
      <c r="K56" s="7">
        <v>-8839.67</v>
      </c>
      <c r="L56" s="7">
        <v>-7577</v>
      </c>
      <c r="M56" s="7">
        <f>-367400+47587</f>
        <v>-319813</v>
      </c>
      <c r="N56" s="7">
        <f>SUM(B56:M56)</f>
        <v>-501806.11</v>
      </c>
      <c r="P56" s="56"/>
    </row>
    <row r="57" spans="1:17" s="6" customFormat="1">
      <c r="A57" s="6" t="s">
        <v>59</v>
      </c>
      <c r="B57" s="22">
        <v>-262370</v>
      </c>
      <c r="C57" s="22">
        <v>-26645</v>
      </c>
      <c r="D57" s="22">
        <v>-47784</v>
      </c>
      <c r="E57" s="22">
        <v>155784</v>
      </c>
      <c r="F57" s="22">
        <f>4377.86-5778.42</f>
        <v>-1400.5600000000004</v>
      </c>
      <c r="G57" s="22">
        <v>11216</v>
      </c>
      <c r="H57" s="10">
        <v>-179840.6</v>
      </c>
      <c r="I57" s="22">
        <v>-155270</v>
      </c>
      <c r="J57" s="22">
        <v>-114783</v>
      </c>
      <c r="K57" s="22">
        <v>-108759.15</v>
      </c>
      <c r="L57" s="22">
        <v>-101438</v>
      </c>
      <c r="M57" s="22">
        <v>306925</v>
      </c>
      <c r="N57" s="22">
        <f>SUM(B57:M57)</f>
        <v>-524365.31000000006</v>
      </c>
      <c r="P57" s="7"/>
    </row>
    <row r="58" spans="1:17" s="6" customFormat="1">
      <c r="A58" s="13" t="s">
        <v>60</v>
      </c>
      <c r="B58" s="19">
        <f t="shared" ref="B58:N58" si="13">SUM(B53:B57)</f>
        <v>14795</v>
      </c>
      <c r="C58" s="19">
        <f t="shared" si="13"/>
        <v>372525</v>
      </c>
      <c r="D58" s="19">
        <f t="shared" si="13"/>
        <v>-476152</v>
      </c>
      <c r="E58" s="19">
        <f t="shared" si="13"/>
        <v>350288</v>
      </c>
      <c r="F58" s="19">
        <f t="shared" si="13"/>
        <v>128723.05</v>
      </c>
      <c r="G58" s="19">
        <f t="shared" si="13"/>
        <v>46028</v>
      </c>
      <c r="H58" s="19">
        <f>SUM(H53:H57)</f>
        <v>-113342.65000000001</v>
      </c>
      <c r="I58" s="19">
        <f t="shared" si="13"/>
        <v>-114812</v>
      </c>
      <c r="J58" s="19">
        <f t="shared" si="13"/>
        <v>-46637</v>
      </c>
      <c r="K58" s="19">
        <f t="shared" si="13"/>
        <v>-26344.36</v>
      </c>
      <c r="L58" s="19">
        <f t="shared" si="13"/>
        <v>16046</v>
      </c>
      <c r="M58" s="19">
        <f t="shared" si="13"/>
        <v>-8275</v>
      </c>
      <c r="N58" s="19">
        <f t="shared" si="13"/>
        <v>142842.03999999992</v>
      </c>
      <c r="O58" s="29"/>
    </row>
    <row r="59" spans="1:17">
      <c r="B59" s="7"/>
      <c r="C59" s="7"/>
      <c r="D59" s="7"/>
      <c r="E59" s="7"/>
      <c r="F59" s="7"/>
      <c r="G59" s="7"/>
      <c r="H59" s="7"/>
      <c r="I59" s="7"/>
      <c r="J59" s="7"/>
      <c r="K59" s="7"/>
      <c r="L59" s="7"/>
      <c r="M59" s="7"/>
      <c r="N59" s="7"/>
      <c r="O59" s="6"/>
    </row>
    <row r="60" spans="1:17">
      <c r="A60" s="1" t="s">
        <v>61</v>
      </c>
      <c r="B60" s="12">
        <v>10990495</v>
      </c>
      <c r="C60" s="7"/>
      <c r="D60" s="7"/>
      <c r="E60" s="7"/>
      <c r="F60" s="7"/>
      <c r="G60" s="7"/>
      <c r="H60" s="7" t="s">
        <v>38</v>
      </c>
      <c r="I60" s="7"/>
      <c r="J60" s="7"/>
      <c r="K60" s="6"/>
      <c r="L60" s="6"/>
      <c r="M60" s="6"/>
      <c r="N60" s="6"/>
      <c r="O60" s="6"/>
    </row>
    <row r="61" spans="1:17">
      <c r="A61" s="13" t="s">
        <v>62</v>
      </c>
      <c r="B61" s="19">
        <f t="shared" ref="B61:N61" si="14">+B58+B48</f>
        <v>1783743.3333333333</v>
      </c>
      <c r="C61" s="19">
        <f t="shared" si="14"/>
        <v>4814810.333333334</v>
      </c>
      <c r="D61" s="19">
        <f t="shared" si="14"/>
        <v>2820018.3333333335</v>
      </c>
      <c r="E61" s="19">
        <f t="shared" si="14"/>
        <v>3661546.3333333335</v>
      </c>
      <c r="F61" s="19">
        <f t="shared" si="14"/>
        <v>2719357.3833333328</v>
      </c>
      <c r="G61" s="19">
        <f t="shared" si="14"/>
        <v>2387614.333333333</v>
      </c>
      <c r="H61" s="19">
        <f t="shared" si="14"/>
        <v>3449848.6833333336</v>
      </c>
      <c r="I61" s="19">
        <f t="shared" si="14"/>
        <v>2952809.3333333335</v>
      </c>
      <c r="J61" s="19">
        <f t="shared" si="14"/>
        <v>2817351.9383333335</v>
      </c>
      <c r="K61" s="19">
        <f t="shared" si="14"/>
        <v>3232569.64</v>
      </c>
      <c r="L61" s="19">
        <f t="shared" si="14"/>
        <v>2733910.0727674812</v>
      </c>
      <c r="M61" s="19">
        <f t="shared" si="14"/>
        <v>2447207</v>
      </c>
      <c r="N61" s="19">
        <f t="shared" si="14"/>
        <v>35820786.717767484</v>
      </c>
      <c r="O61" s="29"/>
      <c r="P61" s="25">
        <f>+N61-O61</f>
        <v>35820786.717767484</v>
      </c>
    </row>
    <row r="62" spans="1:17" ht="13.5" thickBot="1">
      <c r="A62" s="13" t="s">
        <v>63</v>
      </c>
      <c r="B62" s="30">
        <f t="shared" ref="B62:N62" si="15">+B13-B61</f>
        <v>-522494.33333333326</v>
      </c>
      <c r="C62" s="30">
        <f t="shared" si="15"/>
        <v>67044.666666666046</v>
      </c>
      <c r="D62" s="30">
        <f t="shared" si="15"/>
        <v>983566.66666666651</v>
      </c>
      <c r="E62" s="30">
        <f t="shared" si="15"/>
        <v>223923.66666666651</v>
      </c>
      <c r="F62" s="30">
        <f t="shared" si="15"/>
        <v>-83971.383333332837</v>
      </c>
      <c r="G62" s="30">
        <f t="shared" si="15"/>
        <v>159562.66666666698</v>
      </c>
      <c r="H62" s="30">
        <f t="shared" si="15"/>
        <v>38734.316666666418</v>
      </c>
      <c r="I62" s="30">
        <f t="shared" si="15"/>
        <v>615123.66666666651</v>
      </c>
      <c r="J62" s="30">
        <f t="shared" si="15"/>
        <v>467932.06166666653</v>
      </c>
      <c r="K62" s="30">
        <f t="shared" si="15"/>
        <v>609701.35999999987</v>
      </c>
      <c r="L62" s="30">
        <f t="shared" si="15"/>
        <v>594586.92723251879</v>
      </c>
      <c r="M62" s="30">
        <f t="shared" si="15"/>
        <v>-802852</v>
      </c>
      <c r="N62" s="14">
        <f t="shared" si="15"/>
        <v>2350858.2822325155</v>
      </c>
      <c r="O62" s="29"/>
      <c r="P62" s="25">
        <f>+N62-O62</f>
        <v>2350858.2822325155</v>
      </c>
    </row>
    <row r="63" spans="1:17" s="6" customFormat="1" ht="13.5" thickTop="1">
      <c r="A63" s="13" t="s">
        <v>64</v>
      </c>
      <c r="B63" s="32">
        <f>+B62</f>
        <v>-522494.33333333326</v>
      </c>
      <c r="C63" s="32">
        <f t="shared" ref="C63:M63" si="16">B63+C62</f>
        <v>-455449.66666666721</v>
      </c>
      <c r="D63" s="32">
        <f t="shared" si="16"/>
        <v>528116.9999999993</v>
      </c>
      <c r="E63" s="32">
        <f t="shared" si="16"/>
        <v>752040.66666666581</v>
      </c>
      <c r="F63" s="32">
        <f t="shared" si="16"/>
        <v>668069.28333333298</v>
      </c>
      <c r="G63" s="32">
        <f t="shared" si="16"/>
        <v>827631.95</v>
      </c>
      <c r="H63" s="32">
        <f t="shared" si="16"/>
        <v>866366.26666666637</v>
      </c>
      <c r="I63" s="32">
        <f t="shared" si="16"/>
        <v>1481489.9333333329</v>
      </c>
      <c r="J63" s="32">
        <f t="shared" si="16"/>
        <v>1949421.9949999994</v>
      </c>
      <c r="K63" s="32">
        <f t="shared" si="16"/>
        <v>2559123.3549999995</v>
      </c>
      <c r="L63" s="32">
        <f t="shared" si="16"/>
        <v>3153710.2822325183</v>
      </c>
      <c r="M63" s="32">
        <f t="shared" si="16"/>
        <v>2350858.2822325183</v>
      </c>
      <c r="N63" s="12"/>
    </row>
    <row r="64" spans="1:17">
      <c r="A64" s="13" t="s">
        <v>65</v>
      </c>
      <c r="B64" s="12">
        <f t="shared" ref="B64:M64" si="17">+$B$60+B63</f>
        <v>10468000.666666666</v>
      </c>
      <c r="C64" s="12">
        <f t="shared" si="17"/>
        <v>10535045.333333332</v>
      </c>
      <c r="D64" s="12">
        <f t="shared" si="17"/>
        <v>11518612</v>
      </c>
      <c r="E64" s="12">
        <f t="shared" si="17"/>
        <v>11742535.666666666</v>
      </c>
      <c r="F64" s="12">
        <f t="shared" si="17"/>
        <v>11658564.283333333</v>
      </c>
      <c r="G64" s="12">
        <f t="shared" si="17"/>
        <v>11818126.949999999</v>
      </c>
      <c r="H64" s="12">
        <f t="shared" si="17"/>
        <v>11856861.266666666</v>
      </c>
      <c r="I64" s="12">
        <f t="shared" si="17"/>
        <v>12471984.933333334</v>
      </c>
      <c r="J64" s="12">
        <f t="shared" si="17"/>
        <v>12939916.994999999</v>
      </c>
      <c r="K64" s="12">
        <f t="shared" si="17"/>
        <v>13549618.355</v>
      </c>
      <c r="L64" s="12">
        <f t="shared" si="17"/>
        <v>14144205.282232519</v>
      </c>
      <c r="M64" s="12">
        <f t="shared" si="17"/>
        <v>13341353.282232519</v>
      </c>
      <c r="N64" s="12"/>
      <c r="O64" s="6"/>
      <c r="P64" s="29"/>
    </row>
    <row r="65" spans="1:16">
      <c r="A65" s="6"/>
      <c r="B65" s="7"/>
      <c r="C65" s="7"/>
      <c r="D65" s="7"/>
      <c r="E65" s="7"/>
      <c r="F65" s="7"/>
      <c r="G65" s="7"/>
      <c r="H65" s="7"/>
      <c r="I65" s="7"/>
      <c r="J65" s="7"/>
      <c r="K65" s="6"/>
      <c r="L65" s="6"/>
      <c r="M65" s="6"/>
      <c r="N65" s="6"/>
      <c r="O65" s="6"/>
    </row>
    <row r="66" spans="1:16" s="6" customFormat="1">
      <c r="A66" s="17" t="s">
        <v>79</v>
      </c>
      <c r="B66" s="18"/>
      <c r="C66" s="18"/>
      <c r="D66" s="18"/>
      <c r="E66" s="18"/>
      <c r="F66" s="18"/>
      <c r="G66" s="18"/>
      <c r="H66" s="18"/>
      <c r="I66" s="18"/>
      <c r="J66" s="18"/>
      <c r="K66" s="18"/>
      <c r="L66" s="18"/>
      <c r="M66" s="18"/>
      <c r="N66" s="18"/>
    </row>
    <row r="67" spans="1:16" ht="13.5" thickBot="1">
      <c r="A67" s="13" t="s">
        <v>67</v>
      </c>
      <c r="B67" s="30">
        <v>-923707.19930042047</v>
      </c>
      <c r="C67" s="30">
        <v>408098.02642089035</v>
      </c>
      <c r="D67" s="30">
        <v>1071842.6402638261</v>
      </c>
      <c r="E67" s="30">
        <v>445993.46125483606</v>
      </c>
      <c r="F67" s="30">
        <v>-265749.60705118906</v>
      </c>
      <c r="G67" s="30">
        <v>-389702.61557580205</v>
      </c>
      <c r="H67" s="30">
        <v>-14360.90837025363</v>
      </c>
      <c r="I67" s="30">
        <v>203880.59546278836</v>
      </c>
      <c r="J67" s="30">
        <v>310916.27537100855</v>
      </c>
      <c r="K67" s="30">
        <v>183559.11018969351</v>
      </c>
      <c r="L67" s="30">
        <v>454347.78970141569</v>
      </c>
      <c r="M67" s="30">
        <v>-1277664.3336020331</v>
      </c>
      <c r="N67" s="16"/>
      <c r="O67" s="6"/>
    </row>
    <row r="68" spans="1:16" ht="13.5" thickTop="1">
      <c r="A68" s="13" t="s">
        <v>64</v>
      </c>
      <c r="B68" s="32">
        <v>-923707.19930042047</v>
      </c>
      <c r="C68" s="32">
        <v>-515609.17287953012</v>
      </c>
      <c r="D68" s="32">
        <v>556233.467384296</v>
      </c>
      <c r="E68" s="32">
        <v>1002226.9286391321</v>
      </c>
      <c r="F68" s="32">
        <v>736477.32158794301</v>
      </c>
      <c r="G68" s="32">
        <v>346774.70601214096</v>
      </c>
      <c r="H68" s="32">
        <v>332413.79764188733</v>
      </c>
      <c r="I68" s="32">
        <v>536294.39310467569</v>
      </c>
      <c r="J68" s="32">
        <v>847210.66847568424</v>
      </c>
      <c r="K68" s="32">
        <v>1030769.7786653778</v>
      </c>
      <c r="L68" s="32">
        <v>1485117.5683667934</v>
      </c>
      <c r="M68" s="32">
        <v>207453.23476476036</v>
      </c>
      <c r="N68" s="16"/>
      <c r="O68" s="6"/>
    </row>
    <row r="69" spans="1:16">
      <c r="A69" s="13" t="s">
        <v>65</v>
      </c>
      <c r="B69" s="12">
        <v>10066787.80069958</v>
      </c>
      <c r="C69" s="12">
        <v>10474885.82712047</v>
      </c>
      <c r="D69" s="12">
        <v>11546728.467384296</v>
      </c>
      <c r="E69" s="12">
        <v>11992721.928639133</v>
      </c>
      <c r="F69" s="12">
        <v>11726972.321587943</v>
      </c>
      <c r="G69" s="12">
        <v>11337269.706012141</v>
      </c>
      <c r="H69" s="12">
        <v>11322908.797641888</v>
      </c>
      <c r="I69" s="12">
        <v>11526789.393104676</v>
      </c>
      <c r="J69" s="12">
        <v>11837705.668475684</v>
      </c>
      <c r="K69" s="12">
        <v>12021264.778665379</v>
      </c>
      <c r="L69" s="12">
        <v>12475612.568366794</v>
      </c>
      <c r="M69" s="12">
        <v>11197948.23476476</v>
      </c>
      <c r="N69" s="12"/>
      <c r="O69" s="6"/>
    </row>
    <row r="70" spans="1:16">
      <c r="A70" s="6"/>
      <c r="B70" s="6"/>
      <c r="C70" s="6"/>
      <c r="D70" s="6"/>
      <c r="E70" s="6"/>
      <c r="F70" s="6"/>
      <c r="H70" s="6"/>
      <c r="I70" s="6"/>
      <c r="J70" s="6"/>
      <c r="K70" s="6"/>
      <c r="L70" s="6"/>
      <c r="M70" s="6"/>
      <c r="N70" s="6"/>
      <c r="O70" s="6"/>
    </row>
    <row r="71" spans="1:16">
      <c r="A71" s="24" t="s">
        <v>68</v>
      </c>
      <c r="B71" s="18"/>
      <c r="C71" s="18"/>
      <c r="D71" s="18"/>
      <c r="E71" s="18"/>
      <c r="F71" s="18"/>
      <c r="G71" s="18"/>
      <c r="H71" s="18"/>
      <c r="I71" s="18"/>
      <c r="J71" s="18"/>
      <c r="K71" s="18"/>
      <c r="L71" s="18"/>
      <c r="M71" s="18"/>
      <c r="N71" s="18"/>
      <c r="O71" s="6"/>
    </row>
    <row r="72" spans="1:16">
      <c r="A72" s="13" t="s">
        <v>63</v>
      </c>
      <c r="B72" s="16">
        <f t="shared" ref="B72:N74" si="18">+B62-B67</f>
        <v>401212.86596708721</v>
      </c>
      <c r="C72" s="16">
        <f t="shared" si="18"/>
        <v>-341053.35975422431</v>
      </c>
      <c r="D72" s="16">
        <f t="shared" si="18"/>
        <v>-88275.973597159609</v>
      </c>
      <c r="E72" s="16">
        <f t="shared" si="18"/>
        <v>-222069.79458816955</v>
      </c>
      <c r="F72" s="16">
        <f t="shared" si="18"/>
        <v>181778.22371785622</v>
      </c>
      <c r="G72" s="16">
        <f t="shared" si="18"/>
        <v>549265.28224246902</v>
      </c>
      <c r="H72" s="16">
        <f t="shared" si="18"/>
        <v>53095.225036920048</v>
      </c>
      <c r="I72" s="16">
        <f t="shared" si="18"/>
        <v>411243.07120387815</v>
      </c>
      <c r="J72" s="16">
        <f t="shared" si="18"/>
        <v>157015.78629565798</v>
      </c>
      <c r="K72" s="16">
        <f t="shared" si="18"/>
        <v>426142.24981030636</v>
      </c>
      <c r="L72" s="16">
        <f t="shared" si="18"/>
        <v>140239.1375311031</v>
      </c>
      <c r="M72" s="16">
        <f t="shared" si="18"/>
        <v>474812.33360203309</v>
      </c>
      <c r="N72" s="6"/>
      <c r="O72" s="6"/>
      <c r="P72" s="16">
        <f>+N62-N67</f>
        <v>2350858.2822325155</v>
      </c>
    </row>
    <row r="73" spans="1:16" s="6" customFormat="1">
      <c r="A73" s="13" t="s">
        <v>64</v>
      </c>
      <c r="B73" s="16">
        <f t="shared" si="18"/>
        <v>401212.86596708721</v>
      </c>
      <c r="C73" s="16">
        <f t="shared" si="18"/>
        <v>60159.506212862907</v>
      </c>
      <c r="D73" s="16">
        <f t="shared" si="18"/>
        <v>-28116.467384296702</v>
      </c>
      <c r="E73" s="16">
        <f t="shared" si="18"/>
        <v>-250186.26197246625</v>
      </c>
      <c r="F73" s="16">
        <f t="shared" si="18"/>
        <v>-68408.03825461003</v>
      </c>
      <c r="G73" s="16">
        <f t="shared" si="18"/>
        <v>480857.24398785899</v>
      </c>
      <c r="H73" s="16">
        <f t="shared" si="18"/>
        <v>533952.46902477904</v>
      </c>
      <c r="I73" s="16">
        <f t="shared" si="18"/>
        <v>945195.54022865719</v>
      </c>
      <c r="J73" s="16">
        <f t="shared" si="18"/>
        <v>1102211.3265243152</v>
      </c>
      <c r="K73" s="16">
        <f t="shared" si="18"/>
        <v>1528353.5763346218</v>
      </c>
      <c r="L73" s="16">
        <f t="shared" si="18"/>
        <v>1668592.7138657249</v>
      </c>
      <c r="M73" s="16">
        <f t="shared" si="18"/>
        <v>2143405.0474677579</v>
      </c>
      <c r="N73" s="16">
        <f t="shared" si="18"/>
        <v>0</v>
      </c>
    </row>
    <row r="74" spans="1:16">
      <c r="A74" s="1" t="s">
        <v>65</v>
      </c>
      <c r="B74" s="16">
        <f t="shared" si="18"/>
        <v>401212.86596708558</v>
      </c>
      <c r="C74" s="16">
        <f t="shared" si="18"/>
        <v>60159.506212862208</v>
      </c>
      <c r="D74" s="16">
        <f t="shared" si="18"/>
        <v>-28116.467384295538</v>
      </c>
      <c r="E74" s="16">
        <f t="shared" si="18"/>
        <v>-250186.26197246648</v>
      </c>
      <c r="F74" s="16">
        <f t="shared" si="18"/>
        <v>-68408.038254609331</v>
      </c>
      <c r="G74" s="16">
        <f t="shared" si="18"/>
        <v>480857.2439878583</v>
      </c>
      <c r="H74" s="16">
        <f t="shared" si="18"/>
        <v>533952.46902477741</v>
      </c>
      <c r="I74" s="16">
        <f t="shared" si="18"/>
        <v>945195.54022865742</v>
      </c>
      <c r="J74" s="16">
        <f t="shared" si="18"/>
        <v>1102211.3265243154</v>
      </c>
      <c r="K74" s="16">
        <f t="shared" si="18"/>
        <v>1528353.5763346218</v>
      </c>
      <c r="L74" s="16">
        <f t="shared" si="18"/>
        <v>1668592.7138657253</v>
      </c>
      <c r="M74" s="16">
        <f t="shared" si="18"/>
        <v>2143405.0474677589</v>
      </c>
      <c r="N74" s="16"/>
      <c r="O74" s="6"/>
    </row>
    <row r="75" spans="1:16">
      <c r="B75" s="6"/>
      <c r="C75" s="6"/>
      <c r="D75" s="6"/>
      <c r="E75" s="6"/>
      <c r="F75" s="6"/>
      <c r="H75" s="6"/>
      <c r="I75" s="6"/>
      <c r="J75" s="6"/>
      <c r="K75" s="6"/>
      <c r="L75" s="6"/>
      <c r="M75" s="6"/>
      <c r="N75" s="6"/>
    </row>
    <row r="76" spans="1:16">
      <c r="A76" s="1"/>
      <c r="B76" s="4"/>
      <c r="C76" s="8"/>
      <c r="D76" s="8"/>
      <c r="E76" s="8"/>
      <c r="F76" s="8"/>
      <c r="H76" s="20"/>
      <c r="J76" s="6"/>
      <c r="K76" s="6"/>
    </row>
    <row r="77" spans="1:16">
      <c r="A77" s="1"/>
      <c r="B77" s="4"/>
      <c r="C77" s="8"/>
      <c r="D77" s="8"/>
      <c r="E77" s="8"/>
      <c r="F77" s="8"/>
      <c r="H77" s="20"/>
      <c r="J77" s="6"/>
    </row>
    <row r="78" spans="1:16">
      <c r="A78" s="1"/>
      <c r="B78" s="4"/>
      <c r="D78" s="8"/>
      <c r="E78" s="8"/>
      <c r="F78" s="8"/>
      <c r="H78" s="61"/>
      <c r="J78" s="6"/>
    </row>
    <row r="79" spans="1:16">
      <c r="E79" s="6"/>
      <c r="H79" s="20"/>
      <c r="J79" s="6"/>
      <c r="N79" s="25"/>
    </row>
    <row r="80" spans="1:16">
      <c r="A80" t="s">
        <v>69</v>
      </c>
      <c r="B80" t="s">
        <v>69</v>
      </c>
      <c r="C80" t="s">
        <v>69</v>
      </c>
      <c r="D80" t="s">
        <v>69</v>
      </c>
      <c r="E80" s="6" t="s">
        <v>69</v>
      </c>
      <c r="F80" t="s">
        <v>69</v>
      </c>
      <c r="G80" s="6" t="s">
        <v>69</v>
      </c>
      <c r="H80" t="s">
        <v>69</v>
      </c>
      <c r="I80" t="s">
        <v>69</v>
      </c>
      <c r="J80" s="6" t="s">
        <v>69</v>
      </c>
      <c r="K80" t="s">
        <v>69</v>
      </c>
      <c r="L80" t="s">
        <v>69</v>
      </c>
      <c r="M80" t="s">
        <v>69</v>
      </c>
      <c r="N80" t="s">
        <v>69</v>
      </c>
    </row>
    <row r="81" spans="1:14">
      <c r="E81" s="6"/>
      <c r="J81" s="6"/>
    </row>
    <row r="82" spans="1:14">
      <c r="A82" s="33" t="s">
        <v>70</v>
      </c>
      <c r="B82" s="47">
        <v>52000</v>
      </c>
      <c r="C82" s="47">
        <v>20000</v>
      </c>
      <c r="D82" s="47">
        <v>10000</v>
      </c>
      <c r="E82" s="47">
        <v>44355</v>
      </c>
      <c r="F82" s="47">
        <v>186840</v>
      </c>
      <c r="G82" s="10">
        <v>202000</v>
      </c>
      <c r="H82" s="54">
        <v>197000</v>
      </c>
      <c r="I82" s="47">
        <v>142000</v>
      </c>
      <c r="J82" s="47">
        <v>119000</v>
      </c>
      <c r="K82" s="47">
        <v>0</v>
      </c>
      <c r="L82" s="47">
        <v>0</v>
      </c>
      <c r="M82" s="47">
        <v>455000</v>
      </c>
      <c r="N82" s="7">
        <v>1428195</v>
      </c>
    </row>
    <row r="83" spans="1:14">
      <c r="A83" s="33" t="s">
        <v>71</v>
      </c>
      <c r="B83" s="2">
        <f>+B82</f>
        <v>52000</v>
      </c>
      <c r="C83" s="2">
        <f>+B83+C82</f>
        <v>72000</v>
      </c>
      <c r="D83" s="2">
        <f t="shared" ref="D83:M83" si="19">+C83+D82</f>
        <v>82000</v>
      </c>
      <c r="E83" s="7">
        <f t="shared" si="19"/>
        <v>126355</v>
      </c>
      <c r="F83" s="2">
        <f t="shared" si="19"/>
        <v>313195</v>
      </c>
      <c r="G83" s="7">
        <f t="shared" si="19"/>
        <v>515195</v>
      </c>
      <c r="H83" s="2">
        <f t="shared" si="19"/>
        <v>712195</v>
      </c>
      <c r="I83" s="2">
        <f t="shared" si="19"/>
        <v>854195</v>
      </c>
      <c r="J83" s="7">
        <f t="shared" si="19"/>
        <v>973195</v>
      </c>
      <c r="K83" s="2">
        <f t="shared" si="19"/>
        <v>973195</v>
      </c>
      <c r="L83" s="2">
        <f t="shared" si="19"/>
        <v>973195</v>
      </c>
      <c r="M83" s="2">
        <f t="shared" si="19"/>
        <v>1428195</v>
      </c>
    </row>
    <row r="84" spans="1:14">
      <c r="A84" s="33" t="s">
        <v>72</v>
      </c>
      <c r="B84" s="7">
        <f>+B53</f>
        <v>24982</v>
      </c>
      <c r="C84" s="7">
        <f>SUM($B53:C53)</f>
        <v>383444</v>
      </c>
      <c r="D84" s="7">
        <f>SUM($B53:D53)</f>
        <v>434108</v>
      </c>
      <c r="E84" s="7">
        <f>SUM($B53:E53)</f>
        <v>584660</v>
      </c>
      <c r="F84" s="7">
        <f>SUM($B53:F53)</f>
        <v>585470</v>
      </c>
      <c r="G84" s="7">
        <f>SUM($B53:G53)</f>
        <v>652422</v>
      </c>
      <c r="H84" s="7">
        <f>SUM(B53:H53)</f>
        <v>675909</v>
      </c>
      <c r="I84" s="7">
        <f>SUM(B53:I53)</f>
        <v>675909</v>
      </c>
      <c r="J84" s="7">
        <f>SUM(B53:J53)</f>
        <v>704773</v>
      </c>
      <c r="K84" s="7">
        <f>SUM(B53:K53)</f>
        <v>746027.46</v>
      </c>
      <c r="L84" s="7">
        <f>SUM(B53:L53)</f>
        <v>871088.46</v>
      </c>
      <c r="M84" s="7">
        <f>SUM(B53:M53)</f>
        <v>875701.46</v>
      </c>
    </row>
    <row r="85" spans="1:14">
      <c r="A85" s="33" t="s">
        <v>73</v>
      </c>
      <c r="B85" s="7">
        <f t="shared" ref="B85:G85" si="20">+B83-B84</f>
        <v>27018</v>
      </c>
      <c r="C85" s="7">
        <f t="shared" si="20"/>
        <v>-311444</v>
      </c>
      <c r="D85" s="7">
        <f t="shared" si="20"/>
        <v>-352108</v>
      </c>
      <c r="E85" s="7">
        <f t="shared" si="20"/>
        <v>-458305</v>
      </c>
      <c r="F85" s="7">
        <f t="shared" si="20"/>
        <v>-272275</v>
      </c>
      <c r="G85" s="7">
        <f t="shared" si="20"/>
        <v>-137227</v>
      </c>
      <c r="H85" s="7">
        <f t="shared" ref="H85:M85" si="21">+H83-H84</f>
        <v>36286</v>
      </c>
      <c r="I85" s="7">
        <f t="shared" si="21"/>
        <v>178286</v>
      </c>
      <c r="J85" s="7">
        <f t="shared" si="21"/>
        <v>268422</v>
      </c>
      <c r="K85" s="7">
        <f t="shared" si="21"/>
        <v>227167.54000000004</v>
      </c>
      <c r="L85" s="7">
        <f t="shared" si="21"/>
        <v>102106.54000000004</v>
      </c>
      <c r="M85" s="7">
        <f t="shared" si="21"/>
        <v>552493.54</v>
      </c>
    </row>
    <row r="86" spans="1:14">
      <c r="J86" s="6"/>
      <c r="K86" s="6"/>
    </row>
    <row r="87" spans="1:14">
      <c r="A87" t="s">
        <v>74</v>
      </c>
      <c r="B87" s="35">
        <f>-B56-B57</f>
        <v>288499</v>
      </c>
      <c r="C87" s="35">
        <f t="shared" ref="C87:N87" si="22">-C56-C57</f>
        <v>35937</v>
      </c>
      <c r="D87" s="35">
        <f t="shared" si="22"/>
        <v>56816</v>
      </c>
      <c r="E87" s="35">
        <f t="shared" si="22"/>
        <v>-149736</v>
      </c>
      <c r="F87" s="35">
        <f t="shared" si="22"/>
        <v>7086.95</v>
      </c>
      <c r="G87" s="40">
        <f t="shared" si="22"/>
        <v>70924</v>
      </c>
      <c r="H87" s="40">
        <f t="shared" si="22"/>
        <v>186829.65</v>
      </c>
      <c r="I87" s="35">
        <f t="shared" si="22"/>
        <v>164812</v>
      </c>
      <c r="J87" s="35">
        <f t="shared" si="22"/>
        <v>125501</v>
      </c>
      <c r="K87" s="40">
        <f t="shared" si="22"/>
        <v>117598.81999999999</v>
      </c>
      <c r="L87" s="35">
        <f t="shared" si="22"/>
        <v>109015</v>
      </c>
      <c r="M87" s="35">
        <f t="shared" si="22"/>
        <v>12888</v>
      </c>
      <c r="N87" s="35">
        <f t="shared" si="22"/>
        <v>1026171.42</v>
      </c>
    </row>
    <row r="88" spans="1:14">
      <c r="C88" s="35">
        <f>+B87+C87</f>
        <v>324436</v>
      </c>
      <c r="D88" s="35">
        <f>+C88+D87</f>
        <v>381252</v>
      </c>
      <c r="E88" s="35">
        <f t="shared" ref="E88:M88" si="23">+D88+E87</f>
        <v>231516</v>
      </c>
      <c r="F88" s="35">
        <f t="shared" si="23"/>
        <v>238602.95</v>
      </c>
      <c r="G88" s="40">
        <f t="shared" si="23"/>
        <v>309526.95</v>
      </c>
      <c r="H88" s="35">
        <f t="shared" si="23"/>
        <v>496356.6</v>
      </c>
      <c r="I88" s="40">
        <f t="shared" si="23"/>
        <v>661168.6</v>
      </c>
      <c r="J88" s="40">
        <f t="shared" si="23"/>
        <v>786669.6</v>
      </c>
      <c r="K88" s="40">
        <f t="shared" si="23"/>
        <v>904268.41999999993</v>
      </c>
      <c r="L88" s="35">
        <f t="shared" si="23"/>
        <v>1013283.4199999999</v>
      </c>
      <c r="M88" s="35">
        <f t="shared" si="23"/>
        <v>1026171.4199999999</v>
      </c>
    </row>
    <row r="89" spans="1:14">
      <c r="B89" s="6"/>
      <c r="C89" s="6"/>
      <c r="D89" s="6"/>
      <c r="E89" s="6"/>
    </row>
    <row r="90" spans="1:14">
      <c r="B90" s="6"/>
      <c r="C90" s="6"/>
      <c r="D90" s="21"/>
      <c r="E90" s="6"/>
    </row>
    <row r="91" spans="1:14">
      <c r="B91" s="6"/>
      <c r="C91" s="6"/>
      <c r="D91" s="6"/>
      <c r="E91" s="6"/>
    </row>
    <row r="92" spans="1:14">
      <c r="B92" s="6"/>
      <c r="C92" s="6"/>
      <c r="D92" s="6"/>
      <c r="E92" s="6"/>
    </row>
    <row r="93" spans="1:14">
      <c r="B93" s="6"/>
      <c r="C93" s="6"/>
      <c r="D93" s="6"/>
      <c r="E93" s="6"/>
    </row>
    <row r="94" spans="1:14">
      <c r="B94" s="6"/>
      <c r="C94" s="6"/>
      <c r="D94" s="34"/>
      <c r="E94" s="6"/>
    </row>
    <row r="95" spans="1:14">
      <c r="B95" s="6"/>
      <c r="C95" s="6"/>
      <c r="D95" s="6"/>
      <c r="E95" s="6"/>
    </row>
    <row r="96" spans="1:14">
      <c r="B96" s="6"/>
      <c r="C96" s="6"/>
      <c r="D96" s="6"/>
      <c r="E96" s="6"/>
    </row>
  </sheetData>
  <pageMargins left="0.28000000000000003" right="0.25" top="0.99" bottom="0.75" header="0.63" footer="0.23"/>
  <pageSetup scale="67" orientation="landscape" r:id="rId1"/>
  <headerFooter alignWithMargins="0">
    <oddHeader xml:space="preserve">&amp;C&amp;"Arial,Bold"&amp;11 49ER SHOPS, INC.
&amp;UFY2016/2017 OPERATIONAL CASH FLOW </oddHeader>
    <oddFooter>&amp;CCash Flow - FY2016/2017
June 2017 Pre-Audit</oddFooter>
  </headerFooter>
  <legacy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C000"/>
    <pageSetUpPr fitToPage="1"/>
  </sheetPr>
  <dimension ref="A1:AR96"/>
  <sheetViews>
    <sheetView showGridLines="0" zoomScale="90" zoomScaleNormal="90" workbookViewId="0">
      <pane xSplit="1" ySplit="3" topLeftCell="B46" activePane="bottomRight" state="frozen"/>
      <selection pane="topRight" activeCell="B72" sqref="B72"/>
      <selection pane="bottomLeft" activeCell="B72" sqref="B72"/>
      <selection pane="bottomRight" activeCell="E71" sqref="E71"/>
    </sheetView>
  </sheetViews>
  <sheetFormatPr defaultRowHeight="12.75"/>
  <cols>
    <col min="1" max="1" width="35.42578125" customWidth="1"/>
    <col min="2" max="2" width="14" customWidth="1"/>
    <col min="3" max="3" width="12.5703125" customWidth="1"/>
    <col min="4" max="4" width="12.140625" customWidth="1"/>
    <col min="5" max="5" width="13.5703125" customWidth="1"/>
    <col min="6" max="6" width="12.85546875" customWidth="1"/>
    <col min="7" max="7" width="12.5703125" style="6" customWidth="1"/>
    <col min="8" max="9" width="12.85546875" customWidth="1"/>
    <col min="10" max="11" width="12.140625" customWidth="1"/>
    <col min="12" max="13" width="12.85546875" customWidth="1"/>
    <col min="14" max="14" width="12.85546875" bestFit="1" customWidth="1"/>
    <col min="15" max="15" width="12.42578125" bestFit="1" customWidth="1"/>
    <col min="16" max="16" width="13.140625" bestFit="1" customWidth="1"/>
  </cols>
  <sheetData>
    <row r="1" spans="1:15" ht="13.5" thickBot="1">
      <c r="A1" s="46" t="s">
        <v>92</v>
      </c>
      <c r="E1" s="6"/>
      <c r="F1" s="6"/>
      <c r="J1" s="6"/>
      <c r="K1" s="6"/>
      <c r="N1" s="3"/>
    </row>
    <row r="2" spans="1:15">
      <c r="B2" s="48" t="s">
        <v>76</v>
      </c>
      <c r="C2" s="48" t="s">
        <v>76</v>
      </c>
      <c r="D2" s="48" t="s">
        <v>76</v>
      </c>
      <c r="E2" s="48" t="s">
        <v>76</v>
      </c>
      <c r="F2" s="48" t="s">
        <v>76</v>
      </c>
      <c r="G2" s="48" t="s">
        <v>76</v>
      </c>
      <c r="H2" s="48" t="s">
        <v>76</v>
      </c>
      <c r="I2" s="48" t="s">
        <v>76</v>
      </c>
      <c r="J2" s="48" t="s">
        <v>76</v>
      </c>
      <c r="K2" s="48" t="s">
        <v>76</v>
      </c>
      <c r="L2" s="48" t="s">
        <v>76</v>
      </c>
      <c r="M2" s="48" t="s">
        <v>76</v>
      </c>
      <c r="N2" s="28" t="s">
        <v>25</v>
      </c>
    </row>
    <row r="3" spans="1:15" s="5" customFormat="1">
      <c r="B3" s="11">
        <v>42918</v>
      </c>
      <c r="C3" s="11">
        <v>42949</v>
      </c>
      <c r="D3" s="11">
        <v>42980</v>
      </c>
      <c r="E3" s="11">
        <v>43010</v>
      </c>
      <c r="F3" s="11">
        <v>43041</v>
      </c>
      <c r="G3" s="11">
        <v>43071</v>
      </c>
      <c r="H3" s="11">
        <v>43102</v>
      </c>
      <c r="I3" s="11">
        <v>43133</v>
      </c>
      <c r="J3" s="11">
        <v>43161</v>
      </c>
      <c r="K3" s="11">
        <v>43192</v>
      </c>
      <c r="L3" s="11">
        <v>43222</v>
      </c>
      <c r="M3" s="11">
        <v>43253</v>
      </c>
      <c r="N3" s="57" t="s">
        <v>77</v>
      </c>
    </row>
    <row r="4" spans="1:15">
      <c r="A4" s="1" t="s">
        <v>27</v>
      </c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>
        <f>SUM(B4:M4)</f>
        <v>0</v>
      </c>
      <c r="O4" s="29"/>
    </row>
    <row r="5" spans="1:15" s="6" customFormat="1">
      <c r="A5" s="6" t="s">
        <v>28</v>
      </c>
      <c r="B5" s="53">
        <v>1073957</v>
      </c>
      <c r="C5" s="53">
        <v>3738585</v>
      </c>
      <c r="D5" s="53">
        <v>5241078</v>
      </c>
      <c r="E5" s="53">
        <v>3796312</v>
      </c>
      <c r="F5" s="53">
        <v>2590434</v>
      </c>
      <c r="G5" s="53">
        <v>2704250</v>
      </c>
      <c r="H5" s="53">
        <v>3785411</v>
      </c>
      <c r="I5" s="53">
        <v>3755825</v>
      </c>
      <c r="J5" s="53">
        <v>3335785</v>
      </c>
      <c r="K5" s="53">
        <v>2998356</v>
      </c>
      <c r="L5" s="53">
        <v>2831511</v>
      </c>
      <c r="M5" s="53">
        <v>1460406</v>
      </c>
      <c r="N5" s="12">
        <f>SUM(B5:M5)</f>
        <v>37311910</v>
      </c>
      <c r="O5" s="29"/>
    </row>
    <row r="6" spans="1:15" s="6" customFormat="1">
      <c r="A6" s="6" t="s">
        <v>29</v>
      </c>
      <c r="B6" s="53">
        <v>48331</v>
      </c>
      <c r="C6" s="53">
        <v>75433</v>
      </c>
      <c r="D6" s="53">
        <v>354577</v>
      </c>
      <c r="E6" s="53">
        <v>106870</v>
      </c>
      <c r="F6" s="53">
        <v>72743</v>
      </c>
      <c r="G6" s="53">
        <v>153728</v>
      </c>
      <c r="H6" s="53">
        <v>54728</v>
      </c>
      <c r="I6" s="53">
        <v>85911</v>
      </c>
      <c r="J6" s="53">
        <v>228813</v>
      </c>
      <c r="K6" s="53">
        <v>89970</v>
      </c>
      <c r="L6" s="53">
        <v>316808</v>
      </c>
      <c r="M6" s="53">
        <v>118439</v>
      </c>
      <c r="N6" s="7">
        <f>SUM(B6:M6)</f>
        <v>1706351</v>
      </c>
      <c r="O6" s="29"/>
    </row>
    <row r="7" spans="1:15" s="6" customFormat="1">
      <c r="B7" s="7"/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7">
        <f>SUM(B7:M7)</f>
        <v>0</v>
      </c>
      <c r="O7" s="29"/>
    </row>
    <row r="8" spans="1:15" s="6" customFormat="1">
      <c r="B8" s="15"/>
      <c r="C8" s="15"/>
      <c r="D8" s="15"/>
      <c r="E8" s="15"/>
      <c r="F8" s="15"/>
      <c r="G8" s="15"/>
      <c r="H8" s="15"/>
      <c r="I8" s="15"/>
      <c r="J8" s="15"/>
      <c r="K8" s="15"/>
      <c r="L8" s="15"/>
      <c r="M8" s="15"/>
      <c r="N8" s="15">
        <f>SUM(B8:M8)</f>
        <v>0</v>
      </c>
      <c r="O8" s="29"/>
    </row>
    <row r="9" spans="1:15" s="6" customFormat="1">
      <c r="A9" s="13" t="s">
        <v>30</v>
      </c>
      <c r="B9" s="12">
        <f t="shared" ref="B9:N9" si="0">SUM(B5:B8)</f>
        <v>1122288</v>
      </c>
      <c r="C9" s="12">
        <f t="shared" si="0"/>
        <v>3814018</v>
      </c>
      <c r="D9" s="12">
        <f t="shared" si="0"/>
        <v>5595655</v>
      </c>
      <c r="E9" s="12">
        <f t="shared" si="0"/>
        <v>3903182</v>
      </c>
      <c r="F9" s="12">
        <f t="shared" si="0"/>
        <v>2663177</v>
      </c>
      <c r="G9" s="12">
        <f t="shared" si="0"/>
        <v>2857978</v>
      </c>
      <c r="H9" s="12">
        <f t="shared" si="0"/>
        <v>3840139</v>
      </c>
      <c r="I9" s="12">
        <f t="shared" si="0"/>
        <v>3841736</v>
      </c>
      <c r="J9" s="12">
        <f t="shared" si="0"/>
        <v>3564598</v>
      </c>
      <c r="K9" s="12">
        <f t="shared" si="0"/>
        <v>3088326</v>
      </c>
      <c r="L9" s="12">
        <f t="shared" si="0"/>
        <v>3148319</v>
      </c>
      <c r="M9" s="12">
        <f t="shared" si="0"/>
        <v>1578845</v>
      </c>
      <c r="N9" s="12">
        <f t="shared" si="0"/>
        <v>39018261</v>
      </c>
      <c r="O9" s="29"/>
    </row>
    <row r="10" spans="1:15" s="6" customFormat="1" ht="6.75" customHeight="1"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29"/>
    </row>
    <row r="11" spans="1:15" s="6" customFormat="1">
      <c r="A11" s="13" t="s">
        <v>31</v>
      </c>
      <c r="B11" s="7">
        <v>0</v>
      </c>
      <c r="C11" s="7">
        <v>0</v>
      </c>
      <c r="D11" s="7">
        <v>0</v>
      </c>
      <c r="E11" s="7">
        <v>0</v>
      </c>
      <c r="F11" s="7">
        <v>0</v>
      </c>
      <c r="G11" s="7">
        <v>0</v>
      </c>
      <c r="H11" s="7">
        <v>0</v>
      </c>
      <c r="I11" s="7">
        <v>0</v>
      </c>
      <c r="J11" s="7">
        <v>0</v>
      </c>
      <c r="K11" s="7">
        <v>0</v>
      </c>
      <c r="L11" s="7">
        <v>0</v>
      </c>
      <c r="M11" s="7">
        <v>0</v>
      </c>
      <c r="N11" s="7">
        <f>SUM(B11:M11)</f>
        <v>0</v>
      </c>
      <c r="O11" s="29"/>
    </row>
    <row r="12" spans="1:15" s="6" customFormat="1" ht="7.5" customHeight="1">
      <c r="B12" s="7"/>
      <c r="C12" s="7"/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  <c r="O12" s="29"/>
    </row>
    <row r="13" spans="1:15" s="6" customFormat="1" ht="13.5" thickBot="1">
      <c r="A13" s="13" t="s">
        <v>32</v>
      </c>
      <c r="B13" s="14">
        <f t="shared" ref="B13:N13" si="1">B9+B11</f>
        <v>1122288</v>
      </c>
      <c r="C13" s="14">
        <f>C9+C11</f>
        <v>3814018</v>
      </c>
      <c r="D13" s="14">
        <f t="shared" si="1"/>
        <v>5595655</v>
      </c>
      <c r="E13" s="14">
        <f t="shared" si="1"/>
        <v>3903182</v>
      </c>
      <c r="F13" s="14">
        <f t="shared" si="1"/>
        <v>2663177</v>
      </c>
      <c r="G13" s="14">
        <f t="shared" si="1"/>
        <v>2857978</v>
      </c>
      <c r="H13" s="14">
        <f t="shared" si="1"/>
        <v>3840139</v>
      </c>
      <c r="I13" s="14">
        <f t="shared" si="1"/>
        <v>3841736</v>
      </c>
      <c r="J13" s="14">
        <f t="shared" si="1"/>
        <v>3564598</v>
      </c>
      <c r="K13" s="14">
        <f t="shared" si="1"/>
        <v>3088326</v>
      </c>
      <c r="L13" s="14">
        <f t="shared" si="1"/>
        <v>3148319</v>
      </c>
      <c r="M13" s="14">
        <f t="shared" si="1"/>
        <v>1578845</v>
      </c>
      <c r="N13" s="14">
        <f t="shared" si="1"/>
        <v>39018261</v>
      </c>
      <c r="O13" s="29"/>
    </row>
    <row r="14" spans="1:15" s="6" customFormat="1" ht="13.5" thickTop="1">
      <c r="B14" s="7"/>
      <c r="C14" s="7"/>
      <c r="D14" s="7"/>
      <c r="E14" s="7"/>
      <c r="F14" s="7"/>
      <c r="G14" s="7"/>
      <c r="H14" s="7"/>
      <c r="I14" s="7"/>
      <c r="J14" s="7"/>
      <c r="K14" s="7"/>
      <c r="L14" s="7"/>
      <c r="M14" s="7"/>
    </row>
    <row r="15" spans="1:15" s="6" customFormat="1">
      <c r="A15" s="13" t="s">
        <v>33</v>
      </c>
      <c r="B15" s="7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</row>
    <row r="16" spans="1:15" s="6" customFormat="1">
      <c r="A16" s="6" t="s">
        <v>34</v>
      </c>
      <c r="B16" s="53">
        <v>492140</v>
      </c>
      <c r="C16" s="53">
        <v>2188252</v>
      </c>
      <c r="D16" s="53">
        <v>2742467</v>
      </c>
      <c r="E16" s="53">
        <v>1317514</v>
      </c>
      <c r="F16" s="53">
        <v>955424</v>
      </c>
      <c r="G16" s="53">
        <v>1054272</v>
      </c>
      <c r="H16" s="53">
        <v>2341142</v>
      </c>
      <c r="I16" s="53">
        <v>1611344</v>
      </c>
      <c r="J16" s="53">
        <v>1215922</v>
      </c>
      <c r="K16" s="53">
        <v>1090469</v>
      </c>
      <c r="L16" s="53">
        <v>1126126</v>
      </c>
      <c r="M16" s="53">
        <v>849456</v>
      </c>
      <c r="N16" s="7">
        <f>SUM(B16:M16)</f>
        <v>16984528</v>
      </c>
      <c r="O16" s="29"/>
    </row>
    <row r="17" spans="1:44" s="6" customFormat="1">
      <c r="B17" s="27"/>
      <c r="C17" s="27"/>
      <c r="D17" s="27"/>
      <c r="E17" s="27"/>
      <c r="F17" s="27"/>
      <c r="G17" s="27"/>
      <c r="H17" s="27"/>
      <c r="I17" s="27"/>
      <c r="J17" s="27"/>
      <c r="K17" s="27"/>
      <c r="L17" s="27"/>
      <c r="M17" s="27"/>
      <c r="N17" s="7">
        <f>SUM(B17:M17)</f>
        <v>0</v>
      </c>
    </row>
    <row r="18" spans="1:44" s="6" customFormat="1">
      <c r="B18" s="7"/>
      <c r="C18" s="7"/>
      <c r="D18" s="7"/>
      <c r="E18" s="7"/>
      <c r="F18" s="7"/>
      <c r="G18" s="7"/>
      <c r="H18" s="7"/>
      <c r="I18" s="7"/>
      <c r="J18" s="7"/>
      <c r="K18" s="7"/>
      <c r="L18" s="7"/>
      <c r="M18" s="7"/>
      <c r="N18" s="7">
        <v>0</v>
      </c>
    </row>
    <row r="19" spans="1:44" s="6" customFormat="1">
      <c r="B19" s="15"/>
      <c r="C19" s="15"/>
      <c r="D19" s="15"/>
      <c r="E19" s="15"/>
      <c r="F19" s="15"/>
      <c r="G19" s="15"/>
      <c r="H19" s="15"/>
      <c r="I19" s="15"/>
      <c r="J19" s="15"/>
      <c r="K19" s="15"/>
      <c r="L19" s="15"/>
      <c r="M19" s="15"/>
      <c r="N19" s="15">
        <f>SUM(B19:M19)</f>
        <v>0</v>
      </c>
    </row>
    <row r="20" spans="1:44" s="6" customFormat="1">
      <c r="A20" s="13" t="s">
        <v>35</v>
      </c>
      <c r="B20" s="12">
        <f t="shared" ref="B20:N20" si="2">SUM(B16:B19)</f>
        <v>492140</v>
      </c>
      <c r="C20" s="12">
        <f t="shared" si="2"/>
        <v>2188252</v>
      </c>
      <c r="D20" s="12">
        <f t="shared" si="2"/>
        <v>2742467</v>
      </c>
      <c r="E20" s="12">
        <f t="shared" si="2"/>
        <v>1317514</v>
      </c>
      <c r="F20" s="12">
        <f t="shared" si="2"/>
        <v>955424</v>
      </c>
      <c r="G20" s="12">
        <f t="shared" si="2"/>
        <v>1054272</v>
      </c>
      <c r="H20" s="12">
        <f t="shared" si="2"/>
        <v>2341142</v>
      </c>
      <c r="I20" s="12">
        <f t="shared" si="2"/>
        <v>1611344</v>
      </c>
      <c r="J20" s="12">
        <f t="shared" si="2"/>
        <v>1215922</v>
      </c>
      <c r="K20" s="12">
        <f t="shared" si="2"/>
        <v>1090469</v>
      </c>
      <c r="L20" s="12">
        <f t="shared" si="2"/>
        <v>1126126</v>
      </c>
      <c r="M20" s="12">
        <f t="shared" si="2"/>
        <v>849456</v>
      </c>
      <c r="N20" s="12">
        <f t="shared" si="2"/>
        <v>16984528</v>
      </c>
      <c r="O20" s="29"/>
    </row>
    <row r="21" spans="1:44" s="6" customFormat="1">
      <c r="B21" s="7"/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</row>
    <row r="22" spans="1:44" s="6" customFormat="1">
      <c r="A22" s="13" t="s">
        <v>36</v>
      </c>
      <c r="B22" s="7"/>
      <c r="C22" s="7"/>
      <c r="D22" s="7"/>
      <c r="E22" s="7"/>
      <c r="F22" s="7"/>
      <c r="G22" s="7"/>
      <c r="H22" s="7"/>
      <c r="I22" s="7"/>
      <c r="J22" s="7"/>
      <c r="K22" s="7"/>
      <c r="L22" s="7"/>
      <c r="M22" s="7"/>
    </row>
    <row r="23" spans="1:44" s="6" customFormat="1">
      <c r="A23" s="6" t="s">
        <v>37</v>
      </c>
      <c r="B23" s="7">
        <f t="shared" ref="B23:M26" si="3">+B5-B16</f>
        <v>581817</v>
      </c>
      <c r="C23" s="7">
        <f t="shared" si="3"/>
        <v>1550333</v>
      </c>
      <c r="D23" s="7">
        <f t="shared" si="3"/>
        <v>2498611</v>
      </c>
      <c r="E23" s="7">
        <f t="shared" si="3"/>
        <v>2478798</v>
      </c>
      <c r="F23" s="7">
        <f t="shared" si="3"/>
        <v>1635010</v>
      </c>
      <c r="G23" s="7">
        <f t="shared" si="3"/>
        <v>1649978</v>
      </c>
      <c r="H23" s="7">
        <f t="shared" si="3"/>
        <v>1444269</v>
      </c>
      <c r="I23" s="7">
        <f t="shared" si="3"/>
        <v>2144481</v>
      </c>
      <c r="J23" s="7">
        <f t="shared" si="3"/>
        <v>2119863</v>
      </c>
      <c r="K23" s="7">
        <f t="shared" si="3"/>
        <v>1907887</v>
      </c>
      <c r="L23" s="7">
        <f t="shared" si="3"/>
        <v>1705385</v>
      </c>
      <c r="M23" s="7">
        <f t="shared" si="3"/>
        <v>610950</v>
      </c>
      <c r="N23" s="7">
        <f>SUM(B23:M23)</f>
        <v>20327382</v>
      </c>
      <c r="O23" s="29"/>
    </row>
    <row r="24" spans="1:44" s="6" customFormat="1">
      <c r="A24" s="6" t="s">
        <v>37</v>
      </c>
      <c r="B24" s="7">
        <f t="shared" si="3"/>
        <v>48331</v>
      </c>
      <c r="C24" s="7">
        <f t="shared" si="3"/>
        <v>75433</v>
      </c>
      <c r="D24" s="7">
        <f t="shared" si="3"/>
        <v>354577</v>
      </c>
      <c r="E24" s="7">
        <f t="shared" si="3"/>
        <v>106870</v>
      </c>
      <c r="F24" s="7">
        <f t="shared" si="3"/>
        <v>72743</v>
      </c>
      <c r="G24" s="7">
        <f t="shared" si="3"/>
        <v>153728</v>
      </c>
      <c r="H24" s="7">
        <f t="shared" si="3"/>
        <v>54728</v>
      </c>
      <c r="I24" s="7">
        <f t="shared" si="3"/>
        <v>85911</v>
      </c>
      <c r="J24" s="7">
        <f t="shared" si="3"/>
        <v>228813</v>
      </c>
      <c r="K24" s="7">
        <f t="shared" si="3"/>
        <v>89970</v>
      </c>
      <c r="L24" s="7">
        <f t="shared" si="3"/>
        <v>316808</v>
      </c>
      <c r="M24" s="7">
        <f t="shared" si="3"/>
        <v>118439</v>
      </c>
      <c r="N24" s="7">
        <f>SUM(B24:M24)</f>
        <v>1706351</v>
      </c>
      <c r="O24" s="29"/>
    </row>
    <row r="25" spans="1:44" s="6" customFormat="1">
      <c r="A25" s="6" t="s">
        <v>38</v>
      </c>
      <c r="B25" s="7">
        <f t="shared" si="3"/>
        <v>0</v>
      </c>
      <c r="C25" s="7">
        <f t="shared" si="3"/>
        <v>0</v>
      </c>
      <c r="D25" s="7">
        <f t="shared" si="3"/>
        <v>0</v>
      </c>
      <c r="E25" s="7">
        <f t="shared" si="3"/>
        <v>0</v>
      </c>
      <c r="F25" s="7">
        <f t="shared" si="3"/>
        <v>0</v>
      </c>
      <c r="G25" s="7">
        <f t="shared" si="3"/>
        <v>0</v>
      </c>
      <c r="H25" s="7">
        <f t="shared" si="3"/>
        <v>0</v>
      </c>
      <c r="I25" s="7">
        <f t="shared" si="3"/>
        <v>0</v>
      </c>
      <c r="J25" s="7">
        <f t="shared" si="3"/>
        <v>0</v>
      </c>
      <c r="K25" s="7">
        <f t="shared" si="3"/>
        <v>0</v>
      </c>
      <c r="L25" s="7">
        <f t="shared" si="3"/>
        <v>0</v>
      </c>
      <c r="M25" s="7">
        <f t="shared" si="3"/>
        <v>0</v>
      </c>
      <c r="N25" s="7">
        <f>SUM(B25:M25)</f>
        <v>0</v>
      </c>
      <c r="O25" s="29"/>
    </row>
    <row r="26" spans="1:44" s="6" customFormat="1">
      <c r="A26" s="6" t="s">
        <v>38</v>
      </c>
      <c r="B26" s="15">
        <f t="shared" si="3"/>
        <v>0</v>
      </c>
      <c r="C26" s="15">
        <f t="shared" si="3"/>
        <v>0</v>
      </c>
      <c r="D26" s="15">
        <f t="shared" si="3"/>
        <v>0</v>
      </c>
      <c r="E26" s="15">
        <f t="shared" si="3"/>
        <v>0</v>
      </c>
      <c r="F26" s="15">
        <f t="shared" si="3"/>
        <v>0</v>
      </c>
      <c r="G26" s="15">
        <f t="shared" si="3"/>
        <v>0</v>
      </c>
      <c r="H26" s="15">
        <f t="shared" si="3"/>
        <v>0</v>
      </c>
      <c r="I26" s="15">
        <f t="shared" si="3"/>
        <v>0</v>
      </c>
      <c r="J26" s="15">
        <f t="shared" si="3"/>
        <v>0</v>
      </c>
      <c r="K26" s="15">
        <f t="shared" si="3"/>
        <v>0</v>
      </c>
      <c r="L26" s="15">
        <f t="shared" si="3"/>
        <v>0</v>
      </c>
      <c r="M26" s="15">
        <f t="shared" si="3"/>
        <v>0</v>
      </c>
      <c r="N26" s="15">
        <f>SUM(B26:M26)</f>
        <v>0</v>
      </c>
      <c r="O26" s="29"/>
    </row>
    <row r="27" spans="1:44" s="6" customFormat="1">
      <c r="A27" s="13" t="s">
        <v>39</v>
      </c>
      <c r="B27" s="12">
        <f t="shared" ref="B27:N27" si="4">SUM(B23:B26)</f>
        <v>630148</v>
      </c>
      <c r="C27" s="12">
        <f t="shared" si="4"/>
        <v>1625766</v>
      </c>
      <c r="D27" s="12">
        <f t="shared" si="4"/>
        <v>2853188</v>
      </c>
      <c r="E27" s="12">
        <f t="shared" si="4"/>
        <v>2585668</v>
      </c>
      <c r="F27" s="12">
        <f t="shared" si="4"/>
        <v>1707753</v>
      </c>
      <c r="G27" s="12">
        <f t="shared" si="4"/>
        <v>1803706</v>
      </c>
      <c r="H27" s="12">
        <f t="shared" si="4"/>
        <v>1498997</v>
      </c>
      <c r="I27" s="12">
        <f t="shared" si="4"/>
        <v>2230392</v>
      </c>
      <c r="J27" s="12">
        <f t="shared" si="4"/>
        <v>2348676</v>
      </c>
      <c r="K27" s="12">
        <f t="shared" si="4"/>
        <v>1997857</v>
      </c>
      <c r="L27" s="12">
        <f t="shared" si="4"/>
        <v>2022193</v>
      </c>
      <c r="M27" s="12">
        <f>SUM(M23:M26)</f>
        <v>729389</v>
      </c>
      <c r="N27" s="12">
        <f t="shared" si="4"/>
        <v>22033733</v>
      </c>
      <c r="O27" s="29"/>
    </row>
    <row r="28" spans="1:44" s="6" customFormat="1">
      <c r="B28" s="7"/>
      <c r="C28" s="7"/>
      <c r="D28" s="7"/>
      <c r="E28" s="7"/>
      <c r="F28" s="7"/>
      <c r="G28" s="7"/>
      <c r="H28" s="7"/>
      <c r="I28" s="7"/>
      <c r="J28" s="7"/>
      <c r="K28" s="7"/>
      <c r="L28" s="7"/>
      <c r="M28" s="7"/>
    </row>
    <row r="29" spans="1:44" s="6" customFormat="1">
      <c r="A29" s="13" t="s">
        <v>40</v>
      </c>
      <c r="B29" s="7"/>
      <c r="C29" s="7"/>
      <c r="D29" s="7"/>
      <c r="E29" s="7"/>
      <c r="F29" s="7"/>
      <c r="G29" s="7"/>
      <c r="H29" s="7"/>
      <c r="I29" s="7"/>
      <c r="J29" s="7"/>
      <c r="K29" s="7"/>
      <c r="L29" s="7"/>
      <c r="M29" s="7"/>
    </row>
    <row r="30" spans="1:44" s="6" customFormat="1">
      <c r="A30" s="6" t="s">
        <v>93</v>
      </c>
      <c r="B30" s="53">
        <v>533058</v>
      </c>
      <c r="C30" s="53">
        <v>564875</v>
      </c>
      <c r="D30" s="53">
        <v>667038</v>
      </c>
      <c r="E30" s="53">
        <v>779433</v>
      </c>
      <c r="F30" s="53">
        <v>605087</v>
      </c>
      <c r="G30" s="53">
        <v>598355</v>
      </c>
      <c r="H30" s="53">
        <v>602418</v>
      </c>
      <c r="I30" s="53">
        <v>684805</v>
      </c>
      <c r="J30" s="53">
        <v>688935</v>
      </c>
      <c r="K30" s="53">
        <v>755862</v>
      </c>
      <c r="L30" s="53">
        <v>642868</v>
      </c>
      <c r="M30" s="53">
        <v>459430</v>
      </c>
      <c r="N30" s="7">
        <f>SUM(B30:M30)</f>
        <v>7582164</v>
      </c>
      <c r="O30" s="29"/>
    </row>
    <row r="31" spans="1:44" s="6" customFormat="1">
      <c r="A31" s="6" t="s">
        <v>42</v>
      </c>
      <c r="B31" s="53">
        <v>209856</v>
      </c>
      <c r="C31" s="53">
        <v>192779</v>
      </c>
      <c r="D31" s="53">
        <v>196794</v>
      </c>
      <c r="E31" s="53">
        <v>227112</v>
      </c>
      <c r="F31" s="53">
        <v>192649</v>
      </c>
      <c r="G31" s="53">
        <v>192611</v>
      </c>
      <c r="H31" s="53">
        <v>210145</v>
      </c>
      <c r="I31" s="53">
        <v>198285</v>
      </c>
      <c r="J31" s="53">
        <v>198545</v>
      </c>
      <c r="K31" s="53">
        <v>226530</v>
      </c>
      <c r="L31" s="53">
        <v>194439</v>
      </c>
      <c r="M31" s="53">
        <v>198004</v>
      </c>
      <c r="N31" s="7">
        <f>SUM(B31:M31)</f>
        <v>2437749</v>
      </c>
      <c r="O31" s="29"/>
    </row>
    <row r="32" spans="1:44" s="6" customFormat="1" ht="15">
      <c r="A32" s="6" t="s">
        <v>38</v>
      </c>
      <c r="B32" s="68"/>
      <c r="C32" s="68"/>
      <c r="D32" s="68"/>
      <c r="E32" s="68"/>
      <c r="F32" s="68"/>
      <c r="G32" s="68"/>
      <c r="H32" s="68"/>
      <c r="I32" s="68"/>
      <c r="J32" s="68"/>
      <c r="K32" s="68"/>
      <c r="L32" s="68"/>
      <c r="M32" s="68"/>
      <c r="N32" s="7">
        <f>SUM(B32:M32)</f>
        <v>0</v>
      </c>
      <c r="O32" s="29"/>
      <c r="P32" s="6">
        <f>+B32*-1</f>
        <v>0</v>
      </c>
      <c r="Q32" s="6">
        <f t="shared" ref="Q32:AF33" si="5">+C32*-1</f>
        <v>0</v>
      </c>
      <c r="R32" s="6">
        <f t="shared" si="5"/>
        <v>0</v>
      </c>
      <c r="S32" s="6">
        <f t="shared" si="5"/>
        <v>0</v>
      </c>
      <c r="T32" s="6">
        <f t="shared" si="5"/>
        <v>0</v>
      </c>
      <c r="U32" s="6">
        <f t="shared" si="5"/>
        <v>0</v>
      </c>
      <c r="V32" s="6">
        <f t="shared" si="5"/>
        <v>0</v>
      </c>
      <c r="W32" s="6">
        <f t="shared" si="5"/>
        <v>0</v>
      </c>
      <c r="X32" s="6">
        <f t="shared" si="5"/>
        <v>0</v>
      </c>
      <c r="Y32" s="6">
        <f t="shared" si="5"/>
        <v>0</v>
      </c>
      <c r="Z32" s="6">
        <f t="shared" si="5"/>
        <v>0</v>
      </c>
      <c r="AA32" s="6">
        <f t="shared" si="5"/>
        <v>0</v>
      </c>
      <c r="AB32" s="6">
        <f t="shared" si="5"/>
        <v>0</v>
      </c>
      <c r="AC32" s="6">
        <f t="shared" si="5"/>
        <v>0</v>
      </c>
      <c r="AD32" s="6">
        <f t="shared" si="5"/>
        <v>0</v>
      </c>
      <c r="AE32" s="6">
        <f t="shared" si="5"/>
        <v>0</v>
      </c>
      <c r="AF32" s="6">
        <f t="shared" si="5"/>
        <v>0</v>
      </c>
      <c r="AG32" s="6">
        <f t="shared" ref="AG32:AR33" si="6">+S32*-1</f>
        <v>0</v>
      </c>
      <c r="AH32" s="6">
        <f t="shared" si="6"/>
        <v>0</v>
      </c>
      <c r="AI32" s="6">
        <f t="shared" si="6"/>
        <v>0</v>
      </c>
      <c r="AJ32" s="6">
        <f t="shared" si="6"/>
        <v>0</v>
      </c>
      <c r="AK32" s="6">
        <f t="shared" si="6"/>
        <v>0</v>
      </c>
      <c r="AL32" s="6">
        <f t="shared" si="6"/>
        <v>0</v>
      </c>
      <c r="AM32" s="6">
        <f t="shared" si="6"/>
        <v>0</v>
      </c>
      <c r="AN32" s="6">
        <f t="shared" si="6"/>
        <v>0</v>
      </c>
      <c r="AO32" s="6">
        <f t="shared" si="6"/>
        <v>0</v>
      </c>
      <c r="AP32" s="6">
        <f t="shared" si="6"/>
        <v>0</v>
      </c>
      <c r="AQ32" s="6">
        <f t="shared" si="6"/>
        <v>0</v>
      </c>
      <c r="AR32" s="6">
        <f t="shared" si="6"/>
        <v>0</v>
      </c>
    </row>
    <row r="33" spans="1:44" s="6" customFormat="1">
      <c r="B33" s="15"/>
      <c r="C33" s="15"/>
      <c r="D33" s="15"/>
      <c r="E33" s="15"/>
      <c r="F33" s="15"/>
      <c r="G33" s="15"/>
      <c r="H33" s="15"/>
      <c r="I33" s="15"/>
      <c r="J33" s="15"/>
      <c r="K33" s="15"/>
      <c r="L33" s="15"/>
      <c r="M33" s="15"/>
      <c r="N33" s="15">
        <f>SUM(B33:M33)</f>
        <v>0</v>
      </c>
      <c r="O33" s="29"/>
      <c r="Q33" s="6">
        <f t="shared" si="5"/>
        <v>0</v>
      </c>
      <c r="R33" s="6">
        <f t="shared" si="5"/>
        <v>0</v>
      </c>
      <c r="S33" s="6">
        <f t="shared" si="5"/>
        <v>0</v>
      </c>
      <c r="T33" s="6">
        <f t="shared" si="5"/>
        <v>0</v>
      </c>
      <c r="U33" s="6">
        <f t="shared" si="5"/>
        <v>0</v>
      </c>
      <c r="V33" s="6">
        <f t="shared" si="5"/>
        <v>0</v>
      </c>
      <c r="W33" s="6">
        <f t="shared" si="5"/>
        <v>0</v>
      </c>
      <c r="X33" s="6">
        <f t="shared" si="5"/>
        <v>0</v>
      </c>
      <c r="Y33" s="6">
        <f t="shared" si="5"/>
        <v>0</v>
      </c>
      <c r="Z33" s="6">
        <f t="shared" si="5"/>
        <v>0</v>
      </c>
      <c r="AA33" s="6">
        <f t="shared" si="5"/>
        <v>0</v>
      </c>
      <c r="AB33" s="6">
        <f t="shared" si="5"/>
        <v>0</v>
      </c>
      <c r="AC33" s="6">
        <f t="shared" si="5"/>
        <v>0</v>
      </c>
      <c r="AD33" s="6">
        <f t="shared" si="5"/>
        <v>0</v>
      </c>
      <c r="AE33" s="6">
        <f t="shared" si="5"/>
        <v>0</v>
      </c>
      <c r="AF33" s="6">
        <f t="shared" si="5"/>
        <v>0</v>
      </c>
      <c r="AG33" s="6">
        <f t="shared" si="6"/>
        <v>0</v>
      </c>
      <c r="AH33" s="6">
        <f t="shared" si="6"/>
        <v>0</v>
      </c>
      <c r="AI33" s="6">
        <f t="shared" si="6"/>
        <v>0</v>
      </c>
      <c r="AJ33" s="6">
        <f t="shared" si="6"/>
        <v>0</v>
      </c>
      <c r="AK33" s="6">
        <f t="shared" si="6"/>
        <v>0</v>
      </c>
      <c r="AL33" s="6">
        <f t="shared" si="6"/>
        <v>0</v>
      </c>
      <c r="AM33" s="6">
        <f t="shared" si="6"/>
        <v>0</v>
      </c>
      <c r="AN33" s="6">
        <f t="shared" si="6"/>
        <v>0</v>
      </c>
      <c r="AO33" s="6">
        <f t="shared" si="6"/>
        <v>0</v>
      </c>
      <c r="AP33" s="6">
        <f t="shared" si="6"/>
        <v>0</v>
      </c>
      <c r="AQ33" s="6">
        <f t="shared" si="6"/>
        <v>0</v>
      </c>
      <c r="AR33" s="6">
        <f t="shared" si="6"/>
        <v>0</v>
      </c>
    </row>
    <row r="34" spans="1:44" s="6" customFormat="1">
      <c r="A34" s="13" t="s">
        <v>43</v>
      </c>
      <c r="B34" s="12">
        <f t="shared" ref="B34:N34" si="7">SUM(B30:B33)</f>
        <v>742914</v>
      </c>
      <c r="C34" s="12">
        <f t="shared" si="7"/>
        <v>757654</v>
      </c>
      <c r="D34" s="12">
        <f t="shared" si="7"/>
        <v>863832</v>
      </c>
      <c r="E34" s="12">
        <f t="shared" si="7"/>
        <v>1006545</v>
      </c>
      <c r="F34" s="12">
        <f t="shared" si="7"/>
        <v>797736</v>
      </c>
      <c r="G34" s="12">
        <f t="shared" si="7"/>
        <v>790966</v>
      </c>
      <c r="H34" s="12">
        <f t="shared" si="7"/>
        <v>812563</v>
      </c>
      <c r="I34" s="12">
        <f t="shared" si="7"/>
        <v>883090</v>
      </c>
      <c r="J34" s="12">
        <f t="shared" si="7"/>
        <v>887480</v>
      </c>
      <c r="K34" s="12">
        <f t="shared" si="7"/>
        <v>982392</v>
      </c>
      <c r="L34" s="12">
        <f t="shared" si="7"/>
        <v>837307</v>
      </c>
      <c r="M34" s="12">
        <f t="shared" si="7"/>
        <v>657434</v>
      </c>
      <c r="N34" s="12">
        <f t="shared" si="7"/>
        <v>10019913</v>
      </c>
      <c r="O34" s="29"/>
    </row>
    <row r="35" spans="1:44" s="6" customFormat="1">
      <c r="B35" s="7"/>
      <c r="C35" s="7"/>
      <c r="D35" s="7"/>
      <c r="E35" s="7"/>
      <c r="F35" s="7"/>
      <c r="G35" s="7"/>
      <c r="H35" s="7"/>
      <c r="I35" s="7"/>
      <c r="J35" s="7"/>
      <c r="K35" s="7"/>
      <c r="L35" s="7"/>
      <c r="M35" s="7"/>
    </row>
    <row r="36" spans="1:44" s="6" customFormat="1">
      <c r="A36" s="13" t="s">
        <v>44</v>
      </c>
      <c r="B36" s="7"/>
      <c r="C36" s="7"/>
      <c r="D36" s="7"/>
      <c r="E36" s="7"/>
      <c r="F36" s="7"/>
      <c r="G36" s="7"/>
      <c r="H36" s="7"/>
      <c r="I36" s="7"/>
      <c r="J36" s="7"/>
      <c r="K36" s="7"/>
      <c r="L36" s="7"/>
      <c r="M36" s="7"/>
    </row>
    <row r="37" spans="1:44" s="6" customFormat="1">
      <c r="A37" s="6" t="s">
        <v>45</v>
      </c>
      <c r="B37" s="53">
        <v>1168701</v>
      </c>
      <c r="C37" s="53">
        <v>1244422</v>
      </c>
      <c r="D37" s="53">
        <v>1461507</v>
      </c>
      <c r="E37" s="53">
        <v>1790911</v>
      </c>
      <c r="F37" s="53">
        <v>1394318</v>
      </c>
      <c r="G37" s="66">
        <v>1406377</v>
      </c>
      <c r="H37" s="66">
        <v>1275000</v>
      </c>
      <c r="I37" s="66">
        <v>1496169</v>
      </c>
      <c r="J37" s="66">
        <v>1531501</v>
      </c>
      <c r="K37" s="53">
        <v>1582030</v>
      </c>
      <c r="L37" s="53">
        <v>1425841</v>
      </c>
      <c r="M37" s="53">
        <v>1274220</v>
      </c>
      <c r="N37" s="7">
        <f>SUM(B37:M37)</f>
        <v>17050997</v>
      </c>
      <c r="O37" s="29"/>
      <c r="P37" s="69"/>
    </row>
    <row r="38" spans="1:44" s="6" customFormat="1">
      <c r="A38" s="6" t="s">
        <v>46</v>
      </c>
      <c r="B38" s="7">
        <f>-B34</f>
        <v>-742914</v>
      </c>
      <c r="C38" s="7">
        <f t="shared" ref="C38:M38" si="8">-C34</f>
        <v>-757654</v>
      </c>
      <c r="D38" s="7">
        <f t="shared" si="8"/>
        <v>-863832</v>
      </c>
      <c r="E38" s="7">
        <f t="shared" si="8"/>
        <v>-1006545</v>
      </c>
      <c r="F38" s="7">
        <f t="shared" si="8"/>
        <v>-797736</v>
      </c>
      <c r="G38" s="7">
        <f t="shared" si="8"/>
        <v>-790966</v>
      </c>
      <c r="H38" s="7">
        <f t="shared" si="8"/>
        <v>-812563</v>
      </c>
      <c r="I38" s="7">
        <f t="shared" si="8"/>
        <v>-883090</v>
      </c>
      <c r="J38" s="7">
        <f t="shared" si="8"/>
        <v>-887480</v>
      </c>
      <c r="K38" s="7">
        <f t="shared" si="8"/>
        <v>-982392</v>
      </c>
      <c r="L38" s="7">
        <f t="shared" si="8"/>
        <v>-837307</v>
      </c>
      <c r="M38" s="7">
        <f t="shared" si="8"/>
        <v>-657434</v>
      </c>
      <c r="N38" s="7">
        <f>SUM(B38:M38)</f>
        <v>-10019913</v>
      </c>
      <c r="O38" s="29"/>
    </row>
    <row r="39" spans="1:44" s="6" customFormat="1">
      <c r="A39" s="6" t="s">
        <v>47</v>
      </c>
      <c r="B39" s="72">
        <v>-78554</v>
      </c>
      <c r="C39" s="72">
        <v>-78293</v>
      </c>
      <c r="D39" s="72">
        <v>-79025</v>
      </c>
      <c r="E39" s="72">
        <v>-81090</v>
      </c>
      <c r="F39" s="72">
        <v>-81090</v>
      </c>
      <c r="G39" s="72">
        <v>-81079</v>
      </c>
      <c r="H39" s="72">
        <v>-89229</v>
      </c>
      <c r="I39" s="72">
        <v>-88964</v>
      </c>
      <c r="J39" s="72">
        <v>-88964</v>
      </c>
      <c r="K39" s="72">
        <v>-88563</v>
      </c>
      <c r="L39" s="72">
        <v>-97279</v>
      </c>
      <c r="M39" s="72">
        <v>-97277</v>
      </c>
      <c r="N39" s="7">
        <f>SUM(B39:M39)</f>
        <v>-1029407</v>
      </c>
      <c r="O39" s="29"/>
    </row>
    <row r="40" spans="1:44" s="6" customFormat="1">
      <c r="A40" s="6" t="s">
        <v>78</v>
      </c>
      <c r="B40" s="53"/>
      <c r="C40" s="53"/>
      <c r="D40" s="53"/>
      <c r="E40" s="53"/>
      <c r="F40" s="53"/>
      <c r="G40" s="53"/>
      <c r="H40" s="53"/>
      <c r="I40" s="53"/>
      <c r="J40" s="53"/>
      <c r="K40" s="53"/>
      <c r="L40" s="53"/>
      <c r="M40" s="53"/>
      <c r="N40" s="7">
        <f>SUM(B40:M40)</f>
        <v>0</v>
      </c>
      <c r="O40" s="29"/>
    </row>
    <row r="41" spans="1:44" s="6" customFormat="1">
      <c r="A41" s="6" t="s">
        <v>48</v>
      </c>
      <c r="B41" s="60">
        <v>-8350</v>
      </c>
      <c r="C41" s="60">
        <v>-8350</v>
      </c>
      <c r="D41" s="60">
        <v>-8350</v>
      </c>
      <c r="E41" s="60">
        <v>-8350</v>
      </c>
      <c r="F41" s="60">
        <v>-8350</v>
      </c>
      <c r="G41" s="60">
        <v>-8350</v>
      </c>
      <c r="H41" s="60">
        <v>-8350</v>
      </c>
      <c r="I41" s="60">
        <v>-8350</v>
      </c>
      <c r="J41" s="60">
        <v>-8350</v>
      </c>
      <c r="K41" s="60">
        <v>-8350</v>
      </c>
      <c r="L41" s="60">
        <v>-8350</v>
      </c>
      <c r="M41" s="60">
        <v>-30300</v>
      </c>
      <c r="N41" s="15">
        <f>SUM(B41:M41)</f>
        <v>-122150</v>
      </c>
      <c r="O41" s="29"/>
    </row>
    <row r="42" spans="1:44" s="6" customFormat="1">
      <c r="A42" s="13" t="s">
        <v>49</v>
      </c>
      <c r="B42" s="12">
        <f t="shared" ref="B42:N42" si="9">SUM(B37:B41)</f>
        <v>338883</v>
      </c>
      <c r="C42" s="12">
        <f t="shared" si="9"/>
        <v>400125</v>
      </c>
      <c r="D42" s="12">
        <f t="shared" si="9"/>
        <v>510300</v>
      </c>
      <c r="E42" s="12">
        <f t="shared" si="9"/>
        <v>694926</v>
      </c>
      <c r="F42" s="12">
        <f t="shared" si="9"/>
        <v>507142</v>
      </c>
      <c r="G42" s="12">
        <f t="shared" si="9"/>
        <v>525982</v>
      </c>
      <c r="H42" s="12">
        <f t="shared" si="9"/>
        <v>364858</v>
      </c>
      <c r="I42" s="12">
        <f t="shared" si="9"/>
        <v>515765</v>
      </c>
      <c r="J42" s="12">
        <f t="shared" si="9"/>
        <v>546707</v>
      </c>
      <c r="K42" s="12">
        <f t="shared" si="9"/>
        <v>502725</v>
      </c>
      <c r="L42" s="12">
        <f t="shared" si="9"/>
        <v>482905</v>
      </c>
      <c r="M42" s="12">
        <f t="shared" si="9"/>
        <v>489209</v>
      </c>
      <c r="N42" s="12">
        <f t="shared" si="9"/>
        <v>5879527</v>
      </c>
      <c r="O42" s="29"/>
    </row>
    <row r="43" spans="1:44">
      <c r="A43" s="1"/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2"/>
      <c r="N43" s="12"/>
      <c r="O43" s="6"/>
    </row>
    <row r="44" spans="1:44">
      <c r="A44" s="13" t="s">
        <v>50</v>
      </c>
      <c r="B44" s="53">
        <v>369110</v>
      </c>
      <c r="C44" s="53">
        <v>286330</v>
      </c>
      <c r="D44" s="53">
        <v>341075</v>
      </c>
      <c r="E44" s="53">
        <v>362175</v>
      </c>
      <c r="F44" s="53">
        <v>398914</v>
      </c>
      <c r="G44" s="53">
        <v>307622</v>
      </c>
      <c r="H44" s="53">
        <v>357356</v>
      </c>
      <c r="I44" s="53">
        <v>287747</v>
      </c>
      <c r="J44" s="53">
        <v>322520</v>
      </c>
      <c r="K44" s="53">
        <v>378879</v>
      </c>
      <c r="L44" s="53">
        <v>307614</v>
      </c>
      <c r="M44" s="53">
        <v>705082</v>
      </c>
      <c r="N44" s="12">
        <f>SUM(B44:M44)</f>
        <v>4424424</v>
      </c>
      <c r="O44" s="29"/>
    </row>
    <row r="45" spans="1:44">
      <c r="A45" s="6" t="s">
        <v>51</v>
      </c>
      <c r="B45" s="22"/>
      <c r="C45" s="22"/>
      <c r="D45" s="22"/>
      <c r="E45" s="22"/>
      <c r="F45" s="22"/>
      <c r="G45" s="22"/>
      <c r="H45" s="22"/>
      <c r="I45" s="22"/>
      <c r="J45" s="22"/>
      <c r="K45" s="22"/>
      <c r="L45" s="22"/>
      <c r="M45" s="22"/>
      <c r="N45" s="22">
        <f>SUM(B45:M45)</f>
        <v>0</v>
      </c>
      <c r="O45" s="29"/>
    </row>
    <row r="46" spans="1:44">
      <c r="A46" s="1" t="s">
        <v>50</v>
      </c>
      <c r="B46" s="12">
        <f>SUM(B44:B45)</f>
        <v>369110</v>
      </c>
      <c r="C46" s="12">
        <f>SUM(C44:C45)</f>
        <v>286330</v>
      </c>
      <c r="D46" s="12">
        <f t="shared" ref="D46:N46" si="10">SUM(D44:D45)</f>
        <v>341075</v>
      </c>
      <c r="E46" s="12">
        <f t="shared" si="10"/>
        <v>362175</v>
      </c>
      <c r="F46" s="12">
        <f t="shared" si="10"/>
        <v>398914</v>
      </c>
      <c r="G46" s="12">
        <f t="shared" si="10"/>
        <v>307622</v>
      </c>
      <c r="H46" s="12">
        <f t="shared" si="10"/>
        <v>357356</v>
      </c>
      <c r="I46" s="12">
        <f t="shared" si="10"/>
        <v>287747</v>
      </c>
      <c r="J46" s="12">
        <f t="shared" si="10"/>
        <v>322520</v>
      </c>
      <c r="K46" s="12">
        <f t="shared" si="10"/>
        <v>378879</v>
      </c>
      <c r="L46" s="12">
        <f t="shared" si="10"/>
        <v>307614</v>
      </c>
      <c r="M46" s="12">
        <f t="shared" si="10"/>
        <v>705082</v>
      </c>
      <c r="N46" s="12">
        <f t="shared" si="10"/>
        <v>4424424</v>
      </c>
      <c r="O46" s="29"/>
    </row>
    <row r="47" spans="1:44">
      <c r="B47" s="7"/>
      <c r="C47" s="7"/>
      <c r="D47" s="7"/>
      <c r="E47" s="7"/>
      <c r="F47" s="7"/>
      <c r="G47" s="7"/>
      <c r="H47" s="7"/>
      <c r="I47" s="7"/>
      <c r="J47" s="7"/>
      <c r="K47" s="6"/>
      <c r="L47" s="6"/>
      <c r="M47" s="6"/>
      <c r="N47" s="6"/>
      <c r="O47" s="6"/>
    </row>
    <row r="48" spans="1:44">
      <c r="A48" s="13" t="s">
        <v>52</v>
      </c>
      <c r="B48" s="19">
        <f t="shared" ref="B48:N48" si="11">+B20+B34+B42+B46</f>
        <v>1943047</v>
      </c>
      <c r="C48" s="19">
        <f t="shared" si="11"/>
        <v>3632361</v>
      </c>
      <c r="D48" s="19">
        <f t="shared" si="11"/>
        <v>4457674</v>
      </c>
      <c r="E48" s="19">
        <f t="shared" si="11"/>
        <v>3381160</v>
      </c>
      <c r="F48" s="19">
        <f t="shared" si="11"/>
        <v>2659216</v>
      </c>
      <c r="G48" s="19">
        <f t="shared" si="11"/>
        <v>2678842</v>
      </c>
      <c r="H48" s="19">
        <f t="shared" si="11"/>
        <v>3875919</v>
      </c>
      <c r="I48" s="19">
        <f t="shared" si="11"/>
        <v>3297946</v>
      </c>
      <c r="J48" s="19">
        <f t="shared" si="11"/>
        <v>2972629</v>
      </c>
      <c r="K48" s="19">
        <f t="shared" si="11"/>
        <v>2954465</v>
      </c>
      <c r="L48" s="19">
        <f t="shared" si="11"/>
        <v>2753952</v>
      </c>
      <c r="M48" s="19">
        <f t="shared" si="11"/>
        <v>2701181</v>
      </c>
      <c r="N48" s="19">
        <f t="shared" si="11"/>
        <v>37308392</v>
      </c>
      <c r="O48" s="29"/>
    </row>
    <row r="49" spans="1:17">
      <c r="B49" s="7"/>
      <c r="C49" s="7"/>
      <c r="D49" s="7"/>
      <c r="E49" s="7"/>
      <c r="F49" s="7"/>
      <c r="G49" s="7"/>
      <c r="H49" s="7"/>
      <c r="I49" s="7"/>
      <c r="J49" s="7"/>
      <c r="K49" s="6"/>
      <c r="L49" s="6"/>
      <c r="M49" s="6"/>
      <c r="N49" s="6"/>
      <c r="O49" s="6"/>
    </row>
    <row r="50" spans="1:17">
      <c r="A50" s="1" t="s">
        <v>53</v>
      </c>
      <c r="B50" s="12">
        <f t="shared" ref="B50:M50" si="12">+B13-B48</f>
        <v>-820759</v>
      </c>
      <c r="C50" s="12">
        <f t="shared" si="12"/>
        <v>181657</v>
      </c>
      <c r="D50" s="12">
        <f t="shared" si="12"/>
        <v>1137981</v>
      </c>
      <c r="E50" s="12">
        <f t="shared" si="12"/>
        <v>522022</v>
      </c>
      <c r="F50" s="12">
        <f t="shared" si="12"/>
        <v>3961</v>
      </c>
      <c r="G50" s="12">
        <f t="shared" si="12"/>
        <v>179136</v>
      </c>
      <c r="H50" s="12">
        <f t="shared" si="12"/>
        <v>-35780</v>
      </c>
      <c r="I50" s="12">
        <f t="shared" si="12"/>
        <v>543790</v>
      </c>
      <c r="J50" s="12">
        <f t="shared" si="12"/>
        <v>591969</v>
      </c>
      <c r="K50" s="12">
        <f t="shared" si="12"/>
        <v>133861</v>
      </c>
      <c r="L50" s="12">
        <f t="shared" si="12"/>
        <v>394367</v>
      </c>
      <c r="M50" s="12">
        <f t="shared" si="12"/>
        <v>-1122336</v>
      </c>
      <c r="N50" s="12">
        <f>SUM(B50:M50)</f>
        <v>1709869</v>
      </c>
      <c r="O50" s="6"/>
      <c r="P50" s="25"/>
    </row>
    <row r="51" spans="1:17" ht="7.5" customHeight="1">
      <c r="B51" s="7"/>
      <c r="C51" s="7"/>
      <c r="D51" s="7"/>
      <c r="E51" s="7"/>
      <c r="F51" s="7"/>
      <c r="G51" s="7"/>
      <c r="H51" s="7"/>
      <c r="I51" s="7"/>
      <c r="J51" s="7"/>
      <c r="K51" s="6"/>
      <c r="L51" s="6"/>
      <c r="M51" s="6"/>
      <c r="N51" s="6"/>
      <c r="O51" s="6"/>
    </row>
    <row r="52" spans="1:17">
      <c r="A52" s="1" t="s">
        <v>54</v>
      </c>
      <c r="B52" s="7"/>
      <c r="C52" s="7"/>
      <c r="D52" s="7"/>
      <c r="E52" s="7"/>
      <c r="F52" s="7"/>
      <c r="G52" s="7"/>
      <c r="H52" s="7"/>
      <c r="I52" s="7"/>
      <c r="J52" s="7"/>
      <c r="K52" s="6"/>
      <c r="L52" s="6"/>
      <c r="M52" s="6"/>
      <c r="N52" s="6"/>
      <c r="O52" s="6"/>
    </row>
    <row r="53" spans="1:17" s="6" customFormat="1">
      <c r="A53" s="6" t="s">
        <v>55</v>
      </c>
      <c r="B53" s="51">
        <v>185000</v>
      </c>
      <c r="C53" s="51">
        <v>53500</v>
      </c>
      <c r="D53" s="51">
        <v>0</v>
      </c>
      <c r="E53" s="51">
        <v>171500</v>
      </c>
      <c r="F53" s="51">
        <v>137500</v>
      </c>
      <c r="G53" s="51">
        <v>120200</v>
      </c>
      <c r="H53" s="52">
        <v>116000</v>
      </c>
      <c r="I53" s="51">
        <v>265000</v>
      </c>
      <c r="J53" s="51">
        <v>0</v>
      </c>
      <c r="K53" s="51">
        <v>192250</v>
      </c>
      <c r="L53" s="51">
        <v>243000</v>
      </c>
      <c r="M53" s="51">
        <v>275000</v>
      </c>
      <c r="N53" s="51">
        <f>SUM(B53:M53)</f>
        <v>1758950</v>
      </c>
      <c r="P53" s="40"/>
    </row>
    <row r="54" spans="1:17" s="6" customFormat="1">
      <c r="A54" s="6" t="s">
        <v>56</v>
      </c>
      <c r="B54" s="10"/>
      <c r="C54" s="10"/>
      <c r="D54" s="10"/>
      <c r="E54" s="10"/>
      <c r="F54" s="10">
        <v>95000</v>
      </c>
      <c r="G54" s="10"/>
      <c r="H54" s="10"/>
      <c r="I54" s="10"/>
      <c r="J54" s="10"/>
      <c r="K54" s="10"/>
      <c r="L54" s="10"/>
      <c r="M54" s="10"/>
      <c r="N54" s="10">
        <f>SUM(B54:M54)</f>
        <v>95000</v>
      </c>
      <c r="P54" s="7"/>
      <c r="Q54" s="6">
        <v>0</v>
      </c>
    </row>
    <row r="55" spans="1:17" s="6" customFormat="1">
      <c r="A55" s="6" t="s">
        <v>57</v>
      </c>
      <c r="B55" s="10"/>
      <c r="C55" s="10"/>
      <c r="D55" s="10"/>
      <c r="E55" s="10"/>
      <c r="F55" s="10"/>
      <c r="G55" s="10"/>
      <c r="H55" s="10"/>
      <c r="I55" s="10"/>
      <c r="J55" s="10"/>
      <c r="K55" s="10"/>
      <c r="L55" s="10">
        <v>0</v>
      </c>
      <c r="M55" s="10">
        <v>0</v>
      </c>
      <c r="N55" s="10">
        <f>SUM(B55:M55)</f>
        <v>0</v>
      </c>
      <c r="P55" s="7"/>
    </row>
    <row r="56" spans="1:17" s="6" customFormat="1">
      <c r="A56" s="37" t="s">
        <v>58</v>
      </c>
      <c r="B56" s="7">
        <v>-12500</v>
      </c>
      <c r="C56" s="7">
        <v>-12500</v>
      </c>
      <c r="D56" s="7">
        <v>-12500</v>
      </c>
      <c r="E56" s="7">
        <v>-12500</v>
      </c>
      <c r="F56" s="7">
        <v>-12500</v>
      </c>
      <c r="G56" s="7">
        <v>-12500</v>
      </c>
      <c r="H56" s="10">
        <v>-12500</v>
      </c>
      <c r="I56" s="7">
        <v>-12500</v>
      </c>
      <c r="J56" s="7">
        <v>-12500</v>
      </c>
      <c r="K56" s="7">
        <v>-12500</v>
      </c>
      <c r="L56" s="7">
        <v>-12500</v>
      </c>
      <c r="M56" s="7">
        <v>-12500</v>
      </c>
      <c r="N56" s="7">
        <f>SUM(B56:M56)</f>
        <v>-150000</v>
      </c>
      <c r="P56" s="56"/>
    </row>
    <row r="57" spans="1:17" s="6" customFormat="1">
      <c r="A57" s="6" t="s">
        <v>59</v>
      </c>
      <c r="B57" s="22">
        <v>-25000</v>
      </c>
      <c r="C57" s="22">
        <v>-25000</v>
      </c>
      <c r="D57" s="22">
        <v>-25000</v>
      </c>
      <c r="E57" s="22">
        <v>-25000</v>
      </c>
      <c r="F57" s="22">
        <v>-25000</v>
      </c>
      <c r="G57" s="22">
        <v>-25000</v>
      </c>
      <c r="H57" s="10">
        <v>-25000</v>
      </c>
      <c r="I57" s="22">
        <v>-25000</v>
      </c>
      <c r="J57" s="22">
        <v>-25000</v>
      </c>
      <c r="K57" s="22">
        <v>-25000</v>
      </c>
      <c r="L57" s="22">
        <v>-25000</v>
      </c>
      <c r="M57" s="22">
        <v>-25000</v>
      </c>
      <c r="N57" s="22">
        <f>SUM(B57:M57)</f>
        <v>-300000</v>
      </c>
      <c r="P57" s="7"/>
    </row>
    <row r="58" spans="1:17" s="6" customFormat="1">
      <c r="A58" s="13" t="s">
        <v>60</v>
      </c>
      <c r="B58" s="19">
        <f t="shared" ref="B58:N58" si="13">SUM(B53:B57)</f>
        <v>147500</v>
      </c>
      <c r="C58" s="19">
        <f t="shared" si="13"/>
        <v>16000</v>
      </c>
      <c r="D58" s="19">
        <f t="shared" si="13"/>
        <v>-37500</v>
      </c>
      <c r="E58" s="19">
        <f t="shared" si="13"/>
        <v>134000</v>
      </c>
      <c r="F58" s="19">
        <f t="shared" si="13"/>
        <v>195000</v>
      </c>
      <c r="G58" s="19">
        <f t="shared" si="13"/>
        <v>82700</v>
      </c>
      <c r="H58" s="19">
        <f>SUM(H53:H57)</f>
        <v>78500</v>
      </c>
      <c r="I58" s="19">
        <f t="shared" si="13"/>
        <v>227500</v>
      </c>
      <c r="J58" s="19">
        <f t="shared" si="13"/>
        <v>-37500</v>
      </c>
      <c r="K58" s="19">
        <f t="shared" si="13"/>
        <v>154750</v>
      </c>
      <c r="L58" s="19">
        <f t="shared" si="13"/>
        <v>205500</v>
      </c>
      <c r="M58" s="19">
        <f t="shared" si="13"/>
        <v>237500</v>
      </c>
      <c r="N58" s="19">
        <f t="shared" si="13"/>
        <v>1403950</v>
      </c>
      <c r="O58" s="29"/>
    </row>
    <row r="59" spans="1:17">
      <c r="B59" s="7"/>
      <c r="C59" s="7"/>
      <c r="D59" s="7"/>
      <c r="E59" s="7"/>
      <c r="F59" s="7"/>
      <c r="G59" s="7"/>
      <c r="H59" s="7"/>
      <c r="I59" s="7"/>
      <c r="J59" s="7"/>
      <c r="K59" s="7"/>
      <c r="L59" s="7"/>
      <c r="M59" s="7"/>
      <c r="N59" s="7"/>
      <c r="O59" s="6"/>
    </row>
    <row r="60" spans="1:17">
      <c r="A60" s="1" t="s">
        <v>61</v>
      </c>
      <c r="B60" s="44">
        <v>13373023</v>
      </c>
      <c r="C60" s="7"/>
      <c r="D60" s="7"/>
      <c r="E60" s="7"/>
      <c r="F60" s="7"/>
      <c r="G60" s="7"/>
      <c r="H60" s="7" t="s">
        <v>38</v>
      </c>
      <c r="I60" s="7"/>
      <c r="J60" s="7"/>
      <c r="K60" s="6"/>
      <c r="L60" s="6"/>
      <c r="M60" s="6"/>
      <c r="N60" s="6"/>
      <c r="O60" s="6"/>
    </row>
    <row r="61" spans="1:17">
      <c r="A61" s="13" t="s">
        <v>62</v>
      </c>
      <c r="B61" s="19">
        <f t="shared" ref="B61:N61" si="14">+B58+B48</f>
        <v>2090547</v>
      </c>
      <c r="C61" s="19">
        <f t="shared" si="14"/>
        <v>3648361</v>
      </c>
      <c r="D61" s="19">
        <f t="shared" si="14"/>
        <v>4420174</v>
      </c>
      <c r="E61" s="19">
        <f t="shared" si="14"/>
        <v>3515160</v>
      </c>
      <c r="F61" s="19">
        <f t="shared" si="14"/>
        <v>2854216</v>
      </c>
      <c r="G61" s="19">
        <f t="shared" si="14"/>
        <v>2761542</v>
      </c>
      <c r="H61" s="19">
        <f t="shared" si="14"/>
        <v>3954419</v>
      </c>
      <c r="I61" s="19">
        <f t="shared" si="14"/>
        <v>3525446</v>
      </c>
      <c r="J61" s="19">
        <f t="shared" si="14"/>
        <v>2935129</v>
      </c>
      <c r="K61" s="19">
        <f t="shared" si="14"/>
        <v>3109215</v>
      </c>
      <c r="L61" s="19">
        <f t="shared" si="14"/>
        <v>2959452</v>
      </c>
      <c r="M61" s="19">
        <f t="shared" si="14"/>
        <v>2938681</v>
      </c>
      <c r="N61" s="19">
        <f t="shared" si="14"/>
        <v>38712342</v>
      </c>
      <c r="O61" s="29"/>
      <c r="P61" s="25">
        <f>+N61-O61</f>
        <v>38712342</v>
      </c>
    </row>
    <row r="62" spans="1:17" ht="13.5" thickBot="1">
      <c r="A62" s="13" t="s">
        <v>63</v>
      </c>
      <c r="B62" s="30">
        <f t="shared" ref="B62:N62" si="15">+B13-B61</f>
        <v>-968259</v>
      </c>
      <c r="C62" s="30">
        <f t="shared" si="15"/>
        <v>165657</v>
      </c>
      <c r="D62" s="30">
        <f t="shared" si="15"/>
        <v>1175481</v>
      </c>
      <c r="E62" s="30">
        <f t="shared" si="15"/>
        <v>388022</v>
      </c>
      <c r="F62" s="30">
        <f t="shared" si="15"/>
        <v>-191039</v>
      </c>
      <c r="G62" s="30">
        <f t="shared" si="15"/>
        <v>96436</v>
      </c>
      <c r="H62" s="30">
        <f t="shared" si="15"/>
        <v>-114280</v>
      </c>
      <c r="I62" s="30">
        <f t="shared" si="15"/>
        <v>316290</v>
      </c>
      <c r="J62" s="30">
        <f t="shared" si="15"/>
        <v>629469</v>
      </c>
      <c r="K62" s="30">
        <f t="shared" si="15"/>
        <v>-20889</v>
      </c>
      <c r="L62" s="30">
        <f t="shared" si="15"/>
        <v>188867</v>
      </c>
      <c r="M62" s="30">
        <f t="shared" si="15"/>
        <v>-1359836</v>
      </c>
      <c r="N62" s="14">
        <f t="shared" si="15"/>
        <v>305919</v>
      </c>
      <c r="O62" s="29"/>
      <c r="P62" s="25">
        <f>+N62-O62</f>
        <v>305919</v>
      </c>
    </row>
    <row r="63" spans="1:17" s="6" customFormat="1" ht="13.5" thickTop="1">
      <c r="A63" s="13" t="s">
        <v>64</v>
      </c>
      <c r="B63" s="32">
        <f>+B62</f>
        <v>-968259</v>
      </c>
      <c r="C63" s="32">
        <f t="shared" ref="C63:M63" si="16">B63+C62</f>
        <v>-802602</v>
      </c>
      <c r="D63" s="32">
        <f t="shared" si="16"/>
        <v>372879</v>
      </c>
      <c r="E63" s="32">
        <f t="shared" si="16"/>
        <v>760901</v>
      </c>
      <c r="F63" s="32">
        <f t="shared" si="16"/>
        <v>569862</v>
      </c>
      <c r="G63" s="32">
        <f t="shared" si="16"/>
        <v>666298</v>
      </c>
      <c r="H63" s="32">
        <f t="shared" si="16"/>
        <v>552018</v>
      </c>
      <c r="I63" s="32">
        <f t="shared" si="16"/>
        <v>868308</v>
      </c>
      <c r="J63" s="32">
        <f t="shared" si="16"/>
        <v>1497777</v>
      </c>
      <c r="K63" s="32">
        <f t="shared" si="16"/>
        <v>1476888</v>
      </c>
      <c r="L63" s="32">
        <f t="shared" si="16"/>
        <v>1665755</v>
      </c>
      <c r="M63" s="32">
        <f t="shared" si="16"/>
        <v>305919</v>
      </c>
      <c r="N63" s="12"/>
    </row>
    <row r="64" spans="1:17">
      <c r="A64" s="13" t="s">
        <v>65</v>
      </c>
      <c r="B64" s="12">
        <f t="shared" ref="B64:M64" si="17">+$B$60+B63</f>
        <v>12404764</v>
      </c>
      <c r="C64" s="12">
        <f t="shared" si="17"/>
        <v>12570421</v>
      </c>
      <c r="D64" s="12">
        <f t="shared" si="17"/>
        <v>13745902</v>
      </c>
      <c r="E64" s="12">
        <f t="shared" si="17"/>
        <v>14133924</v>
      </c>
      <c r="F64" s="12">
        <f t="shared" si="17"/>
        <v>13942885</v>
      </c>
      <c r="G64" s="12">
        <f t="shared" si="17"/>
        <v>14039321</v>
      </c>
      <c r="H64" s="12">
        <f t="shared" si="17"/>
        <v>13925041</v>
      </c>
      <c r="I64" s="12">
        <f t="shared" si="17"/>
        <v>14241331</v>
      </c>
      <c r="J64" s="12">
        <f t="shared" si="17"/>
        <v>14870800</v>
      </c>
      <c r="K64" s="12">
        <f t="shared" si="17"/>
        <v>14849911</v>
      </c>
      <c r="L64" s="12">
        <f t="shared" si="17"/>
        <v>15038778</v>
      </c>
      <c r="M64" s="12">
        <f t="shared" si="17"/>
        <v>13678942</v>
      </c>
      <c r="N64" s="12"/>
      <c r="O64" s="6"/>
      <c r="P64" s="29"/>
    </row>
    <row r="65" spans="1:16">
      <c r="A65" s="6"/>
      <c r="B65" s="7"/>
      <c r="C65" s="7"/>
      <c r="D65" s="7"/>
      <c r="E65" s="7"/>
      <c r="F65" s="7"/>
      <c r="G65" s="7"/>
      <c r="H65" s="7"/>
      <c r="I65" s="7"/>
      <c r="J65" s="7"/>
      <c r="K65" s="6"/>
      <c r="L65" s="6"/>
      <c r="M65" s="6"/>
      <c r="N65" s="6"/>
      <c r="O65" s="6"/>
    </row>
    <row r="66" spans="1:16" s="6" customFormat="1">
      <c r="A66" s="17" t="s">
        <v>94</v>
      </c>
      <c r="B66" s="18"/>
      <c r="C66" s="18"/>
      <c r="D66" s="18"/>
      <c r="E66" s="18"/>
      <c r="F66" s="18"/>
      <c r="G66" s="18"/>
      <c r="H66" s="18"/>
      <c r="I66" s="18"/>
      <c r="J66" s="18"/>
      <c r="K66" s="18"/>
      <c r="L66" s="18"/>
      <c r="M66" s="18"/>
      <c r="N66" s="18"/>
    </row>
    <row r="67" spans="1:16" ht="13.5" thickBot="1">
      <c r="A67" s="13" t="s">
        <v>67</v>
      </c>
      <c r="B67" s="30">
        <v>-968259</v>
      </c>
      <c r="C67" s="30">
        <v>165657</v>
      </c>
      <c r="D67" s="30">
        <v>1175481</v>
      </c>
      <c r="E67" s="30">
        <v>388022</v>
      </c>
      <c r="F67" s="30">
        <v>-191039</v>
      </c>
      <c r="G67" s="30">
        <v>96436</v>
      </c>
      <c r="H67" s="30">
        <v>-114280</v>
      </c>
      <c r="I67" s="30">
        <v>316290</v>
      </c>
      <c r="J67" s="30">
        <v>629469</v>
      </c>
      <c r="K67" s="30">
        <v>-20889</v>
      </c>
      <c r="L67" s="30">
        <v>188867</v>
      </c>
      <c r="M67" s="30">
        <v>-1359836</v>
      </c>
      <c r="N67" s="16"/>
      <c r="O67" s="6"/>
    </row>
    <row r="68" spans="1:16" ht="13.5" thickTop="1">
      <c r="A68" s="13" t="s">
        <v>64</v>
      </c>
      <c r="B68" s="32">
        <f>+B67</f>
        <v>-968259</v>
      </c>
      <c r="C68" s="32">
        <f>+B68+C67</f>
        <v>-802602</v>
      </c>
      <c r="D68" s="32">
        <f t="shared" ref="D68:M68" si="18">+C68+D67</f>
        <v>372879</v>
      </c>
      <c r="E68" s="32">
        <f t="shared" si="18"/>
        <v>760901</v>
      </c>
      <c r="F68" s="32">
        <f t="shared" si="18"/>
        <v>569862</v>
      </c>
      <c r="G68" s="32">
        <f t="shared" si="18"/>
        <v>666298</v>
      </c>
      <c r="H68" s="32">
        <f t="shared" si="18"/>
        <v>552018</v>
      </c>
      <c r="I68" s="32">
        <f t="shared" si="18"/>
        <v>868308</v>
      </c>
      <c r="J68" s="32">
        <f t="shared" si="18"/>
        <v>1497777</v>
      </c>
      <c r="K68" s="32">
        <f t="shared" si="18"/>
        <v>1476888</v>
      </c>
      <c r="L68" s="32">
        <f t="shared" si="18"/>
        <v>1665755</v>
      </c>
      <c r="M68" s="32">
        <f t="shared" si="18"/>
        <v>305919</v>
      </c>
      <c r="N68" s="16"/>
      <c r="O68" s="6"/>
    </row>
    <row r="69" spans="1:16">
      <c r="A69" s="13" t="s">
        <v>65</v>
      </c>
      <c r="B69" s="12">
        <v>10066787.80069958</v>
      </c>
      <c r="C69" s="12">
        <v>10474885.82712047</v>
      </c>
      <c r="D69" s="12">
        <v>11546728.467384296</v>
      </c>
      <c r="E69" s="12">
        <v>11992721.928639133</v>
      </c>
      <c r="F69" s="12">
        <v>11726972.321587943</v>
      </c>
      <c r="G69" s="12">
        <v>11337269.706012141</v>
      </c>
      <c r="H69" s="12">
        <v>11322908.797641888</v>
      </c>
      <c r="I69" s="12">
        <v>11526789.393104676</v>
      </c>
      <c r="J69" s="12">
        <v>11837705.668475684</v>
      </c>
      <c r="K69" s="12">
        <v>12021264.778665379</v>
      </c>
      <c r="L69" s="12">
        <v>12475612.568366794</v>
      </c>
      <c r="M69" s="12">
        <v>11197948.23476476</v>
      </c>
      <c r="N69" s="12"/>
      <c r="O69" s="6"/>
    </row>
    <row r="70" spans="1:16">
      <c r="A70" s="6"/>
      <c r="B70" s="6"/>
      <c r="C70" s="6"/>
      <c r="D70" s="6"/>
      <c r="E70" s="6"/>
      <c r="F70" s="6"/>
      <c r="H70" s="6"/>
      <c r="I70" s="6"/>
      <c r="J70" s="6"/>
      <c r="K70" s="6"/>
      <c r="L70" s="6"/>
      <c r="M70" s="6"/>
      <c r="N70" s="6"/>
      <c r="O70" s="6"/>
    </row>
    <row r="71" spans="1:16">
      <c r="A71" s="24" t="s">
        <v>68</v>
      </c>
      <c r="B71" s="18"/>
      <c r="C71" s="18"/>
      <c r="D71" s="18"/>
      <c r="E71" s="18"/>
      <c r="F71" s="18"/>
      <c r="G71" s="18"/>
      <c r="H71" s="18"/>
      <c r="I71" s="18"/>
      <c r="J71" s="18"/>
      <c r="K71" s="18"/>
      <c r="L71" s="18"/>
      <c r="M71" s="18"/>
      <c r="N71" s="18"/>
      <c r="O71" s="6"/>
    </row>
    <row r="72" spans="1:16">
      <c r="A72" s="13" t="s">
        <v>63</v>
      </c>
      <c r="B72" s="16">
        <f t="shared" ref="B72:N74" si="19">+B62-B67</f>
        <v>0</v>
      </c>
      <c r="C72" s="16">
        <f t="shared" si="19"/>
        <v>0</v>
      </c>
      <c r="D72" s="16">
        <f t="shared" si="19"/>
        <v>0</v>
      </c>
      <c r="E72" s="16">
        <f t="shared" si="19"/>
        <v>0</v>
      </c>
      <c r="F72" s="16">
        <f t="shared" si="19"/>
        <v>0</v>
      </c>
      <c r="G72" s="16">
        <f t="shared" si="19"/>
        <v>0</v>
      </c>
      <c r="H72" s="16">
        <f t="shared" si="19"/>
        <v>0</v>
      </c>
      <c r="I72" s="16">
        <f t="shared" si="19"/>
        <v>0</v>
      </c>
      <c r="J72" s="16">
        <f t="shared" si="19"/>
        <v>0</v>
      </c>
      <c r="K72" s="16">
        <f t="shared" si="19"/>
        <v>0</v>
      </c>
      <c r="L72" s="16">
        <f t="shared" si="19"/>
        <v>0</v>
      </c>
      <c r="M72" s="16">
        <f t="shared" si="19"/>
        <v>0</v>
      </c>
      <c r="N72" s="6"/>
      <c r="O72" s="6"/>
      <c r="P72" s="16">
        <f>+N62-N67</f>
        <v>305919</v>
      </c>
    </row>
    <row r="73" spans="1:16" s="6" customFormat="1">
      <c r="A73" s="13" t="s">
        <v>64</v>
      </c>
      <c r="B73" s="16">
        <f t="shared" si="19"/>
        <v>0</v>
      </c>
      <c r="C73" s="16">
        <f t="shared" si="19"/>
        <v>0</v>
      </c>
      <c r="D73" s="16">
        <f t="shared" si="19"/>
        <v>0</v>
      </c>
      <c r="E73" s="16">
        <f t="shared" si="19"/>
        <v>0</v>
      </c>
      <c r="F73" s="16">
        <f t="shared" si="19"/>
        <v>0</v>
      </c>
      <c r="G73" s="16">
        <f t="shared" si="19"/>
        <v>0</v>
      </c>
      <c r="H73" s="16">
        <f t="shared" si="19"/>
        <v>0</v>
      </c>
      <c r="I73" s="16">
        <f t="shared" si="19"/>
        <v>0</v>
      </c>
      <c r="J73" s="16">
        <f t="shared" si="19"/>
        <v>0</v>
      </c>
      <c r="K73" s="16">
        <f t="shared" si="19"/>
        <v>0</v>
      </c>
      <c r="L73" s="16">
        <f t="shared" si="19"/>
        <v>0</v>
      </c>
      <c r="M73" s="16">
        <f t="shared" si="19"/>
        <v>0</v>
      </c>
      <c r="N73" s="16">
        <f t="shared" si="19"/>
        <v>0</v>
      </c>
    </row>
    <row r="74" spans="1:16">
      <c r="A74" s="1" t="s">
        <v>65</v>
      </c>
      <c r="B74" s="16">
        <f t="shared" si="19"/>
        <v>2337976.1993004195</v>
      </c>
      <c r="C74" s="16">
        <f t="shared" si="19"/>
        <v>2095535.1728795301</v>
      </c>
      <c r="D74" s="16">
        <f t="shared" si="19"/>
        <v>2199173.5326157045</v>
      </c>
      <c r="E74" s="16">
        <f t="shared" si="19"/>
        <v>2141202.0713608675</v>
      </c>
      <c r="F74" s="16">
        <f t="shared" si="19"/>
        <v>2215912.6784120575</v>
      </c>
      <c r="G74" s="16">
        <f t="shared" si="19"/>
        <v>2702051.293987859</v>
      </c>
      <c r="H74" s="16">
        <f t="shared" si="19"/>
        <v>2602132.2023581117</v>
      </c>
      <c r="I74" s="16">
        <f t="shared" si="19"/>
        <v>2714541.6068953238</v>
      </c>
      <c r="J74" s="16">
        <f t="shared" si="19"/>
        <v>3033094.3315243162</v>
      </c>
      <c r="K74" s="16">
        <f t="shared" si="19"/>
        <v>2828646.2213346213</v>
      </c>
      <c r="L74" s="16">
        <f t="shared" si="19"/>
        <v>2563165.4316332061</v>
      </c>
      <c r="M74" s="16">
        <f t="shared" si="19"/>
        <v>2480993.7652352396</v>
      </c>
      <c r="N74" s="16"/>
      <c r="O74" s="6"/>
    </row>
    <row r="75" spans="1:16">
      <c r="B75" s="6"/>
      <c r="C75" s="6"/>
      <c r="D75" s="6"/>
      <c r="E75" s="6"/>
      <c r="F75" s="6"/>
      <c r="H75" s="6"/>
      <c r="I75" s="6"/>
      <c r="J75" s="6"/>
      <c r="K75" s="6"/>
      <c r="L75" s="6"/>
      <c r="M75" s="6"/>
      <c r="N75" s="6"/>
    </row>
    <row r="76" spans="1:16">
      <c r="A76" s="1"/>
      <c r="B76" s="4"/>
      <c r="C76" s="8"/>
      <c r="D76" s="8"/>
      <c r="E76" s="8"/>
      <c r="F76" s="8"/>
      <c r="H76" s="20"/>
      <c r="J76" s="6"/>
      <c r="K76" s="6"/>
    </row>
    <row r="77" spans="1:16">
      <c r="A77" s="1"/>
      <c r="B77" s="4"/>
      <c r="C77" s="8"/>
      <c r="D77" s="8"/>
      <c r="E77" s="8"/>
      <c r="F77" s="8"/>
      <c r="H77" s="20"/>
      <c r="J77" s="6"/>
    </row>
    <row r="78" spans="1:16">
      <c r="A78" s="1"/>
      <c r="B78" s="4"/>
      <c r="D78" s="8"/>
      <c r="E78" s="8"/>
      <c r="F78" s="8"/>
      <c r="H78" s="61"/>
      <c r="J78" s="6"/>
    </row>
    <row r="79" spans="1:16">
      <c r="E79" s="6"/>
      <c r="H79" s="20"/>
      <c r="J79" s="6"/>
      <c r="N79" s="25"/>
    </row>
    <row r="80" spans="1:16">
      <c r="A80" t="s">
        <v>69</v>
      </c>
      <c r="B80" t="s">
        <v>69</v>
      </c>
      <c r="C80" t="s">
        <v>69</v>
      </c>
      <c r="D80" t="s">
        <v>69</v>
      </c>
      <c r="E80" s="6" t="s">
        <v>69</v>
      </c>
      <c r="F80" t="s">
        <v>69</v>
      </c>
      <c r="G80" s="6" t="s">
        <v>69</v>
      </c>
      <c r="H80" t="s">
        <v>69</v>
      </c>
      <c r="I80" t="s">
        <v>69</v>
      </c>
      <c r="J80" s="6" t="s">
        <v>69</v>
      </c>
      <c r="K80" t="s">
        <v>69</v>
      </c>
      <c r="L80" t="s">
        <v>69</v>
      </c>
      <c r="M80" t="s">
        <v>69</v>
      </c>
      <c r="N80" t="s">
        <v>69</v>
      </c>
    </row>
    <row r="81" spans="1:14">
      <c r="E81" s="6"/>
      <c r="J81" s="6"/>
    </row>
    <row r="82" spans="1:14">
      <c r="A82" s="33" t="s">
        <v>70</v>
      </c>
      <c r="B82" s="47">
        <v>52000</v>
      </c>
      <c r="C82" s="47">
        <v>20000</v>
      </c>
      <c r="D82" s="47">
        <v>10000</v>
      </c>
      <c r="E82" s="47">
        <v>44355</v>
      </c>
      <c r="F82" s="47">
        <v>186840</v>
      </c>
      <c r="G82" s="10">
        <v>202000</v>
      </c>
      <c r="H82" s="54">
        <v>197000</v>
      </c>
      <c r="I82" s="47">
        <v>142000</v>
      </c>
      <c r="J82" s="47">
        <v>119000</v>
      </c>
      <c r="K82" s="47">
        <v>0</v>
      </c>
      <c r="L82" s="47">
        <v>0</v>
      </c>
      <c r="M82" s="47">
        <v>455000</v>
      </c>
      <c r="N82" s="7">
        <v>1428195</v>
      </c>
    </row>
    <row r="83" spans="1:14">
      <c r="A83" s="33" t="s">
        <v>71</v>
      </c>
      <c r="B83" s="2">
        <f>+B82</f>
        <v>52000</v>
      </c>
      <c r="C83" s="2">
        <f>+B83+C82</f>
        <v>72000</v>
      </c>
      <c r="D83" s="2">
        <f t="shared" ref="D83:M83" si="20">+C83+D82</f>
        <v>82000</v>
      </c>
      <c r="E83" s="7">
        <f t="shared" si="20"/>
        <v>126355</v>
      </c>
      <c r="F83" s="2">
        <f t="shared" si="20"/>
        <v>313195</v>
      </c>
      <c r="G83" s="7">
        <f t="shared" si="20"/>
        <v>515195</v>
      </c>
      <c r="H83" s="2">
        <f t="shared" si="20"/>
        <v>712195</v>
      </c>
      <c r="I83" s="2">
        <f t="shared" si="20"/>
        <v>854195</v>
      </c>
      <c r="J83" s="7">
        <f t="shared" si="20"/>
        <v>973195</v>
      </c>
      <c r="K83" s="2">
        <f t="shared" si="20"/>
        <v>973195</v>
      </c>
      <c r="L83" s="2">
        <f t="shared" si="20"/>
        <v>973195</v>
      </c>
      <c r="M83" s="2">
        <f t="shared" si="20"/>
        <v>1428195</v>
      </c>
    </row>
    <row r="84" spans="1:14">
      <c r="A84" s="33" t="s">
        <v>72</v>
      </c>
      <c r="B84" s="7">
        <f>+B53</f>
        <v>185000</v>
      </c>
      <c r="C84" s="7">
        <f>SUM($B53:C53)</f>
        <v>238500</v>
      </c>
      <c r="D84" s="7">
        <f>SUM($B53:D53)</f>
        <v>238500</v>
      </c>
      <c r="E84" s="7">
        <f>SUM($B53:E53)</f>
        <v>410000</v>
      </c>
      <c r="F84" s="7">
        <f>SUM($B53:F53)</f>
        <v>547500</v>
      </c>
      <c r="G84" s="7">
        <f>SUM($B53:G53)</f>
        <v>667700</v>
      </c>
      <c r="H84" s="7">
        <f>SUM(B53:H53)</f>
        <v>783700</v>
      </c>
      <c r="I84" s="7">
        <f>SUM(B53:I53)</f>
        <v>1048700</v>
      </c>
      <c r="J84" s="7">
        <f>SUM(B53:J53)</f>
        <v>1048700</v>
      </c>
      <c r="K84" s="7">
        <f>SUM(B53:K53)</f>
        <v>1240950</v>
      </c>
      <c r="L84" s="7">
        <f>SUM(B53:L53)</f>
        <v>1483950</v>
      </c>
      <c r="M84" s="7">
        <f>SUM(B53:M53)</f>
        <v>1758950</v>
      </c>
    </row>
    <row r="85" spans="1:14">
      <c r="A85" s="33" t="s">
        <v>73</v>
      </c>
      <c r="B85" s="7">
        <f t="shared" ref="B85:G85" si="21">+B83-B84</f>
        <v>-133000</v>
      </c>
      <c r="C85" s="7">
        <f t="shared" si="21"/>
        <v>-166500</v>
      </c>
      <c r="D85" s="7">
        <f t="shared" si="21"/>
        <v>-156500</v>
      </c>
      <c r="E85" s="7">
        <f t="shared" si="21"/>
        <v>-283645</v>
      </c>
      <c r="F85" s="7">
        <f t="shared" si="21"/>
        <v>-234305</v>
      </c>
      <c r="G85" s="7">
        <f t="shared" si="21"/>
        <v>-152505</v>
      </c>
      <c r="H85" s="7">
        <f t="shared" ref="H85:M85" si="22">+H83-H84</f>
        <v>-71505</v>
      </c>
      <c r="I85" s="7">
        <f t="shared" si="22"/>
        <v>-194505</v>
      </c>
      <c r="J85" s="7">
        <f t="shared" si="22"/>
        <v>-75505</v>
      </c>
      <c r="K85" s="7">
        <f t="shared" si="22"/>
        <v>-267755</v>
      </c>
      <c r="L85" s="7">
        <f t="shared" si="22"/>
        <v>-510755</v>
      </c>
      <c r="M85" s="7">
        <f t="shared" si="22"/>
        <v>-330755</v>
      </c>
    </row>
    <row r="86" spans="1:14">
      <c r="J86" s="6"/>
      <c r="K86" s="6"/>
    </row>
    <row r="87" spans="1:14">
      <c r="A87" t="s">
        <v>74</v>
      </c>
      <c r="B87" s="35">
        <f>-B56-B57</f>
        <v>37500</v>
      </c>
      <c r="C87" s="35">
        <f t="shared" ref="C87:N87" si="23">-C56-C57</f>
        <v>37500</v>
      </c>
      <c r="D87" s="35">
        <f t="shared" si="23"/>
        <v>37500</v>
      </c>
      <c r="E87" s="35">
        <f t="shared" si="23"/>
        <v>37500</v>
      </c>
      <c r="F87" s="35">
        <f t="shared" si="23"/>
        <v>37500</v>
      </c>
      <c r="G87" s="40">
        <f t="shared" si="23"/>
        <v>37500</v>
      </c>
      <c r="H87" s="40">
        <f t="shared" si="23"/>
        <v>37500</v>
      </c>
      <c r="I87" s="35">
        <f t="shared" si="23"/>
        <v>37500</v>
      </c>
      <c r="J87" s="35">
        <f t="shared" si="23"/>
        <v>37500</v>
      </c>
      <c r="K87" s="40">
        <f t="shared" si="23"/>
        <v>37500</v>
      </c>
      <c r="L87" s="35">
        <f t="shared" si="23"/>
        <v>37500</v>
      </c>
      <c r="M87" s="35">
        <f t="shared" si="23"/>
        <v>37500</v>
      </c>
      <c r="N87" s="35">
        <f t="shared" si="23"/>
        <v>450000</v>
      </c>
    </row>
    <row r="88" spans="1:14">
      <c r="C88" s="35">
        <f>+B87+C87</f>
        <v>75000</v>
      </c>
      <c r="D88" s="35">
        <f>+C88+D87</f>
        <v>112500</v>
      </c>
      <c r="E88" s="35">
        <f t="shared" ref="E88:M88" si="24">+D88+E87</f>
        <v>150000</v>
      </c>
      <c r="F88" s="35">
        <f t="shared" si="24"/>
        <v>187500</v>
      </c>
      <c r="G88" s="40">
        <f t="shared" si="24"/>
        <v>225000</v>
      </c>
      <c r="H88" s="35">
        <f t="shared" si="24"/>
        <v>262500</v>
      </c>
      <c r="I88" s="40">
        <f t="shared" si="24"/>
        <v>300000</v>
      </c>
      <c r="J88" s="40">
        <f t="shared" si="24"/>
        <v>337500</v>
      </c>
      <c r="K88" s="40">
        <f t="shared" si="24"/>
        <v>375000</v>
      </c>
      <c r="L88" s="35">
        <f t="shared" si="24"/>
        <v>412500</v>
      </c>
      <c r="M88" s="35">
        <f t="shared" si="24"/>
        <v>450000</v>
      </c>
    </row>
    <row r="89" spans="1:14">
      <c r="B89" s="6"/>
      <c r="C89" s="6"/>
      <c r="D89" s="6"/>
      <c r="E89" s="6"/>
    </row>
    <row r="90" spans="1:14">
      <c r="B90" s="6"/>
      <c r="C90" s="6"/>
      <c r="D90" s="21"/>
      <c r="E90" s="6"/>
    </row>
    <row r="91" spans="1:14">
      <c r="B91" s="6"/>
      <c r="C91" s="6"/>
      <c r="D91" s="6"/>
      <c r="E91" s="6"/>
    </row>
    <row r="92" spans="1:14">
      <c r="B92" s="70">
        <v>78554</v>
      </c>
      <c r="C92" s="70">
        <v>78293</v>
      </c>
      <c r="D92" s="70">
        <v>79025</v>
      </c>
      <c r="E92" s="70">
        <v>81090</v>
      </c>
      <c r="F92" s="71">
        <v>81090</v>
      </c>
      <c r="G92" s="70">
        <v>81079</v>
      </c>
      <c r="H92" s="71">
        <v>89229</v>
      </c>
      <c r="I92" s="71">
        <v>88964</v>
      </c>
      <c r="J92" s="71">
        <v>88964</v>
      </c>
      <c r="K92" s="71">
        <v>88563</v>
      </c>
      <c r="L92" s="71">
        <v>97279</v>
      </c>
      <c r="M92" s="71">
        <v>97277</v>
      </c>
    </row>
    <row r="93" spans="1:14">
      <c r="B93" s="6">
        <f>+B92*-1</f>
        <v>-78554</v>
      </c>
      <c r="C93" s="6">
        <f t="shared" ref="C93:M93" si="25">+C92*-1</f>
        <v>-78293</v>
      </c>
      <c r="D93" s="6">
        <f t="shared" si="25"/>
        <v>-79025</v>
      </c>
      <c r="E93" s="6">
        <f t="shared" si="25"/>
        <v>-81090</v>
      </c>
      <c r="F93" s="6">
        <f t="shared" si="25"/>
        <v>-81090</v>
      </c>
      <c r="G93" s="6">
        <f t="shared" si="25"/>
        <v>-81079</v>
      </c>
      <c r="H93" s="6">
        <f t="shared" si="25"/>
        <v>-89229</v>
      </c>
      <c r="I93" s="6">
        <f t="shared" si="25"/>
        <v>-88964</v>
      </c>
      <c r="J93" s="6">
        <f t="shared" si="25"/>
        <v>-88964</v>
      </c>
      <c r="K93" s="6">
        <f t="shared" si="25"/>
        <v>-88563</v>
      </c>
      <c r="L93" s="6">
        <f t="shared" si="25"/>
        <v>-97279</v>
      </c>
      <c r="M93" s="6">
        <f t="shared" si="25"/>
        <v>-97277</v>
      </c>
    </row>
    <row r="94" spans="1:14">
      <c r="B94" s="6"/>
      <c r="C94" s="6"/>
      <c r="D94" s="34"/>
      <c r="E94" s="6"/>
    </row>
    <row r="95" spans="1:14">
      <c r="B95" s="6"/>
      <c r="C95" s="6"/>
      <c r="D95" s="6"/>
      <c r="E95" s="6"/>
    </row>
    <row r="96" spans="1:14">
      <c r="B96" s="6"/>
      <c r="C96" s="6"/>
      <c r="D96" s="6"/>
      <c r="E96" s="6"/>
    </row>
  </sheetData>
  <pageMargins left="0.28000000000000003" right="0.25" top="0.99" bottom="0.75" header="0.63" footer="0.23"/>
  <pageSetup scale="61" orientation="landscape" r:id="rId1"/>
  <headerFooter alignWithMargins="0">
    <oddHeader xml:space="preserve">&amp;C&amp;"Arial,Bold"&amp;11 49ER SHOPS, INC.
&amp;UFY2016/2017 OPERATIONAL CASH FLOW </oddHeader>
    <oddFooter>&amp;CCash Flow - FY2016/2017
June 2017 Pre-Audit</oddFooter>
  </headerFooter>
  <legacy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FF00"/>
    <pageSetUpPr fitToPage="1"/>
  </sheetPr>
  <dimension ref="A1:AR96"/>
  <sheetViews>
    <sheetView showGridLines="0" zoomScale="90" zoomScaleNormal="90" workbookViewId="0">
      <pane xSplit="1" ySplit="3" topLeftCell="B42" activePane="bottomRight" state="frozen"/>
      <selection pane="topRight" activeCell="B72" sqref="B72"/>
      <selection pane="bottomLeft" activeCell="B72" sqref="B72"/>
      <selection pane="bottomRight" activeCell="C56" sqref="C56"/>
    </sheetView>
  </sheetViews>
  <sheetFormatPr defaultRowHeight="12.75"/>
  <cols>
    <col min="1" max="1" width="35.42578125" customWidth="1"/>
    <col min="2" max="2" width="14" customWidth="1"/>
    <col min="3" max="3" width="12.5703125" customWidth="1"/>
    <col min="4" max="4" width="12.140625" customWidth="1"/>
    <col min="5" max="5" width="13.5703125" customWidth="1"/>
    <col min="6" max="6" width="12.85546875" customWidth="1"/>
    <col min="7" max="7" width="12.5703125" style="6" customWidth="1"/>
    <col min="8" max="9" width="12.85546875" customWidth="1"/>
    <col min="10" max="11" width="12.140625" customWidth="1"/>
    <col min="12" max="13" width="12.85546875" customWidth="1"/>
    <col min="14" max="14" width="12.85546875" bestFit="1" customWidth="1"/>
    <col min="15" max="15" width="12.42578125" bestFit="1" customWidth="1"/>
    <col min="16" max="16" width="13.140625" bestFit="1" customWidth="1"/>
  </cols>
  <sheetData>
    <row r="1" spans="1:15" ht="13.5" thickBot="1">
      <c r="A1" s="46" t="s">
        <v>95</v>
      </c>
      <c r="E1" s="6"/>
      <c r="F1" s="6"/>
      <c r="J1" s="6"/>
      <c r="K1" s="6"/>
      <c r="N1" s="3"/>
    </row>
    <row r="2" spans="1:15">
      <c r="B2" s="45" t="s">
        <v>24</v>
      </c>
      <c r="C2" s="48" t="s">
        <v>76</v>
      </c>
      <c r="D2" s="48" t="s">
        <v>76</v>
      </c>
      <c r="E2" s="48" t="s">
        <v>76</v>
      </c>
      <c r="F2" s="48" t="s">
        <v>76</v>
      </c>
      <c r="G2" s="48" t="s">
        <v>76</v>
      </c>
      <c r="H2" s="48" t="s">
        <v>76</v>
      </c>
      <c r="I2" s="48" t="s">
        <v>76</v>
      </c>
      <c r="J2" s="48" t="s">
        <v>76</v>
      </c>
      <c r="K2" s="48" t="s">
        <v>76</v>
      </c>
      <c r="L2" s="48" t="s">
        <v>76</v>
      </c>
      <c r="M2" s="48" t="s">
        <v>76</v>
      </c>
      <c r="N2" s="28" t="s">
        <v>25</v>
      </c>
    </row>
    <row r="3" spans="1:15" s="5" customFormat="1">
      <c r="B3" s="11">
        <v>42918</v>
      </c>
      <c r="C3" s="11">
        <v>42949</v>
      </c>
      <c r="D3" s="11">
        <v>42980</v>
      </c>
      <c r="E3" s="11">
        <v>43010</v>
      </c>
      <c r="F3" s="11">
        <v>43041</v>
      </c>
      <c r="G3" s="11">
        <v>43071</v>
      </c>
      <c r="H3" s="11">
        <v>43102</v>
      </c>
      <c r="I3" s="11">
        <v>43133</v>
      </c>
      <c r="J3" s="11">
        <v>43161</v>
      </c>
      <c r="K3" s="11">
        <v>43192</v>
      </c>
      <c r="L3" s="11">
        <v>43222</v>
      </c>
      <c r="M3" s="11">
        <v>43253</v>
      </c>
      <c r="N3" s="57" t="s">
        <v>77</v>
      </c>
    </row>
    <row r="4" spans="1:15" hidden="1">
      <c r="A4" s="1" t="s">
        <v>27</v>
      </c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>
        <f>SUM(B4:M4)</f>
        <v>0</v>
      </c>
      <c r="O4" s="29"/>
    </row>
    <row r="5" spans="1:15" s="6" customFormat="1" hidden="1">
      <c r="A5" s="6" t="s">
        <v>28</v>
      </c>
      <c r="B5" s="53">
        <v>1102036</v>
      </c>
      <c r="C5" s="53">
        <v>3738585</v>
      </c>
      <c r="D5" s="53">
        <v>5241078</v>
      </c>
      <c r="E5" s="53">
        <v>3796312</v>
      </c>
      <c r="F5" s="53">
        <v>2590434</v>
      </c>
      <c r="G5" s="53">
        <v>2704250</v>
      </c>
      <c r="H5" s="53">
        <v>3785411</v>
      </c>
      <c r="I5" s="53">
        <v>3755825</v>
      </c>
      <c r="J5" s="53">
        <v>3335785</v>
      </c>
      <c r="K5" s="53">
        <v>2998356</v>
      </c>
      <c r="L5" s="53">
        <v>2831511</v>
      </c>
      <c r="M5" s="53">
        <v>1460406</v>
      </c>
      <c r="N5" s="12">
        <f>SUM(B5:M5)</f>
        <v>37339989</v>
      </c>
      <c r="O5" s="29"/>
    </row>
    <row r="6" spans="1:15" s="6" customFormat="1" hidden="1">
      <c r="A6" s="6" t="s">
        <v>29</v>
      </c>
      <c r="B6" s="53">
        <v>70448</v>
      </c>
      <c r="C6" s="53">
        <v>75433</v>
      </c>
      <c r="D6" s="53">
        <v>354577</v>
      </c>
      <c r="E6" s="53">
        <v>106870</v>
      </c>
      <c r="F6" s="53">
        <v>72743</v>
      </c>
      <c r="G6" s="53">
        <v>153728</v>
      </c>
      <c r="H6" s="53">
        <v>54728</v>
      </c>
      <c r="I6" s="53">
        <v>85911</v>
      </c>
      <c r="J6" s="53">
        <v>228813</v>
      </c>
      <c r="K6" s="53">
        <v>89970</v>
      </c>
      <c r="L6" s="53">
        <v>316808</v>
      </c>
      <c r="M6" s="53">
        <v>118439</v>
      </c>
      <c r="N6" s="7">
        <f>SUM(B6:M6)</f>
        <v>1728468</v>
      </c>
      <c r="O6" s="29"/>
    </row>
    <row r="7" spans="1:15" s="6" customFormat="1" hidden="1">
      <c r="B7" s="7"/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7">
        <f>SUM(B7:M7)</f>
        <v>0</v>
      </c>
      <c r="O7" s="29"/>
    </row>
    <row r="8" spans="1:15" s="6" customFormat="1" hidden="1">
      <c r="B8" s="15"/>
      <c r="C8" s="15"/>
      <c r="D8" s="15"/>
      <c r="E8" s="15"/>
      <c r="F8" s="15"/>
      <c r="G8" s="15"/>
      <c r="H8" s="15"/>
      <c r="I8" s="15"/>
      <c r="J8" s="15"/>
      <c r="K8" s="15"/>
      <c r="L8" s="15"/>
      <c r="M8" s="15"/>
      <c r="N8" s="15">
        <f>SUM(B8:M8)</f>
        <v>0</v>
      </c>
      <c r="O8" s="29"/>
    </row>
    <row r="9" spans="1:15" s="6" customFormat="1">
      <c r="A9" s="13" t="s">
        <v>30</v>
      </c>
      <c r="B9" s="12">
        <f t="shared" ref="B9:N9" si="0">SUM(B5:B8)</f>
        <v>1172484</v>
      </c>
      <c r="C9" s="12">
        <f t="shared" si="0"/>
        <v>3814018</v>
      </c>
      <c r="D9" s="12">
        <f t="shared" si="0"/>
        <v>5595655</v>
      </c>
      <c r="E9" s="12">
        <f t="shared" si="0"/>
        <v>3903182</v>
      </c>
      <c r="F9" s="12">
        <f t="shared" si="0"/>
        <v>2663177</v>
      </c>
      <c r="G9" s="12">
        <f t="shared" si="0"/>
        <v>2857978</v>
      </c>
      <c r="H9" s="12">
        <f t="shared" si="0"/>
        <v>3840139</v>
      </c>
      <c r="I9" s="12">
        <f t="shared" si="0"/>
        <v>3841736</v>
      </c>
      <c r="J9" s="12">
        <f t="shared" si="0"/>
        <v>3564598</v>
      </c>
      <c r="K9" s="12">
        <f t="shared" si="0"/>
        <v>3088326</v>
      </c>
      <c r="L9" s="12">
        <f t="shared" si="0"/>
        <v>3148319</v>
      </c>
      <c r="M9" s="12">
        <f t="shared" si="0"/>
        <v>1578845</v>
      </c>
      <c r="N9" s="12">
        <f t="shared" si="0"/>
        <v>39068457</v>
      </c>
      <c r="O9" s="29"/>
    </row>
    <row r="10" spans="1:15" s="6" customFormat="1" ht="6.75" customHeight="1"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29"/>
    </row>
    <row r="11" spans="1:15" s="6" customFormat="1">
      <c r="A11" s="13" t="s">
        <v>31</v>
      </c>
      <c r="B11" s="7">
        <f>99729+B56</f>
        <v>87140</v>
      </c>
      <c r="C11" s="7">
        <v>0</v>
      </c>
      <c r="D11" s="7">
        <v>0</v>
      </c>
      <c r="E11" s="7">
        <v>0</v>
      </c>
      <c r="F11" s="7">
        <v>0</v>
      </c>
      <c r="G11" s="7">
        <v>0</v>
      </c>
      <c r="H11" s="7">
        <v>0</v>
      </c>
      <c r="I11" s="7">
        <v>0</v>
      </c>
      <c r="J11" s="7">
        <v>0</v>
      </c>
      <c r="K11" s="7">
        <v>0</v>
      </c>
      <c r="L11" s="7">
        <v>0</v>
      </c>
      <c r="M11" s="7">
        <v>0</v>
      </c>
      <c r="N11" s="7">
        <f>SUM(B11:M11)</f>
        <v>87140</v>
      </c>
      <c r="O11" s="29"/>
    </row>
    <row r="12" spans="1:15" s="6" customFormat="1" ht="7.5" customHeight="1">
      <c r="B12" s="7"/>
      <c r="C12" s="7"/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  <c r="O12" s="29"/>
    </row>
    <row r="13" spans="1:15" s="6" customFormat="1" ht="13.5" thickBot="1">
      <c r="A13" s="13" t="s">
        <v>32</v>
      </c>
      <c r="B13" s="14">
        <f t="shared" ref="B13:N13" si="1">B9+B11</f>
        <v>1259624</v>
      </c>
      <c r="C13" s="14">
        <f>C9+C11</f>
        <v>3814018</v>
      </c>
      <c r="D13" s="14">
        <f t="shared" si="1"/>
        <v>5595655</v>
      </c>
      <c r="E13" s="14">
        <f t="shared" si="1"/>
        <v>3903182</v>
      </c>
      <c r="F13" s="14">
        <f t="shared" si="1"/>
        <v>2663177</v>
      </c>
      <c r="G13" s="14">
        <f t="shared" si="1"/>
        <v>2857978</v>
      </c>
      <c r="H13" s="14">
        <f t="shared" si="1"/>
        <v>3840139</v>
      </c>
      <c r="I13" s="14">
        <f t="shared" si="1"/>
        <v>3841736</v>
      </c>
      <c r="J13" s="14">
        <f t="shared" si="1"/>
        <v>3564598</v>
      </c>
      <c r="K13" s="14">
        <f t="shared" si="1"/>
        <v>3088326</v>
      </c>
      <c r="L13" s="14">
        <f t="shared" si="1"/>
        <v>3148319</v>
      </c>
      <c r="M13" s="14">
        <f t="shared" si="1"/>
        <v>1578845</v>
      </c>
      <c r="N13" s="14">
        <f t="shared" si="1"/>
        <v>39155597</v>
      </c>
      <c r="O13" s="29"/>
    </row>
    <row r="14" spans="1:15" s="6" customFormat="1" ht="13.5" thickTop="1">
      <c r="B14" s="7"/>
      <c r="C14" s="7"/>
      <c r="D14" s="7"/>
      <c r="E14" s="7"/>
      <c r="F14" s="7"/>
      <c r="G14" s="7"/>
      <c r="H14" s="7"/>
      <c r="I14" s="7"/>
      <c r="J14" s="7"/>
      <c r="K14" s="7"/>
      <c r="L14" s="7"/>
      <c r="M14" s="7"/>
    </row>
    <row r="15" spans="1:15" s="6" customFormat="1" hidden="1">
      <c r="A15" s="13" t="s">
        <v>33</v>
      </c>
      <c r="B15" s="7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</row>
    <row r="16" spans="1:15" s="6" customFormat="1" hidden="1">
      <c r="A16" s="6" t="s">
        <v>34</v>
      </c>
      <c r="B16" s="53">
        <v>444475</v>
      </c>
      <c r="C16" s="53">
        <v>2188252</v>
      </c>
      <c r="D16" s="53">
        <v>2742467</v>
      </c>
      <c r="E16" s="53">
        <v>1317514</v>
      </c>
      <c r="F16" s="53">
        <v>955424</v>
      </c>
      <c r="G16" s="53">
        <v>1054272</v>
      </c>
      <c r="H16" s="53">
        <v>2341142</v>
      </c>
      <c r="I16" s="53">
        <v>1611344</v>
      </c>
      <c r="J16" s="53">
        <v>1215922</v>
      </c>
      <c r="K16" s="53">
        <v>1090469</v>
      </c>
      <c r="L16" s="53">
        <v>1126126</v>
      </c>
      <c r="M16" s="53">
        <v>849456</v>
      </c>
      <c r="N16" s="7">
        <f>SUM(B16:M16)</f>
        <v>16936863</v>
      </c>
      <c r="O16" s="29"/>
    </row>
    <row r="17" spans="1:44" s="6" customFormat="1" hidden="1">
      <c r="B17" s="27"/>
      <c r="C17" s="27"/>
      <c r="D17" s="27"/>
      <c r="E17" s="27"/>
      <c r="F17" s="27"/>
      <c r="G17" s="27"/>
      <c r="H17" s="27"/>
      <c r="I17" s="27"/>
      <c r="J17" s="27"/>
      <c r="K17" s="27"/>
      <c r="L17" s="27"/>
      <c r="M17" s="27"/>
      <c r="N17" s="7">
        <f>SUM(B17:M17)</f>
        <v>0</v>
      </c>
    </row>
    <row r="18" spans="1:44" s="6" customFormat="1" hidden="1">
      <c r="B18" s="7"/>
      <c r="C18" s="7"/>
      <c r="D18" s="7"/>
      <c r="E18" s="7"/>
      <c r="F18" s="7"/>
      <c r="G18" s="7"/>
      <c r="H18" s="7"/>
      <c r="I18" s="7"/>
      <c r="J18" s="7"/>
      <c r="K18" s="7"/>
      <c r="L18" s="7"/>
      <c r="M18" s="7"/>
      <c r="N18" s="7">
        <v>0</v>
      </c>
    </row>
    <row r="19" spans="1:44" s="6" customFormat="1" hidden="1">
      <c r="B19" s="15"/>
      <c r="C19" s="15"/>
      <c r="D19" s="15"/>
      <c r="E19" s="15"/>
      <c r="F19" s="15"/>
      <c r="G19" s="15"/>
      <c r="H19" s="15"/>
      <c r="I19" s="15"/>
      <c r="J19" s="15"/>
      <c r="K19" s="15"/>
      <c r="L19" s="15"/>
      <c r="M19" s="15"/>
      <c r="N19" s="15">
        <f>SUM(B19:M19)</f>
        <v>0</v>
      </c>
    </row>
    <row r="20" spans="1:44" s="6" customFormat="1">
      <c r="A20" s="13" t="s">
        <v>35</v>
      </c>
      <c r="B20" s="12">
        <f t="shared" ref="B20:N20" si="2">SUM(B16:B19)</f>
        <v>444475</v>
      </c>
      <c r="C20" s="12">
        <f t="shared" si="2"/>
        <v>2188252</v>
      </c>
      <c r="D20" s="12">
        <f t="shared" si="2"/>
        <v>2742467</v>
      </c>
      <c r="E20" s="12">
        <f t="shared" si="2"/>
        <v>1317514</v>
      </c>
      <c r="F20" s="12">
        <f t="shared" si="2"/>
        <v>955424</v>
      </c>
      <c r="G20" s="12">
        <f t="shared" si="2"/>
        <v>1054272</v>
      </c>
      <c r="H20" s="12">
        <f t="shared" si="2"/>
        <v>2341142</v>
      </c>
      <c r="I20" s="12">
        <f t="shared" si="2"/>
        <v>1611344</v>
      </c>
      <c r="J20" s="12">
        <f t="shared" si="2"/>
        <v>1215922</v>
      </c>
      <c r="K20" s="12">
        <f t="shared" si="2"/>
        <v>1090469</v>
      </c>
      <c r="L20" s="12">
        <f t="shared" si="2"/>
        <v>1126126</v>
      </c>
      <c r="M20" s="12">
        <f t="shared" si="2"/>
        <v>849456</v>
      </c>
      <c r="N20" s="12">
        <f t="shared" si="2"/>
        <v>16936863</v>
      </c>
      <c r="O20" s="29"/>
    </row>
    <row r="21" spans="1:44" s="6" customFormat="1">
      <c r="B21" s="7"/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</row>
    <row r="22" spans="1:44" s="6" customFormat="1" hidden="1">
      <c r="A22" s="13" t="s">
        <v>36</v>
      </c>
      <c r="B22" s="7"/>
      <c r="C22" s="7"/>
      <c r="D22" s="7"/>
      <c r="E22" s="7"/>
      <c r="F22" s="7"/>
      <c r="G22" s="7"/>
      <c r="H22" s="7"/>
      <c r="I22" s="7"/>
      <c r="J22" s="7"/>
      <c r="K22" s="7"/>
      <c r="L22" s="7"/>
      <c r="M22" s="7"/>
    </row>
    <row r="23" spans="1:44" s="6" customFormat="1" hidden="1">
      <c r="A23" s="6" t="s">
        <v>37</v>
      </c>
      <c r="B23" s="7">
        <f t="shared" ref="B23:M26" si="3">+B5-B16</f>
        <v>657561</v>
      </c>
      <c r="C23" s="7">
        <f t="shared" si="3"/>
        <v>1550333</v>
      </c>
      <c r="D23" s="7">
        <f t="shared" si="3"/>
        <v>2498611</v>
      </c>
      <c r="E23" s="7">
        <f t="shared" si="3"/>
        <v>2478798</v>
      </c>
      <c r="F23" s="7">
        <f t="shared" si="3"/>
        <v>1635010</v>
      </c>
      <c r="G23" s="7">
        <f t="shared" si="3"/>
        <v>1649978</v>
      </c>
      <c r="H23" s="7">
        <f t="shared" si="3"/>
        <v>1444269</v>
      </c>
      <c r="I23" s="7">
        <f t="shared" si="3"/>
        <v>2144481</v>
      </c>
      <c r="J23" s="7">
        <f t="shared" si="3"/>
        <v>2119863</v>
      </c>
      <c r="K23" s="7">
        <f t="shared" si="3"/>
        <v>1907887</v>
      </c>
      <c r="L23" s="7">
        <f t="shared" si="3"/>
        <v>1705385</v>
      </c>
      <c r="M23" s="7">
        <f t="shared" si="3"/>
        <v>610950</v>
      </c>
      <c r="N23" s="7">
        <f>SUM(B23:M23)</f>
        <v>20403126</v>
      </c>
      <c r="O23" s="29"/>
    </row>
    <row r="24" spans="1:44" s="6" customFormat="1" hidden="1">
      <c r="A24" s="6" t="s">
        <v>37</v>
      </c>
      <c r="B24" s="7">
        <f t="shared" si="3"/>
        <v>70448</v>
      </c>
      <c r="C24" s="7">
        <f t="shared" si="3"/>
        <v>75433</v>
      </c>
      <c r="D24" s="7">
        <f t="shared" si="3"/>
        <v>354577</v>
      </c>
      <c r="E24" s="7">
        <f t="shared" si="3"/>
        <v>106870</v>
      </c>
      <c r="F24" s="7">
        <f t="shared" si="3"/>
        <v>72743</v>
      </c>
      <c r="G24" s="7">
        <f t="shared" si="3"/>
        <v>153728</v>
      </c>
      <c r="H24" s="7">
        <f t="shared" si="3"/>
        <v>54728</v>
      </c>
      <c r="I24" s="7">
        <f t="shared" si="3"/>
        <v>85911</v>
      </c>
      <c r="J24" s="7">
        <f t="shared" si="3"/>
        <v>228813</v>
      </c>
      <c r="K24" s="7">
        <f t="shared" si="3"/>
        <v>89970</v>
      </c>
      <c r="L24" s="7">
        <f t="shared" si="3"/>
        <v>316808</v>
      </c>
      <c r="M24" s="7">
        <f t="shared" si="3"/>
        <v>118439</v>
      </c>
      <c r="N24" s="7">
        <f>SUM(B24:M24)</f>
        <v>1728468</v>
      </c>
      <c r="O24" s="29"/>
    </row>
    <row r="25" spans="1:44" s="6" customFormat="1" hidden="1">
      <c r="A25" s="6" t="s">
        <v>38</v>
      </c>
      <c r="B25" s="7">
        <f t="shared" si="3"/>
        <v>0</v>
      </c>
      <c r="C25" s="7">
        <f t="shared" si="3"/>
        <v>0</v>
      </c>
      <c r="D25" s="7">
        <f t="shared" si="3"/>
        <v>0</v>
      </c>
      <c r="E25" s="7">
        <f t="shared" si="3"/>
        <v>0</v>
      </c>
      <c r="F25" s="7">
        <f t="shared" si="3"/>
        <v>0</v>
      </c>
      <c r="G25" s="7">
        <f t="shared" si="3"/>
        <v>0</v>
      </c>
      <c r="H25" s="7">
        <f t="shared" si="3"/>
        <v>0</v>
      </c>
      <c r="I25" s="7">
        <f t="shared" si="3"/>
        <v>0</v>
      </c>
      <c r="J25" s="7">
        <f t="shared" si="3"/>
        <v>0</v>
      </c>
      <c r="K25" s="7">
        <f t="shared" si="3"/>
        <v>0</v>
      </c>
      <c r="L25" s="7">
        <f t="shared" si="3"/>
        <v>0</v>
      </c>
      <c r="M25" s="7">
        <f t="shared" si="3"/>
        <v>0</v>
      </c>
      <c r="N25" s="7">
        <f>SUM(B25:M25)</f>
        <v>0</v>
      </c>
      <c r="O25" s="29"/>
    </row>
    <row r="26" spans="1:44" s="6" customFormat="1" hidden="1">
      <c r="A26" s="6" t="s">
        <v>38</v>
      </c>
      <c r="B26" s="15">
        <f t="shared" si="3"/>
        <v>0</v>
      </c>
      <c r="C26" s="15">
        <f t="shared" si="3"/>
        <v>0</v>
      </c>
      <c r="D26" s="15">
        <f t="shared" si="3"/>
        <v>0</v>
      </c>
      <c r="E26" s="15">
        <f t="shared" si="3"/>
        <v>0</v>
      </c>
      <c r="F26" s="15">
        <f t="shared" si="3"/>
        <v>0</v>
      </c>
      <c r="G26" s="15">
        <f t="shared" si="3"/>
        <v>0</v>
      </c>
      <c r="H26" s="15">
        <f t="shared" si="3"/>
        <v>0</v>
      </c>
      <c r="I26" s="15">
        <f t="shared" si="3"/>
        <v>0</v>
      </c>
      <c r="J26" s="15">
        <f t="shared" si="3"/>
        <v>0</v>
      </c>
      <c r="K26" s="15">
        <f t="shared" si="3"/>
        <v>0</v>
      </c>
      <c r="L26" s="15">
        <f t="shared" si="3"/>
        <v>0</v>
      </c>
      <c r="M26" s="15">
        <f t="shared" si="3"/>
        <v>0</v>
      </c>
      <c r="N26" s="15">
        <f>SUM(B26:M26)</f>
        <v>0</v>
      </c>
      <c r="O26" s="29"/>
    </row>
    <row r="27" spans="1:44" s="6" customFormat="1">
      <c r="A27" s="13" t="s">
        <v>39</v>
      </c>
      <c r="B27" s="12">
        <f t="shared" ref="B27:N27" si="4">SUM(B23:B26)</f>
        <v>728009</v>
      </c>
      <c r="C27" s="12">
        <f t="shared" si="4"/>
        <v>1625766</v>
      </c>
      <c r="D27" s="12">
        <f t="shared" si="4"/>
        <v>2853188</v>
      </c>
      <c r="E27" s="12">
        <f t="shared" si="4"/>
        <v>2585668</v>
      </c>
      <c r="F27" s="12">
        <f t="shared" si="4"/>
        <v>1707753</v>
      </c>
      <c r="G27" s="12">
        <f t="shared" si="4"/>
        <v>1803706</v>
      </c>
      <c r="H27" s="12">
        <f t="shared" si="4"/>
        <v>1498997</v>
      </c>
      <c r="I27" s="12">
        <f t="shared" si="4"/>
        <v>2230392</v>
      </c>
      <c r="J27" s="12">
        <f t="shared" si="4"/>
        <v>2348676</v>
      </c>
      <c r="K27" s="12">
        <f t="shared" si="4"/>
        <v>1997857</v>
      </c>
      <c r="L27" s="12">
        <f t="shared" si="4"/>
        <v>2022193</v>
      </c>
      <c r="M27" s="12">
        <f>SUM(M23:M26)</f>
        <v>729389</v>
      </c>
      <c r="N27" s="12">
        <f t="shared" si="4"/>
        <v>22131594</v>
      </c>
      <c r="O27" s="29"/>
    </row>
    <row r="28" spans="1:44" s="6" customFormat="1" ht="14.45" customHeight="1">
      <c r="B28" s="7"/>
      <c r="C28" s="7"/>
      <c r="D28" s="7"/>
      <c r="E28" s="7"/>
      <c r="F28" s="7"/>
      <c r="G28" s="7"/>
      <c r="H28" s="7"/>
      <c r="I28" s="7"/>
      <c r="J28" s="7"/>
      <c r="K28" s="7"/>
      <c r="L28" s="7"/>
      <c r="M28" s="7"/>
    </row>
    <row r="29" spans="1:44" s="6" customFormat="1" hidden="1">
      <c r="A29" s="13" t="s">
        <v>40</v>
      </c>
      <c r="B29" s="7"/>
      <c r="C29" s="7"/>
      <c r="D29" s="7"/>
      <c r="E29" s="7"/>
      <c r="F29" s="7"/>
      <c r="G29" s="7"/>
      <c r="H29" s="7"/>
      <c r="I29" s="7"/>
      <c r="J29" s="7"/>
      <c r="K29" s="7"/>
      <c r="L29" s="7"/>
      <c r="M29" s="7"/>
    </row>
    <row r="30" spans="1:44" s="6" customFormat="1" hidden="1">
      <c r="A30" s="6" t="s">
        <v>93</v>
      </c>
      <c r="B30" s="53">
        <v>415779</v>
      </c>
      <c r="C30" s="53">
        <v>564875</v>
      </c>
      <c r="D30" s="53">
        <v>667038</v>
      </c>
      <c r="E30" s="53">
        <v>779433</v>
      </c>
      <c r="F30" s="53">
        <v>605087</v>
      </c>
      <c r="G30" s="53">
        <v>598355</v>
      </c>
      <c r="H30" s="53">
        <v>602418</v>
      </c>
      <c r="I30" s="53">
        <v>684805</v>
      </c>
      <c r="J30" s="53">
        <v>688935</v>
      </c>
      <c r="K30" s="53">
        <v>755862</v>
      </c>
      <c r="L30" s="53">
        <v>642868</v>
      </c>
      <c r="M30" s="53">
        <v>459430</v>
      </c>
      <c r="N30" s="7">
        <f>SUM(B30:M30)</f>
        <v>7464885</v>
      </c>
      <c r="O30" s="29"/>
    </row>
    <row r="31" spans="1:44" s="6" customFormat="1" hidden="1">
      <c r="A31" s="6" t="s">
        <v>42</v>
      </c>
      <c r="B31" s="53">
        <v>245383</v>
      </c>
      <c r="C31" s="53">
        <v>192779</v>
      </c>
      <c r="D31" s="53">
        <v>196794</v>
      </c>
      <c r="E31" s="53">
        <v>227112</v>
      </c>
      <c r="F31" s="53">
        <v>192649</v>
      </c>
      <c r="G31" s="53">
        <v>192611</v>
      </c>
      <c r="H31" s="53">
        <v>210145</v>
      </c>
      <c r="I31" s="53">
        <v>198285</v>
      </c>
      <c r="J31" s="53">
        <v>198545</v>
      </c>
      <c r="K31" s="53">
        <v>226530</v>
      </c>
      <c r="L31" s="53">
        <v>194439</v>
      </c>
      <c r="M31" s="53">
        <v>198004</v>
      </c>
      <c r="N31" s="7">
        <f>SUM(B31:M31)</f>
        <v>2473276</v>
      </c>
      <c r="O31" s="29"/>
    </row>
    <row r="32" spans="1:44" s="6" customFormat="1" ht="15" hidden="1">
      <c r="A32" s="6" t="s">
        <v>38</v>
      </c>
      <c r="B32" s="68"/>
      <c r="C32" s="68"/>
      <c r="D32" s="68"/>
      <c r="E32" s="68"/>
      <c r="F32" s="68"/>
      <c r="G32" s="68"/>
      <c r="H32" s="68"/>
      <c r="I32" s="68"/>
      <c r="J32" s="68"/>
      <c r="K32" s="68"/>
      <c r="L32" s="68"/>
      <c r="M32" s="68"/>
      <c r="N32" s="7">
        <f>SUM(B32:M32)</f>
        <v>0</v>
      </c>
      <c r="O32" s="29"/>
      <c r="P32" s="6">
        <f>+B32*-1</f>
        <v>0</v>
      </c>
      <c r="Q32" s="6">
        <f t="shared" ref="Q32:AF33" si="5">+C32*-1</f>
        <v>0</v>
      </c>
      <c r="R32" s="6">
        <f t="shared" si="5"/>
        <v>0</v>
      </c>
      <c r="S32" s="6">
        <f t="shared" si="5"/>
        <v>0</v>
      </c>
      <c r="T32" s="6">
        <f t="shared" si="5"/>
        <v>0</v>
      </c>
      <c r="U32" s="6">
        <f t="shared" si="5"/>
        <v>0</v>
      </c>
      <c r="V32" s="6">
        <f t="shared" si="5"/>
        <v>0</v>
      </c>
      <c r="W32" s="6">
        <f t="shared" si="5"/>
        <v>0</v>
      </c>
      <c r="X32" s="6">
        <f t="shared" si="5"/>
        <v>0</v>
      </c>
      <c r="Y32" s="6">
        <f t="shared" si="5"/>
        <v>0</v>
      </c>
      <c r="Z32" s="6">
        <f t="shared" si="5"/>
        <v>0</v>
      </c>
      <c r="AA32" s="6">
        <f t="shared" si="5"/>
        <v>0</v>
      </c>
      <c r="AB32" s="6">
        <f t="shared" si="5"/>
        <v>0</v>
      </c>
      <c r="AC32" s="6">
        <f t="shared" si="5"/>
        <v>0</v>
      </c>
      <c r="AD32" s="6">
        <f t="shared" si="5"/>
        <v>0</v>
      </c>
      <c r="AE32" s="6">
        <f t="shared" si="5"/>
        <v>0</v>
      </c>
      <c r="AF32" s="6">
        <f t="shared" si="5"/>
        <v>0</v>
      </c>
      <c r="AG32" s="6">
        <f t="shared" ref="AG32:AR33" si="6">+S32*-1</f>
        <v>0</v>
      </c>
      <c r="AH32" s="6">
        <f t="shared" si="6"/>
        <v>0</v>
      </c>
      <c r="AI32" s="6">
        <f t="shared" si="6"/>
        <v>0</v>
      </c>
      <c r="AJ32" s="6">
        <f t="shared" si="6"/>
        <v>0</v>
      </c>
      <c r="AK32" s="6">
        <f t="shared" si="6"/>
        <v>0</v>
      </c>
      <c r="AL32" s="6">
        <f t="shared" si="6"/>
        <v>0</v>
      </c>
      <c r="AM32" s="6">
        <f t="shared" si="6"/>
        <v>0</v>
      </c>
      <c r="AN32" s="6">
        <f t="shared" si="6"/>
        <v>0</v>
      </c>
      <c r="AO32" s="6">
        <f t="shared" si="6"/>
        <v>0</v>
      </c>
      <c r="AP32" s="6">
        <f t="shared" si="6"/>
        <v>0</v>
      </c>
      <c r="AQ32" s="6">
        <f t="shared" si="6"/>
        <v>0</v>
      </c>
      <c r="AR32" s="6">
        <f t="shared" si="6"/>
        <v>0</v>
      </c>
    </row>
    <row r="33" spans="1:44" s="6" customFormat="1" hidden="1">
      <c r="B33" s="15"/>
      <c r="C33" s="15"/>
      <c r="D33" s="15"/>
      <c r="E33" s="15"/>
      <c r="F33" s="15"/>
      <c r="G33" s="15"/>
      <c r="H33" s="15"/>
      <c r="I33" s="15"/>
      <c r="J33" s="15"/>
      <c r="K33" s="15"/>
      <c r="L33" s="15"/>
      <c r="M33" s="15"/>
      <c r="N33" s="15">
        <f>SUM(B33:M33)</f>
        <v>0</v>
      </c>
      <c r="O33" s="29"/>
      <c r="Q33" s="6">
        <f t="shared" si="5"/>
        <v>0</v>
      </c>
      <c r="R33" s="6">
        <f t="shared" si="5"/>
        <v>0</v>
      </c>
      <c r="S33" s="6">
        <f t="shared" si="5"/>
        <v>0</v>
      </c>
      <c r="T33" s="6">
        <f t="shared" si="5"/>
        <v>0</v>
      </c>
      <c r="U33" s="6">
        <f t="shared" si="5"/>
        <v>0</v>
      </c>
      <c r="V33" s="6">
        <f t="shared" si="5"/>
        <v>0</v>
      </c>
      <c r="W33" s="6">
        <f t="shared" si="5"/>
        <v>0</v>
      </c>
      <c r="X33" s="6">
        <f t="shared" si="5"/>
        <v>0</v>
      </c>
      <c r="Y33" s="6">
        <f t="shared" si="5"/>
        <v>0</v>
      </c>
      <c r="Z33" s="6">
        <f t="shared" si="5"/>
        <v>0</v>
      </c>
      <c r="AA33" s="6">
        <f t="shared" si="5"/>
        <v>0</v>
      </c>
      <c r="AB33" s="6">
        <f t="shared" si="5"/>
        <v>0</v>
      </c>
      <c r="AC33" s="6">
        <f t="shared" si="5"/>
        <v>0</v>
      </c>
      <c r="AD33" s="6">
        <f t="shared" si="5"/>
        <v>0</v>
      </c>
      <c r="AE33" s="6">
        <f t="shared" si="5"/>
        <v>0</v>
      </c>
      <c r="AF33" s="6">
        <f t="shared" si="5"/>
        <v>0</v>
      </c>
      <c r="AG33" s="6">
        <f t="shared" si="6"/>
        <v>0</v>
      </c>
      <c r="AH33" s="6">
        <f t="shared" si="6"/>
        <v>0</v>
      </c>
      <c r="AI33" s="6">
        <f t="shared" si="6"/>
        <v>0</v>
      </c>
      <c r="AJ33" s="6">
        <f t="shared" si="6"/>
        <v>0</v>
      </c>
      <c r="AK33" s="6">
        <f t="shared" si="6"/>
        <v>0</v>
      </c>
      <c r="AL33" s="6">
        <f t="shared" si="6"/>
        <v>0</v>
      </c>
      <c r="AM33" s="6">
        <f t="shared" si="6"/>
        <v>0</v>
      </c>
      <c r="AN33" s="6">
        <f t="shared" si="6"/>
        <v>0</v>
      </c>
      <c r="AO33" s="6">
        <f t="shared" si="6"/>
        <v>0</v>
      </c>
      <c r="AP33" s="6">
        <f t="shared" si="6"/>
        <v>0</v>
      </c>
      <c r="AQ33" s="6">
        <f t="shared" si="6"/>
        <v>0</v>
      </c>
      <c r="AR33" s="6">
        <f t="shared" si="6"/>
        <v>0</v>
      </c>
    </row>
    <row r="34" spans="1:44" s="6" customFormat="1">
      <c r="A34" s="13" t="s">
        <v>43</v>
      </c>
      <c r="B34" s="12">
        <f t="shared" ref="B34:N34" si="7">SUM(B30:B33)</f>
        <v>661162</v>
      </c>
      <c r="C34" s="12">
        <f t="shared" si="7"/>
        <v>757654</v>
      </c>
      <c r="D34" s="12">
        <f t="shared" si="7"/>
        <v>863832</v>
      </c>
      <c r="E34" s="12">
        <f t="shared" si="7"/>
        <v>1006545</v>
      </c>
      <c r="F34" s="12">
        <f t="shared" si="7"/>
        <v>797736</v>
      </c>
      <c r="G34" s="12">
        <f t="shared" si="7"/>
        <v>790966</v>
      </c>
      <c r="H34" s="12">
        <f t="shared" si="7"/>
        <v>812563</v>
      </c>
      <c r="I34" s="12">
        <f t="shared" si="7"/>
        <v>883090</v>
      </c>
      <c r="J34" s="12">
        <f t="shared" si="7"/>
        <v>887480</v>
      </c>
      <c r="K34" s="12">
        <f t="shared" si="7"/>
        <v>982392</v>
      </c>
      <c r="L34" s="12">
        <f t="shared" si="7"/>
        <v>837307</v>
      </c>
      <c r="M34" s="12">
        <f t="shared" si="7"/>
        <v>657434</v>
      </c>
      <c r="N34" s="12">
        <f t="shared" si="7"/>
        <v>9938161</v>
      </c>
      <c r="O34" s="29"/>
    </row>
    <row r="35" spans="1:44" s="6" customFormat="1">
      <c r="B35" s="7"/>
      <c r="C35" s="7"/>
      <c r="D35" s="7"/>
      <c r="E35" s="7"/>
      <c r="F35" s="7"/>
      <c r="G35" s="7"/>
      <c r="H35" s="7"/>
      <c r="I35" s="7"/>
      <c r="J35" s="7"/>
      <c r="K35" s="7"/>
      <c r="L35" s="7"/>
      <c r="M35" s="7"/>
    </row>
    <row r="36" spans="1:44" s="6" customFormat="1" hidden="1">
      <c r="A36" s="13" t="s">
        <v>44</v>
      </c>
      <c r="B36" s="7"/>
      <c r="C36" s="7"/>
      <c r="D36" s="7"/>
      <c r="E36" s="7"/>
      <c r="F36" s="7"/>
      <c r="G36" s="7"/>
      <c r="H36" s="7"/>
      <c r="I36" s="7"/>
      <c r="J36" s="7"/>
      <c r="K36" s="7"/>
      <c r="L36" s="7"/>
      <c r="M36" s="7"/>
    </row>
    <row r="37" spans="1:44" s="6" customFormat="1" hidden="1">
      <c r="A37" s="6" t="s">
        <v>45</v>
      </c>
      <c r="B37" s="53">
        <v>1168701</v>
      </c>
      <c r="C37" s="53">
        <v>1244422</v>
      </c>
      <c r="D37" s="53">
        <v>1461507</v>
      </c>
      <c r="E37" s="53">
        <v>1790911</v>
      </c>
      <c r="F37" s="53">
        <v>1394318</v>
      </c>
      <c r="G37" s="66">
        <v>1406377</v>
      </c>
      <c r="H37" s="66">
        <v>1275000</v>
      </c>
      <c r="I37" s="66">
        <v>1496169</v>
      </c>
      <c r="J37" s="66">
        <v>1531501</v>
      </c>
      <c r="K37" s="53">
        <v>1582030</v>
      </c>
      <c r="L37" s="53">
        <v>1425841</v>
      </c>
      <c r="M37" s="53">
        <v>1274220</v>
      </c>
      <c r="N37" s="7">
        <f>SUM(B37:M37)</f>
        <v>17050997</v>
      </c>
      <c r="O37" s="29"/>
      <c r="P37" s="69"/>
    </row>
    <row r="38" spans="1:44" s="6" customFormat="1" hidden="1">
      <c r="A38" s="6" t="s">
        <v>46</v>
      </c>
      <c r="B38" s="7">
        <f>-B34</f>
        <v>-661162</v>
      </c>
      <c r="C38" s="7">
        <f t="shared" ref="C38:M38" si="8">-C34</f>
        <v>-757654</v>
      </c>
      <c r="D38" s="7">
        <f t="shared" si="8"/>
        <v>-863832</v>
      </c>
      <c r="E38" s="7">
        <f t="shared" si="8"/>
        <v>-1006545</v>
      </c>
      <c r="F38" s="7">
        <f t="shared" si="8"/>
        <v>-797736</v>
      </c>
      <c r="G38" s="7">
        <f t="shared" si="8"/>
        <v>-790966</v>
      </c>
      <c r="H38" s="7">
        <f t="shared" si="8"/>
        <v>-812563</v>
      </c>
      <c r="I38" s="7">
        <f t="shared" si="8"/>
        <v>-883090</v>
      </c>
      <c r="J38" s="7">
        <f t="shared" si="8"/>
        <v>-887480</v>
      </c>
      <c r="K38" s="7">
        <f t="shared" si="8"/>
        <v>-982392</v>
      </c>
      <c r="L38" s="7">
        <f t="shared" si="8"/>
        <v>-837307</v>
      </c>
      <c r="M38" s="7">
        <f t="shared" si="8"/>
        <v>-657434</v>
      </c>
      <c r="N38" s="7">
        <f>SUM(B38:M38)</f>
        <v>-9938161</v>
      </c>
      <c r="O38" s="29"/>
    </row>
    <row r="39" spans="1:44" s="6" customFormat="1" hidden="1">
      <c r="A39" s="6" t="s">
        <v>47</v>
      </c>
      <c r="B39" s="72">
        <v>-77886</v>
      </c>
      <c r="C39" s="72">
        <v>-78293</v>
      </c>
      <c r="D39" s="72">
        <v>-79025</v>
      </c>
      <c r="E39" s="72">
        <v>-81090</v>
      </c>
      <c r="F39" s="72">
        <v>-81090</v>
      </c>
      <c r="G39" s="72">
        <v>-81079</v>
      </c>
      <c r="H39" s="72">
        <v>-89229</v>
      </c>
      <c r="I39" s="72">
        <v>-88964</v>
      </c>
      <c r="J39" s="72">
        <v>-88964</v>
      </c>
      <c r="K39" s="72">
        <v>-88563</v>
      </c>
      <c r="L39" s="72">
        <v>-97279</v>
      </c>
      <c r="M39" s="72">
        <v>-97277</v>
      </c>
      <c r="N39" s="7">
        <f>SUM(B39:M39)</f>
        <v>-1028739</v>
      </c>
      <c r="O39" s="29"/>
    </row>
    <row r="40" spans="1:44" s="6" customFormat="1" hidden="1">
      <c r="A40" s="6" t="s">
        <v>78</v>
      </c>
      <c r="B40" s="53"/>
      <c r="C40" s="53"/>
      <c r="D40" s="53"/>
      <c r="E40" s="53"/>
      <c r="F40" s="53"/>
      <c r="G40" s="53"/>
      <c r="H40" s="53"/>
      <c r="I40" s="53"/>
      <c r="J40" s="53"/>
      <c r="K40" s="53"/>
      <c r="L40" s="53"/>
      <c r="M40" s="53"/>
      <c r="N40" s="7">
        <f>SUM(B40:M40)</f>
        <v>0</v>
      </c>
      <c r="O40" s="29"/>
    </row>
    <row r="41" spans="1:44" s="6" customFormat="1" hidden="1">
      <c r="A41" s="6" t="s">
        <v>48</v>
      </c>
      <c r="B41" s="60">
        <v>-8350</v>
      </c>
      <c r="C41" s="60">
        <v>-8350</v>
      </c>
      <c r="D41" s="60">
        <v>-8350</v>
      </c>
      <c r="E41" s="60">
        <v>-8350</v>
      </c>
      <c r="F41" s="60">
        <v>-8350</v>
      </c>
      <c r="G41" s="60">
        <v>-8350</v>
      </c>
      <c r="H41" s="60">
        <v>-8350</v>
      </c>
      <c r="I41" s="60">
        <v>-8350</v>
      </c>
      <c r="J41" s="60">
        <v>-8350</v>
      </c>
      <c r="K41" s="60">
        <v>-8350</v>
      </c>
      <c r="L41" s="60">
        <v>-8350</v>
      </c>
      <c r="M41" s="60">
        <v>-30300</v>
      </c>
      <c r="N41" s="15">
        <f>SUM(B41:M41)</f>
        <v>-122150</v>
      </c>
      <c r="O41" s="29"/>
    </row>
    <row r="42" spans="1:44" s="6" customFormat="1">
      <c r="A42" s="13" t="s">
        <v>49</v>
      </c>
      <c r="B42" s="12">
        <f t="shared" ref="B42:N42" si="9">SUM(B37:B41)</f>
        <v>421303</v>
      </c>
      <c r="C42" s="12">
        <f t="shared" si="9"/>
        <v>400125</v>
      </c>
      <c r="D42" s="12">
        <f t="shared" si="9"/>
        <v>510300</v>
      </c>
      <c r="E42" s="12">
        <f t="shared" si="9"/>
        <v>694926</v>
      </c>
      <c r="F42" s="12">
        <f t="shared" si="9"/>
        <v>507142</v>
      </c>
      <c r="G42" s="12">
        <f t="shared" si="9"/>
        <v>525982</v>
      </c>
      <c r="H42" s="12">
        <f t="shared" si="9"/>
        <v>364858</v>
      </c>
      <c r="I42" s="12">
        <f t="shared" si="9"/>
        <v>515765</v>
      </c>
      <c r="J42" s="12">
        <f t="shared" si="9"/>
        <v>546707</v>
      </c>
      <c r="K42" s="12">
        <f t="shared" si="9"/>
        <v>502725</v>
      </c>
      <c r="L42" s="12">
        <f t="shared" si="9"/>
        <v>482905</v>
      </c>
      <c r="M42" s="12">
        <f t="shared" si="9"/>
        <v>489209</v>
      </c>
      <c r="N42" s="12">
        <f t="shared" si="9"/>
        <v>5961947</v>
      </c>
      <c r="O42" s="29"/>
    </row>
    <row r="43" spans="1:44">
      <c r="A43" s="1"/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2"/>
      <c r="N43" s="12"/>
      <c r="O43" s="6"/>
    </row>
    <row r="44" spans="1:44" hidden="1">
      <c r="A44" s="13" t="s">
        <v>50</v>
      </c>
      <c r="B44" s="53">
        <v>296581</v>
      </c>
      <c r="C44" s="53">
        <v>286330</v>
      </c>
      <c r="D44" s="53">
        <v>341075</v>
      </c>
      <c r="E44" s="53">
        <v>362175</v>
      </c>
      <c r="F44" s="53">
        <v>398914</v>
      </c>
      <c r="G44" s="53">
        <v>307622</v>
      </c>
      <c r="H44" s="53">
        <v>357356</v>
      </c>
      <c r="I44" s="53">
        <v>287747</v>
      </c>
      <c r="J44" s="53">
        <v>322520</v>
      </c>
      <c r="K44" s="53">
        <v>378879</v>
      </c>
      <c r="L44" s="53">
        <v>307614</v>
      </c>
      <c r="M44" s="53">
        <v>705082</v>
      </c>
      <c r="N44" s="12">
        <f>SUM(B44:M44)</f>
        <v>4351895</v>
      </c>
      <c r="O44" s="29"/>
    </row>
    <row r="45" spans="1:44" hidden="1">
      <c r="A45" s="6" t="s">
        <v>51</v>
      </c>
      <c r="B45" s="22"/>
      <c r="C45" s="22"/>
      <c r="D45" s="22"/>
      <c r="E45" s="22"/>
      <c r="F45" s="22"/>
      <c r="G45" s="22"/>
      <c r="H45" s="22"/>
      <c r="I45" s="22"/>
      <c r="J45" s="22"/>
      <c r="K45" s="22"/>
      <c r="L45" s="22"/>
      <c r="M45" s="22"/>
      <c r="N45" s="22">
        <f>SUM(B45:M45)</f>
        <v>0</v>
      </c>
      <c r="O45" s="29"/>
    </row>
    <row r="46" spans="1:44">
      <c r="A46" s="1" t="s">
        <v>50</v>
      </c>
      <c r="B46" s="12">
        <f>SUM(B44:B45)</f>
        <v>296581</v>
      </c>
      <c r="C46" s="12">
        <f>SUM(C44:C45)</f>
        <v>286330</v>
      </c>
      <c r="D46" s="12">
        <f t="shared" ref="D46:N46" si="10">SUM(D44:D45)</f>
        <v>341075</v>
      </c>
      <c r="E46" s="12">
        <f t="shared" si="10"/>
        <v>362175</v>
      </c>
      <c r="F46" s="12">
        <f t="shared" si="10"/>
        <v>398914</v>
      </c>
      <c r="G46" s="12">
        <f t="shared" si="10"/>
        <v>307622</v>
      </c>
      <c r="H46" s="12">
        <f t="shared" si="10"/>
        <v>357356</v>
      </c>
      <c r="I46" s="12">
        <f t="shared" si="10"/>
        <v>287747</v>
      </c>
      <c r="J46" s="12">
        <f t="shared" si="10"/>
        <v>322520</v>
      </c>
      <c r="K46" s="12">
        <f t="shared" si="10"/>
        <v>378879</v>
      </c>
      <c r="L46" s="12">
        <f t="shared" si="10"/>
        <v>307614</v>
      </c>
      <c r="M46" s="12">
        <f t="shared" si="10"/>
        <v>705082</v>
      </c>
      <c r="N46" s="12">
        <f t="shared" si="10"/>
        <v>4351895</v>
      </c>
      <c r="O46" s="29"/>
    </row>
    <row r="47" spans="1:44">
      <c r="B47" s="7"/>
      <c r="C47" s="7"/>
      <c r="D47" s="7"/>
      <c r="E47" s="7"/>
      <c r="F47" s="7"/>
      <c r="G47" s="7"/>
      <c r="H47" s="7"/>
      <c r="I47" s="7"/>
      <c r="J47" s="7"/>
      <c r="K47" s="6"/>
      <c r="L47" s="6"/>
      <c r="M47" s="6"/>
      <c r="N47" s="6"/>
      <c r="O47" s="6"/>
    </row>
    <row r="48" spans="1:44">
      <c r="A48" s="13" t="s">
        <v>52</v>
      </c>
      <c r="B48" s="19">
        <f t="shared" ref="B48:N48" si="11">+B20+B34+B42+B46</f>
        <v>1823521</v>
      </c>
      <c r="C48" s="19">
        <f t="shared" si="11"/>
        <v>3632361</v>
      </c>
      <c r="D48" s="19">
        <f t="shared" si="11"/>
        <v>4457674</v>
      </c>
      <c r="E48" s="19">
        <f t="shared" si="11"/>
        <v>3381160</v>
      </c>
      <c r="F48" s="19">
        <f t="shared" si="11"/>
        <v>2659216</v>
      </c>
      <c r="G48" s="19">
        <f t="shared" si="11"/>
        <v>2678842</v>
      </c>
      <c r="H48" s="19">
        <f t="shared" si="11"/>
        <v>3875919</v>
      </c>
      <c r="I48" s="19">
        <f t="shared" si="11"/>
        <v>3297946</v>
      </c>
      <c r="J48" s="19">
        <f t="shared" si="11"/>
        <v>2972629</v>
      </c>
      <c r="K48" s="19">
        <f t="shared" si="11"/>
        <v>2954465</v>
      </c>
      <c r="L48" s="19">
        <f t="shared" si="11"/>
        <v>2753952</v>
      </c>
      <c r="M48" s="19">
        <f t="shared" si="11"/>
        <v>2701181</v>
      </c>
      <c r="N48" s="19">
        <f t="shared" si="11"/>
        <v>37188866</v>
      </c>
      <c r="O48" s="29"/>
    </row>
    <row r="49" spans="1:17">
      <c r="B49" s="7"/>
      <c r="C49" s="7"/>
      <c r="D49" s="7"/>
      <c r="E49" s="7"/>
      <c r="F49" s="7"/>
      <c r="G49" s="7"/>
      <c r="H49" s="7"/>
      <c r="I49" s="7"/>
      <c r="J49" s="7"/>
      <c r="K49" s="6"/>
      <c r="L49" s="6"/>
      <c r="M49" s="6"/>
      <c r="N49" s="6"/>
      <c r="O49" s="6"/>
    </row>
    <row r="50" spans="1:17">
      <c r="A50" s="1" t="s">
        <v>53</v>
      </c>
      <c r="B50" s="12">
        <f t="shared" ref="B50:M50" si="12">+B13-B48</f>
        <v>-563897</v>
      </c>
      <c r="C50" s="12">
        <f t="shared" si="12"/>
        <v>181657</v>
      </c>
      <c r="D50" s="12">
        <f t="shared" si="12"/>
        <v>1137981</v>
      </c>
      <c r="E50" s="12">
        <f t="shared" si="12"/>
        <v>522022</v>
      </c>
      <c r="F50" s="12">
        <f t="shared" si="12"/>
        <v>3961</v>
      </c>
      <c r="G50" s="12">
        <f t="shared" si="12"/>
        <v>179136</v>
      </c>
      <c r="H50" s="12">
        <f t="shared" si="12"/>
        <v>-35780</v>
      </c>
      <c r="I50" s="12">
        <f t="shared" si="12"/>
        <v>543790</v>
      </c>
      <c r="J50" s="12">
        <f t="shared" si="12"/>
        <v>591969</v>
      </c>
      <c r="K50" s="12">
        <f t="shared" si="12"/>
        <v>133861</v>
      </c>
      <c r="L50" s="12">
        <f t="shared" si="12"/>
        <v>394367</v>
      </c>
      <c r="M50" s="12">
        <f t="shared" si="12"/>
        <v>-1122336</v>
      </c>
      <c r="N50" s="12">
        <f>SUM(B50:M50)</f>
        <v>1966731</v>
      </c>
      <c r="O50" s="6"/>
      <c r="P50" s="25"/>
    </row>
    <row r="51" spans="1:17" ht="7.5" customHeight="1">
      <c r="B51" s="7"/>
      <c r="C51" s="7"/>
      <c r="D51" s="7"/>
      <c r="E51" s="7"/>
      <c r="F51" s="7"/>
      <c r="G51" s="7"/>
      <c r="H51" s="7"/>
      <c r="I51" s="7"/>
      <c r="J51" s="7"/>
      <c r="K51" s="6"/>
      <c r="L51" s="6"/>
      <c r="M51" s="6"/>
      <c r="N51" s="6"/>
      <c r="O51" s="6"/>
    </row>
    <row r="52" spans="1:17">
      <c r="A52" s="1" t="s">
        <v>54</v>
      </c>
      <c r="B52" s="7"/>
      <c r="C52" s="7"/>
      <c r="D52" s="7"/>
      <c r="E52" s="7"/>
      <c r="F52" s="7"/>
      <c r="G52" s="7"/>
      <c r="H52" s="7"/>
      <c r="I52" s="7"/>
      <c r="J52" s="7"/>
      <c r="K52" s="6"/>
      <c r="L52" s="6"/>
      <c r="M52" s="6"/>
      <c r="N52" s="6"/>
      <c r="O52" s="6"/>
    </row>
    <row r="53" spans="1:17" s="6" customFormat="1">
      <c r="A53" s="6" t="s">
        <v>55</v>
      </c>
      <c r="B53" s="10">
        <v>101289</v>
      </c>
      <c r="C53" s="10">
        <v>53500</v>
      </c>
      <c r="D53" s="10">
        <v>0</v>
      </c>
      <c r="E53" s="10">
        <v>171500</v>
      </c>
      <c r="F53" s="10">
        <v>137500</v>
      </c>
      <c r="G53" s="10">
        <v>120200</v>
      </c>
      <c r="H53" s="23">
        <v>116000</v>
      </c>
      <c r="I53" s="10">
        <v>265000</v>
      </c>
      <c r="J53" s="10">
        <v>0</v>
      </c>
      <c r="K53" s="10">
        <v>192250</v>
      </c>
      <c r="L53" s="10">
        <v>243000</v>
      </c>
      <c r="M53" s="10">
        <v>275000</v>
      </c>
      <c r="N53" s="10">
        <f>SUM(B53:M53)</f>
        <v>1675239</v>
      </c>
      <c r="P53" s="40"/>
    </row>
    <row r="54" spans="1:17" s="6" customFormat="1">
      <c r="A54" s="6" t="s">
        <v>96</v>
      </c>
      <c r="B54" s="10"/>
      <c r="C54" s="10"/>
      <c r="D54" s="10"/>
      <c r="E54" s="10"/>
      <c r="F54" s="10">
        <v>95000</v>
      </c>
      <c r="G54" s="10"/>
      <c r="H54" s="10"/>
      <c r="I54" s="10"/>
      <c r="J54" s="10"/>
      <c r="K54" s="10"/>
      <c r="L54" s="10"/>
      <c r="M54" s="10"/>
      <c r="N54" s="10">
        <f>SUM(B54:M54)</f>
        <v>95000</v>
      </c>
      <c r="P54" s="7"/>
      <c r="Q54" s="6">
        <v>0</v>
      </c>
    </row>
    <row r="55" spans="1:17" s="6" customFormat="1">
      <c r="A55" s="6" t="s">
        <v>97</v>
      </c>
      <c r="B55" s="10">
        <f>276228+184</f>
        <v>276412</v>
      </c>
      <c r="C55" s="10"/>
      <c r="D55" s="10"/>
      <c r="E55" s="10"/>
      <c r="F55" s="10"/>
      <c r="G55" s="10"/>
      <c r="H55" s="10"/>
      <c r="I55" s="10"/>
      <c r="J55" s="10"/>
      <c r="K55" s="10"/>
      <c r="L55" s="10">
        <v>0</v>
      </c>
      <c r="M55" s="10">
        <v>0</v>
      </c>
      <c r="N55" s="10">
        <f>SUM(B55:M55)</f>
        <v>276412</v>
      </c>
      <c r="P55" s="7"/>
    </row>
    <row r="56" spans="1:17" s="6" customFormat="1">
      <c r="A56" s="37" t="s">
        <v>58</v>
      </c>
      <c r="B56" s="7">
        <v>-12589</v>
      </c>
      <c r="C56" s="7">
        <v>-12500</v>
      </c>
      <c r="D56" s="7">
        <v>-12500</v>
      </c>
      <c r="E56" s="7">
        <v>-12500</v>
      </c>
      <c r="F56" s="7">
        <v>-12500</v>
      </c>
      <c r="G56" s="7">
        <v>-12500</v>
      </c>
      <c r="H56" s="10">
        <v>-12500</v>
      </c>
      <c r="I56" s="7">
        <v>-12500</v>
      </c>
      <c r="J56" s="7">
        <v>-12500</v>
      </c>
      <c r="K56" s="7">
        <v>-12500</v>
      </c>
      <c r="L56" s="7">
        <v>-12500</v>
      </c>
      <c r="M56" s="7">
        <v>-12500</v>
      </c>
      <c r="N56" s="7">
        <f>SUM(B56:M56)</f>
        <v>-150089</v>
      </c>
      <c r="P56" s="56"/>
    </row>
    <row r="57" spans="1:17" s="6" customFormat="1">
      <c r="A57" s="6" t="s">
        <v>59</v>
      </c>
      <c r="B57" s="22">
        <v>-187388</v>
      </c>
      <c r="C57" s="22">
        <v>-25000</v>
      </c>
      <c r="D57" s="22">
        <v>-25000</v>
      </c>
      <c r="E57" s="22">
        <v>-25000</v>
      </c>
      <c r="F57" s="22">
        <v>-25000</v>
      </c>
      <c r="G57" s="22">
        <v>-25000</v>
      </c>
      <c r="H57" s="10">
        <v>-25000</v>
      </c>
      <c r="I57" s="22">
        <v>-25000</v>
      </c>
      <c r="J57" s="22">
        <v>-25000</v>
      </c>
      <c r="K57" s="22">
        <v>-25000</v>
      </c>
      <c r="L57" s="22">
        <v>-25000</v>
      </c>
      <c r="M57" s="22">
        <v>-25000</v>
      </c>
      <c r="N57" s="22">
        <f>SUM(B57:M57)</f>
        <v>-462388</v>
      </c>
      <c r="P57" s="7"/>
    </row>
    <row r="58" spans="1:17" s="6" customFormat="1">
      <c r="A58" s="13" t="s">
        <v>60</v>
      </c>
      <c r="B58" s="19">
        <f t="shared" ref="B58:N58" si="13">SUM(B53:B57)</f>
        <v>177724</v>
      </c>
      <c r="C58" s="19">
        <f t="shared" si="13"/>
        <v>16000</v>
      </c>
      <c r="D58" s="19">
        <f t="shared" si="13"/>
        <v>-37500</v>
      </c>
      <c r="E58" s="19">
        <f t="shared" si="13"/>
        <v>134000</v>
      </c>
      <c r="F58" s="19">
        <f t="shared" si="13"/>
        <v>195000</v>
      </c>
      <c r="G58" s="19">
        <f t="shared" si="13"/>
        <v>82700</v>
      </c>
      <c r="H58" s="19">
        <f>SUM(H53:H57)</f>
        <v>78500</v>
      </c>
      <c r="I58" s="19">
        <f t="shared" si="13"/>
        <v>227500</v>
      </c>
      <c r="J58" s="19">
        <f t="shared" si="13"/>
        <v>-37500</v>
      </c>
      <c r="K58" s="19">
        <f t="shared" si="13"/>
        <v>154750</v>
      </c>
      <c r="L58" s="19">
        <f t="shared" si="13"/>
        <v>205500</v>
      </c>
      <c r="M58" s="19">
        <f t="shared" si="13"/>
        <v>237500</v>
      </c>
      <c r="N58" s="19">
        <f t="shared" si="13"/>
        <v>1434174</v>
      </c>
      <c r="O58" s="29"/>
    </row>
    <row r="59" spans="1:17">
      <c r="B59" s="7"/>
      <c r="C59" s="7"/>
      <c r="D59" s="7"/>
      <c r="E59" s="7"/>
      <c r="F59" s="7"/>
      <c r="G59" s="7"/>
      <c r="H59" s="7"/>
      <c r="I59" s="7"/>
      <c r="J59" s="7"/>
      <c r="K59" s="7"/>
      <c r="L59" s="7"/>
      <c r="M59" s="7"/>
      <c r="N59" s="7"/>
      <c r="O59" s="6"/>
    </row>
    <row r="60" spans="1:17">
      <c r="A60" s="1" t="s">
        <v>61</v>
      </c>
      <c r="B60" s="12">
        <v>13373023</v>
      </c>
      <c r="C60" s="7"/>
      <c r="D60" s="7"/>
      <c r="E60" s="7"/>
      <c r="F60" s="7"/>
      <c r="G60" s="7"/>
      <c r="H60" s="7" t="s">
        <v>38</v>
      </c>
      <c r="I60" s="7"/>
      <c r="J60" s="7"/>
      <c r="K60" s="6"/>
      <c r="L60" s="6"/>
      <c r="M60" s="6"/>
      <c r="N60" s="6"/>
      <c r="O60" s="6"/>
    </row>
    <row r="61" spans="1:17">
      <c r="A61" s="13" t="s">
        <v>62</v>
      </c>
      <c r="B61" s="19">
        <f t="shared" ref="B61:N61" si="14">+B58+B48</f>
        <v>2001245</v>
      </c>
      <c r="C61" s="19">
        <f t="shared" si="14"/>
        <v>3648361</v>
      </c>
      <c r="D61" s="19">
        <f t="shared" si="14"/>
        <v>4420174</v>
      </c>
      <c r="E61" s="19">
        <f t="shared" si="14"/>
        <v>3515160</v>
      </c>
      <c r="F61" s="19">
        <f t="shared" si="14"/>
        <v>2854216</v>
      </c>
      <c r="G61" s="19">
        <f t="shared" si="14"/>
        <v>2761542</v>
      </c>
      <c r="H61" s="19">
        <f t="shared" si="14"/>
        <v>3954419</v>
      </c>
      <c r="I61" s="19">
        <f t="shared" si="14"/>
        <v>3525446</v>
      </c>
      <c r="J61" s="19">
        <f t="shared" si="14"/>
        <v>2935129</v>
      </c>
      <c r="K61" s="19">
        <f t="shared" si="14"/>
        <v>3109215</v>
      </c>
      <c r="L61" s="19">
        <f t="shared" si="14"/>
        <v>2959452</v>
      </c>
      <c r="M61" s="19">
        <f t="shared" si="14"/>
        <v>2938681</v>
      </c>
      <c r="N61" s="19">
        <f t="shared" si="14"/>
        <v>38623040</v>
      </c>
      <c r="O61" s="29"/>
      <c r="P61" s="25">
        <f>+N61-O61</f>
        <v>38623040</v>
      </c>
    </row>
    <row r="62" spans="1:17" ht="13.5" thickBot="1">
      <c r="A62" s="13" t="s">
        <v>63</v>
      </c>
      <c r="B62" s="30">
        <f t="shared" ref="B62:N62" si="15">+B13-B61</f>
        <v>-741621</v>
      </c>
      <c r="C62" s="30">
        <f t="shared" si="15"/>
        <v>165657</v>
      </c>
      <c r="D62" s="30">
        <f t="shared" si="15"/>
        <v>1175481</v>
      </c>
      <c r="E62" s="30">
        <f t="shared" si="15"/>
        <v>388022</v>
      </c>
      <c r="F62" s="30">
        <f t="shared" si="15"/>
        <v>-191039</v>
      </c>
      <c r="G62" s="30">
        <f t="shared" si="15"/>
        <v>96436</v>
      </c>
      <c r="H62" s="30">
        <f t="shared" si="15"/>
        <v>-114280</v>
      </c>
      <c r="I62" s="30">
        <f t="shared" si="15"/>
        <v>316290</v>
      </c>
      <c r="J62" s="30">
        <f t="shared" si="15"/>
        <v>629469</v>
      </c>
      <c r="K62" s="30">
        <f t="shared" si="15"/>
        <v>-20889</v>
      </c>
      <c r="L62" s="30">
        <f t="shared" si="15"/>
        <v>188867</v>
      </c>
      <c r="M62" s="30">
        <f t="shared" si="15"/>
        <v>-1359836</v>
      </c>
      <c r="N62" s="14">
        <f t="shared" si="15"/>
        <v>532557</v>
      </c>
      <c r="O62" s="29"/>
      <c r="P62" s="25">
        <f>+N62-O62</f>
        <v>532557</v>
      </c>
    </row>
    <row r="63" spans="1:17" s="6" customFormat="1" ht="13.5" thickTop="1">
      <c r="A63" s="13" t="s">
        <v>64</v>
      </c>
      <c r="B63" s="32">
        <f>+B62</f>
        <v>-741621</v>
      </c>
      <c r="C63" s="32">
        <f t="shared" ref="C63:M63" si="16">B63+C62</f>
        <v>-575964</v>
      </c>
      <c r="D63" s="32">
        <f t="shared" si="16"/>
        <v>599517</v>
      </c>
      <c r="E63" s="32">
        <f t="shared" si="16"/>
        <v>987539</v>
      </c>
      <c r="F63" s="32">
        <f t="shared" si="16"/>
        <v>796500</v>
      </c>
      <c r="G63" s="32">
        <f t="shared" si="16"/>
        <v>892936</v>
      </c>
      <c r="H63" s="32">
        <f t="shared" si="16"/>
        <v>778656</v>
      </c>
      <c r="I63" s="32">
        <f t="shared" si="16"/>
        <v>1094946</v>
      </c>
      <c r="J63" s="32">
        <f t="shared" si="16"/>
        <v>1724415</v>
      </c>
      <c r="K63" s="32">
        <f t="shared" si="16"/>
        <v>1703526</v>
      </c>
      <c r="L63" s="32">
        <f t="shared" si="16"/>
        <v>1892393</v>
      </c>
      <c r="M63" s="32">
        <f t="shared" si="16"/>
        <v>532557</v>
      </c>
      <c r="N63" s="12"/>
    </row>
    <row r="64" spans="1:17">
      <c r="A64" s="13" t="s">
        <v>65</v>
      </c>
      <c r="B64" s="12">
        <f t="shared" ref="B64:M64" si="17">+$B$60+B63</f>
        <v>12631402</v>
      </c>
      <c r="C64" s="12">
        <f t="shared" si="17"/>
        <v>12797059</v>
      </c>
      <c r="D64" s="12">
        <f t="shared" si="17"/>
        <v>13972540</v>
      </c>
      <c r="E64" s="12">
        <f t="shared" si="17"/>
        <v>14360562</v>
      </c>
      <c r="F64" s="12">
        <f t="shared" si="17"/>
        <v>14169523</v>
      </c>
      <c r="G64" s="12">
        <f t="shared" si="17"/>
        <v>14265959</v>
      </c>
      <c r="H64" s="12">
        <f t="shared" si="17"/>
        <v>14151679</v>
      </c>
      <c r="I64" s="12">
        <f t="shared" si="17"/>
        <v>14467969</v>
      </c>
      <c r="J64" s="12">
        <f t="shared" si="17"/>
        <v>15097438</v>
      </c>
      <c r="K64" s="12">
        <f t="shared" si="17"/>
        <v>15076549</v>
      </c>
      <c r="L64" s="12">
        <f t="shared" si="17"/>
        <v>15265416</v>
      </c>
      <c r="M64" s="12">
        <f t="shared" si="17"/>
        <v>13905580</v>
      </c>
      <c r="N64" s="12"/>
      <c r="O64" s="6"/>
      <c r="P64" s="29"/>
    </row>
    <row r="65" spans="1:16">
      <c r="A65" s="6"/>
      <c r="B65" s="7"/>
      <c r="C65" s="7"/>
      <c r="D65" s="7"/>
      <c r="E65" s="7"/>
      <c r="F65" s="7"/>
      <c r="G65" s="7"/>
      <c r="H65" s="7"/>
      <c r="I65" s="7"/>
      <c r="J65" s="7"/>
      <c r="K65" s="6"/>
      <c r="L65" s="6"/>
      <c r="M65" s="6"/>
      <c r="N65" s="6"/>
      <c r="O65" s="6"/>
    </row>
    <row r="66" spans="1:16" s="6" customFormat="1">
      <c r="A66" s="17" t="s">
        <v>94</v>
      </c>
      <c r="B66" s="18"/>
      <c r="C66" s="18"/>
      <c r="D66" s="18"/>
      <c r="E66" s="18"/>
      <c r="F66" s="18"/>
      <c r="G66" s="18"/>
      <c r="H66" s="18"/>
      <c r="I66" s="18"/>
      <c r="J66" s="18"/>
      <c r="K66" s="18"/>
      <c r="L66" s="18"/>
      <c r="M66" s="18"/>
      <c r="N66" s="18"/>
    </row>
    <row r="67" spans="1:16" ht="13.5" thickBot="1">
      <c r="A67" s="13" t="s">
        <v>67</v>
      </c>
      <c r="B67" s="30">
        <v>-968259</v>
      </c>
      <c r="C67" s="30">
        <v>165657</v>
      </c>
      <c r="D67" s="30">
        <v>1175481</v>
      </c>
      <c r="E67" s="30">
        <v>388022</v>
      </c>
      <c r="F67" s="30">
        <v>-191039</v>
      </c>
      <c r="G67" s="30">
        <v>96436</v>
      </c>
      <c r="H67" s="30">
        <v>-114280</v>
      </c>
      <c r="I67" s="30">
        <v>316290</v>
      </c>
      <c r="J67" s="30">
        <v>629469</v>
      </c>
      <c r="K67" s="30">
        <v>-20889</v>
      </c>
      <c r="L67" s="30">
        <v>188867</v>
      </c>
      <c r="M67" s="30">
        <v>-1359836</v>
      </c>
      <c r="N67" s="16"/>
      <c r="O67" s="6"/>
    </row>
    <row r="68" spans="1:16" ht="13.5" thickTop="1">
      <c r="A68" s="13" t="s">
        <v>64</v>
      </c>
      <c r="B68" s="32">
        <f>+B67</f>
        <v>-968259</v>
      </c>
      <c r="C68" s="32">
        <f>+B68+C67</f>
        <v>-802602</v>
      </c>
      <c r="D68" s="32">
        <f t="shared" ref="D68:M68" si="18">+C68+D67</f>
        <v>372879</v>
      </c>
      <c r="E68" s="32">
        <f t="shared" si="18"/>
        <v>760901</v>
      </c>
      <c r="F68" s="32">
        <f t="shared" si="18"/>
        <v>569862</v>
      </c>
      <c r="G68" s="32">
        <f t="shared" si="18"/>
        <v>666298</v>
      </c>
      <c r="H68" s="32">
        <f t="shared" si="18"/>
        <v>552018</v>
      </c>
      <c r="I68" s="32">
        <f t="shared" si="18"/>
        <v>868308</v>
      </c>
      <c r="J68" s="32">
        <f t="shared" si="18"/>
        <v>1497777</v>
      </c>
      <c r="K68" s="32">
        <f t="shared" si="18"/>
        <v>1476888</v>
      </c>
      <c r="L68" s="32">
        <f t="shared" si="18"/>
        <v>1665755</v>
      </c>
      <c r="M68" s="32">
        <f t="shared" si="18"/>
        <v>305919</v>
      </c>
      <c r="N68" s="16"/>
      <c r="O68" s="6"/>
    </row>
    <row r="69" spans="1:16">
      <c r="A69" s="13" t="s">
        <v>65</v>
      </c>
      <c r="B69" s="12">
        <v>10066787.80069958</v>
      </c>
      <c r="C69" s="12">
        <v>10474885.82712047</v>
      </c>
      <c r="D69" s="12">
        <v>11546728.467384296</v>
      </c>
      <c r="E69" s="12">
        <v>11992721.928639133</v>
      </c>
      <c r="F69" s="12">
        <v>11726972.321587943</v>
      </c>
      <c r="G69" s="12">
        <v>11337269.706012141</v>
      </c>
      <c r="H69" s="12">
        <v>11322908.797641888</v>
      </c>
      <c r="I69" s="12">
        <v>11526789.393104676</v>
      </c>
      <c r="J69" s="12">
        <v>11837705.668475684</v>
      </c>
      <c r="K69" s="12">
        <v>12021264.778665379</v>
      </c>
      <c r="L69" s="12">
        <v>12475612.568366794</v>
      </c>
      <c r="M69" s="12">
        <v>11197948.23476476</v>
      </c>
      <c r="N69" s="12"/>
      <c r="O69" s="6"/>
    </row>
    <row r="70" spans="1:16">
      <c r="A70" s="6"/>
      <c r="B70" s="6"/>
      <c r="C70" s="6"/>
      <c r="D70" s="6"/>
      <c r="E70" s="6"/>
      <c r="F70" s="6"/>
      <c r="H70" s="6"/>
      <c r="I70" s="6"/>
      <c r="J70" s="6"/>
      <c r="K70" s="6"/>
      <c r="L70" s="6"/>
      <c r="M70" s="6"/>
      <c r="N70" s="6"/>
      <c r="O70" s="6"/>
    </row>
    <row r="71" spans="1:16">
      <c r="A71" s="24" t="s">
        <v>68</v>
      </c>
      <c r="B71" s="18"/>
      <c r="C71" s="18"/>
      <c r="D71" s="18"/>
      <c r="E71" s="18"/>
      <c r="F71" s="18"/>
      <c r="G71" s="18"/>
      <c r="H71" s="18"/>
      <c r="I71" s="18"/>
      <c r="J71" s="18"/>
      <c r="K71" s="18"/>
      <c r="L71" s="18"/>
      <c r="M71" s="18"/>
      <c r="N71" s="18"/>
      <c r="O71" s="6"/>
    </row>
    <row r="72" spans="1:16">
      <c r="A72" s="13" t="s">
        <v>63</v>
      </c>
      <c r="B72" s="16">
        <f t="shared" ref="B72:N74" si="19">+B62-B67</f>
        <v>226638</v>
      </c>
      <c r="C72" s="16">
        <f t="shared" si="19"/>
        <v>0</v>
      </c>
      <c r="D72" s="16">
        <f t="shared" si="19"/>
        <v>0</v>
      </c>
      <c r="E72" s="16">
        <f t="shared" si="19"/>
        <v>0</v>
      </c>
      <c r="F72" s="16">
        <f t="shared" si="19"/>
        <v>0</v>
      </c>
      <c r="G72" s="16">
        <f t="shared" si="19"/>
        <v>0</v>
      </c>
      <c r="H72" s="16">
        <f t="shared" si="19"/>
        <v>0</v>
      </c>
      <c r="I72" s="16">
        <f t="shared" si="19"/>
        <v>0</v>
      </c>
      <c r="J72" s="16">
        <f t="shared" si="19"/>
        <v>0</v>
      </c>
      <c r="K72" s="16">
        <f t="shared" si="19"/>
        <v>0</v>
      </c>
      <c r="L72" s="16">
        <f t="shared" si="19"/>
        <v>0</v>
      </c>
      <c r="M72" s="16">
        <f t="shared" si="19"/>
        <v>0</v>
      </c>
      <c r="N72" s="6"/>
      <c r="O72" s="6"/>
      <c r="P72" s="16">
        <f>+N62-N67</f>
        <v>532557</v>
      </c>
    </row>
    <row r="73" spans="1:16" s="6" customFormat="1">
      <c r="A73" s="13" t="s">
        <v>64</v>
      </c>
      <c r="B73" s="16">
        <f t="shared" si="19"/>
        <v>226638</v>
      </c>
      <c r="C73" s="16">
        <f t="shared" si="19"/>
        <v>226638</v>
      </c>
      <c r="D73" s="16">
        <f t="shared" si="19"/>
        <v>226638</v>
      </c>
      <c r="E73" s="16">
        <f t="shared" si="19"/>
        <v>226638</v>
      </c>
      <c r="F73" s="16">
        <f t="shared" si="19"/>
        <v>226638</v>
      </c>
      <c r="G73" s="16">
        <f t="shared" si="19"/>
        <v>226638</v>
      </c>
      <c r="H73" s="16">
        <f t="shared" si="19"/>
        <v>226638</v>
      </c>
      <c r="I73" s="16">
        <f t="shared" si="19"/>
        <v>226638</v>
      </c>
      <c r="J73" s="16">
        <f t="shared" si="19"/>
        <v>226638</v>
      </c>
      <c r="K73" s="16">
        <f t="shared" si="19"/>
        <v>226638</v>
      </c>
      <c r="L73" s="16">
        <f t="shared" si="19"/>
        <v>226638</v>
      </c>
      <c r="M73" s="16">
        <f t="shared" si="19"/>
        <v>226638</v>
      </c>
      <c r="N73" s="16">
        <f t="shared" si="19"/>
        <v>0</v>
      </c>
    </row>
    <row r="74" spans="1:16">
      <c r="A74" s="1" t="s">
        <v>65</v>
      </c>
      <c r="B74" s="16">
        <f t="shared" si="19"/>
        <v>2564614.1993004195</v>
      </c>
      <c r="C74" s="16">
        <f t="shared" si="19"/>
        <v>2322173.1728795301</v>
      </c>
      <c r="D74" s="16">
        <f t="shared" si="19"/>
        <v>2425811.5326157045</v>
      </c>
      <c r="E74" s="16">
        <f t="shared" si="19"/>
        <v>2367840.0713608675</v>
      </c>
      <c r="F74" s="16">
        <f t="shared" si="19"/>
        <v>2442550.6784120575</v>
      </c>
      <c r="G74" s="16">
        <f t="shared" si="19"/>
        <v>2928689.293987859</v>
      </c>
      <c r="H74" s="16">
        <f t="shared" si="19"/>
        <v>2828770.2023581117</v>
      </c>
      <c r="I74" s="16">
        <f t="shared" si="19"/>
        <v>2941179.6068953238</v>
      </c>
      <c r="J74" s="16">
        <f t="shared" si="19"/>
        <v>3259732.3315243162</v>
      </c>
      <c r="K74" s="16">
        <f t="shared" si="19"/>
        <v>3055284.2213346213</v>
      </c>
      <c r="L74" s="16">
        <f t="shared" si="19"/>
        <v>2789803.4316332061</v>
      </c>
      <c r="M74" s="16">
        <f t="shared" si="19"/>
        <v>2707631.7652352396</v>
      </c>
      <c r="N74" s="16"/>
      <c r="O74" s="6"/>
    </row>
    <row r="75" spans="1:16">
      <c r="B75" s="6"/>
      <c r="C75" s="6"/>
      <c r="D75" s="6"/>
      <c r="E75" s="6"/>
      <c r="F75" s="6"/>
      <c r="H75" s="6"/>
      <c r="I75" s="6"/>
      <c r="J75" s="6"/>
      <c r="K75" s="6"/>
      <c r="L75" s="6"/>
      <c r="M75" s="6"/>
      <c r="N75" s="6"/>
    </row>
    <row r="76" spans="1:16">
      <c r="A76" s="1"/>
      <c r="B76" s="4"/>
      <c r="C76" s="8"/>
      <c r="D76" s="8"/>
      <c r="E76" s="8"/>
      <c r="F76" s="8"/>
      <c r="H76" s="20"/>
      <c r="J76" s="6"/>
      <c r="K76" s="6"/>
    </row>
    <row r="77" spans="1:16">
      <c r="A77" s="1"/>
      <c r="B77" s="4"/>
      <c r="C77" s="8"/>
      <c r="D77" s="8"/>
      <c r="E77" s="8"/>
      <c r="F77" s="8"/>
      <c r="H77" s="20"/>
      <c r="J77" s="6"/>
    </row>
    <row r="78" spans="1:16">
      <c r="A78" s="1"/>
      <c r="B78" s="4"/>
      <c r="D78" s="8"/>
      <c r="E78" s="8"/>
      <c r="F78" s="8"/>
      <c r="H78" s="61"/>
      <c r="J78" s="6"/>
    </row>
    <row r="79" spans="1:16">
      <c r="E79" s="6"/>
      <c r="H79" s="20"/>
      <c r="J79" s="6"/>
      <c r="N79" s="25"/>
    </row>
    <row r="80" spans="1:16">
      <c r="A80" t="s">
        <v>69</v>
      </c>
      <c r="B80" t="s">
        <v>69</v>
      </c>
      <c r="C80" t="s">
        <v>69</v>
      </c>
      <c r="D80" t="s">
        <v>69</v>
      </c>
      <c r="E80" s="6" t="s">
        <v>69</v>
      </c>
      <c r="F80" t="s">
        <v>69</v>
      </c>
      <c r="G80" s="6" t="s">
        <v>69</v>
      </c>
      <c r="H80" t="s">
        <v>69</v>
      </c>
      <c r="I80" t="s">
        <v>69</v>
      </c>
      <c r="J80" s="6" t="s">
        <v>69</v>
      </c>
      <c r="K80" t="s">
        <v>69</v>
      </c>
      <c r="L80" t="s">
        <v>69</v>
      </c>
      <c r="M80" t="s">
        <v>69</v>
      </c>
      <c r="N80" t="s">
        <v>69</v>
      </c>
    </row>
    <row r="81" spans="1:14">
      <c r="E81" s="6"/>
      <c r="J81" s="6"/>
    </row>
    <row r="82" spans="1:14">
      <c r="A82" s="33" t="s">
        <v>70</v>
      </c>
      <c r="B82" s="47">
        <v>52000</v>
      </c>
      <c r="C82" s="47">
        <v>20000</v>
      </c>
      <c r="D82" s="47">
        <v>10000</v>
      </c>
      <c r="E82" s="47">
        <v>44355</v>
      </c>
      <c r="F82" s="47">
        <v>186840</v>
      </c>
      <c r="G82" s="10">
        <v>202000</v>
      </c>
      <c r="H82" s="54">
        <v>197000</v>
      </c>
      <c r="I82" s="47">
        <v>142000</v>
      </c>
      <c r="J82" s="47">
        <v>119000</v>
      </c>
      <c r="K82" s="47">
        <v>0</v>
      </c>
      <c r="L82" s="47">
        <v>0</v>
      </c>
      <c r="M82" s="47">
        <v>455000</v>
      </c>
      <c r="N82" s="7">
        <v>1428195</v>
      </c>
    </row>
    <row r="83" spans="1:14">
      <c r="A83" s="33" t="s">
        <v>71</v>
      </c>
      <c r="B83" s="2">
        <f>+B82</f>
        <v>52000</v>
      </c>
      <c r="C83" s="2">
        <f>+B83+C82</f>
        <v>72000</v>
      </c>
      <c r="D83" s="2">
        <f t="shared" ref="D83:M83" si="20">+C83+D82</f>
        <v>82000</v>
      </c>
      <c r="E83" s="7">
        <f t="shared" si="20"/>
        <v>126355</v>
      </c>
      <c r="F83" s="2">
        <f t="shared" si="20"/>
        <v>313195</v>
      </c>
      <c r="G83" s="7">
        <f t="shared" si="20"/>
        <v>515195</v>
      </c>
      <c r="H83" s="2">
        <f t="shared" si="20"/>
        <v>712195</v>
      </c>
      <c r="I83" s="2">
        <f t="shared" si="20"/>
        <v>854195</v>
      </c>
      <c r="J83" s="7">
        <f t="shared" si="20"/>
        <v>973195</v>
      </c>
      <c r="K83" s="2">
        <f t="shared" si="20"/>
        <v>973195</v>
      </c>
      <c r="L83" s="2">
        <f t="shared" si="20"/>
        <v>973195</v>
      </c>
      <c r="M83" s="2">
        <f t="shared" si="20"/>
        <v>1428195</v>
      </c>
    </row>
    <row r="84" spans="1:14">
      <c r="A84" s="33" t="s">
        <v>72</v>
      </c>
      <c r="B84" s="7">
        <f>+B53</f>
        <v>101289</v>
      </c>
      <c r="C84" s="7">
        <f>SUM($B53:C53)</f>
        <v>154789</v>
      </c>
      <c r="D84" s="7">
        <f>SUM($B53:D53)</f>
        <v>154789</v>
      </c>
      <c r="E84" s="7">
        <f>SUM($B53:E53)</f>
        <v>326289</v>
      </c>
      <c r="F84" s="7">
        <f>SUM($B53:F53)</f>
        <v>463789</v>
      </c>
      <c r="G84" s="7">
        <f>SUM($B53:G53)</f>
        <v>583989</v>
      </c>
      <c r="H84" s="7">
        <f>SUM(B53:H53)</f>
        <v>699989</v>
      </c>
      <c r="I84" s="7">
        <f>SUM(B53:I53)</f>
        <v>964989</v>
      </c>
      <c r="J84" s="7">
        <f>SUM(B53:J53)</f>
        <v>964989</v>
      </c>
      <c r="K84" s="7">
        <f>SUM(B53:K53)</f>
        <v>1157239</v>
      </c>
      <c r="L84" s="7">
        <f>SUM(B53:L53)</f>
        <v>1400239</v>
      </c>
      <c r="M84" s="7">
        <f>SUM(B53:M53)</f>
        <v>1675239</v>
      </c>
    </row>
    <row r="85" spans="1:14">
      <c r="A85" s="33" t="s">
        <v>73</v>
      </c>
      <c r="B85" s="7">
        <f t="shared" ref="B85:G85" si="21">+B83-B84</f>
        <v>-49289</v>
      </c>
      <c r="C85" s="7">
        <f t="shared" si="21"/>
        <v>-82789</v>
      </c>
      <c r="D85" s="7">
        <f t="shared" si="21"/>
        <v>-72789</v>
      </c>
      <c r="E85" s="7">
        <f t="shared" si="21"/>
        <v>-199934</v>
      </c>
      <c r="F85" s="7">
        <f t="shared" si="21"/>
        <v>-150594</v>
      </c>
      <c r="G85" s="7">
        <f t="shared" si="21"/>
        <v>-68794</v>
      </c>
      <c r="H85" s="7">
        <f t="shared" ref="H85:M85" si="22">+H83-H84</f>
        <v>12206</v>
      </c>
      <c r="I85" s="7">
        <f t="shared" si="22"/>
        <v>-110794</v>
      </c>
      <c r="J85" s="7">
        <f t="shared" si="22"/>
        <v>8206</v>
      </c>
      <c r="K85" s="7">
        <f t="shared" si="22"/>
        <v>-184044</v>
      </c>
      <c r="L85" s="7">
        <f t="shared" si="22"/>
        <v>-427044</v>
      </c>
      <c r="M85" s="7">
        <f t="shared" si="22"/>
        <v>-247044</v>
      </c>
    </row>
    <row r="86" spans="1:14">
      <c r="J86" s="6"/>
      <c r="K86" s="6"/>
    </row>
    <row r="87" spans="1:14">
      <c r="A87" t="s">
        <v>74</v>
      </c>
      <c r="B87" s="35">
        <f>-B56-B57</f>
        <v>199977</v>
      </c>
      <c r="C87" s="35">
        <f t="shared" ref="C87:N87" si="23">-C56-C57</f>
        <v>37500</v>
      </c>
      <c r="D87" s="35">
        <f t="shared" si="23"/>
        <v>37500</v>
      </c>
      <c r="E87" s="35">
        <f t="shared" si="23"/>
        <v>37500</v>
      </c>
      <c r="F87" s="35">
        <f t="shared" si="23"/>
        <v>37500</v>
      </c>
      <c r="G87" s="40">
        <f t="shared" si="23"/>
        <v>37500</v>
      </c>
      <c r="H87" s="40">
        <f t="shared" si="23"/>
        <v>37500</v>
      </c>
      <c r="I87" s="35">
        <f t="shared" si="23"/>
        <v>37500</v>
      </c>
      <c r="J87" s="35">
        <f t="shared" si="23"/>
        <v>37500</v>
      </c>
      <c r="K87" s="40">
        <f t="shared" si="23"/>
        <v>37500</v>
      </c>
      <c r="L87" s="35">
        <f t="shared" si="23"/>
        <v>37500</v>
      </c>
      <c r="M87" s="35">
        <f t="shared" si="23"/>
        <v>37500</v>
      </c>
      <c r="N87" s="35">
        <f t="shared" si="23"/>
        <v>612477</v>
      </c>
    </row>
    <row r="88" spans="1:14">
      <c r="C88" s="35">
        <f>+B87+C87</f>
        <v>237477</v>
      </c>
      <c r="D88" s="35">
        <f>+C88+D87</f>
        <v>274977</v>
      </c>
      <c r="E88" s="35">
        <f t="shared" ref="E88:M88" si="24">+D88+E87</f>
        <v>312477</v>
      </c>
      <c r="F88" s="35">
        <f t="shared" si="24"/>
        <v>349977</v>
      </c>
      <c r="G88" s="40">
        <f t="shared" si="24"/>
        <v>387477</v>
      </c>
      <c r="H88" s="35">
        <f t="shared" si="24"/>
        <v>424977</v>
      </c>
      <c r="I88" s="40">
        <f t="shared" si="24"/>
        <v>462477</v>
      </c>
      <c r="J88" s="40">
        <f t="shared" si="24"/>
        <v>499977</v>
      </c>
      <c r="K88" s="40">
        <f t="shared" si="24"/>
        <v>537477</v>
      </c>
      <c r="L88" s="35">
        <f t="shared" si="24"/>
        <v>574977</v>
      </c>
      <c r="M88" s="35">
        <f t="shared" si="24"/>
        <v>612477</v>
      </c>
    </row>
    <row r="89" spans="1:14">
      <c r="B89" s="6"/>
      <c r="C89" s="6"/>
      <c r="D89" s="6"/>
      <c r="E89" s="6"/>
    </row>
    <row r="90" spans="1:14">
      <c r="B90" s="6"/>
      <c r="C90" s="6"/>
      <c r="D90" s="21"/>
      <c r="E90" s="6"/>
    </row>
    <row r="91" spans="1:14">
      <c r="B91" s="6"/>
      <c r="C91" s="6"/>
      <c r="D91" s="6"/>
      <c r="E91" s="6"/>
    </row>
    <row r="92" spans="1:14">
      <c r="B92" s="70">
        <v>78554</v>
      </c>
      <c r="C92" s="70">
        <v>78293</v>
      </c>
      <c r="D92" s="70">
        <v>79025</v>
      </c>
      <c r="E92" s="70">
        <v>81090</v>
      </c>
      <c r="F92" s="71">
        <v>81090</v>
      </c>
      <c r="G92" s="70">
        <v>81079</v>
      </c>
      <c r="H92" s="71">
        <v>89229</v>
      </c>
      <c r="I92" s="71">
        <v>88964</v>
      </c>
      <c r="J92" s="71">
        <v>88964</v>
      </c>
      <c r="K92" s="71">
        <v>88563</v>
      </c>
      <c r="L92" s="71">
        <v>97279</v>
      </c>
      <c r="M92" s="71">
        <v>97277</v>
      </c>
    </row>
    <row r="93" spans="1:14">
      <c r="B93" s="6">
        <f>+B92*-1</f>
        <v>-78554</v>
      </c>
      <c r="C93" s="6">
        <f t="shared" ref="C93:M93" si="25">+C92*-1</f>
        <v>-78293</v>
      </c>
      <c r="D93" s="6">
        <f t="shared" si="25"/>
        <v>-79025</v>
      </c>
      <c r="E93" s="6">
        <f t="shared" si="25"/>
        <v>-81090</v>
      </c>
      <c r="F93" s="6">
        <f t="shared" si="25"/>
        <v>-81090</v>
      </c>
      <c r="G93" s="6">
        <f t="shared" si="25"/>
        <v>-81079</v>
      </c>
      <c r="H93" s="6">
        <f t="shared" si="25"/>
        <v>-89229</v>
      </c>
      <c r="I93" s="6">
        <f t="shared" si="25"/>
        <v>-88964</v>
      </c>
      <c r="J93" s="6">
        <f t="shared" si="25"/>
        <v>-88964</v>
      </c>
      <c r="K93" s="6">
        <f t="shared" si="25"/>
        <v>-88563</v>
      </c>
      <c r="L93" s="6">
        <f t="shared" si="25"/>
        <v>-97279</v>
      </c>
      <c r="M93" s="6">
        <f t="shared" si="25"/>
        <v>-97277</v>
      </c>
    </row>
    <row r="94" spans="1:14">
      <c r="B94" s="6"/>
      <c r="C94" s="6"/>
      <c r="D94" s="34"/>
      <c r="E94" s="6"/>
    </row>
    <row r="95" spans="1:14">
      <c r="B95" s="6"/>
      <c r="C95" s="6"/>
      <c r="D95" s="6"/>
      <c r="E95" s="6"/>
    </row>
    <row r="96" spans="1:14">
      <c r="B96" s="6"/>
      <c r="C96" s="6"/>
      <c r="D96" s="6"/>
      <c r="E96" s="6"/>
    </row>
  </sheetData>
  <pageMargins left="0.28000000000000003" right="0.25" top="0.99" bottom="0.75" header="0.63" footer="0.23"/>
  <pageSetup scale="67" orientation="landscape" r:id="rId1"/>
  <headerFooter alignWithMargins="0">
    <oddHeader xml:space="preserve">&amp;C&amp;"Arial,Bold"&amp;11 49ER SHOPS, INC.
&amp;UFY2017/2018 OPERATIONAL CASH FLOW </oddHeader>
    <oddFooter>&amp;CCash Flow - FY2017/2018
July 2017</oddFooter>
  </headerFooter>
  <legacy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FF00"/>
    <pageSetUpPr fitToPage="1"/>
  </sheetPr>
  <dimension ref="A1:AR96"/>
  <sheetViews>
    <sheetView showGridLines="0" zoomScale="90" zoomScaleNormal="90" workbookViewId="0">
      <pane xSplit="1" ySplit="3" topLeftCell="B20" activePane="bottomRight" state="frozen"/>
      <selection pane="topRight" activeCell="B72" sqref="B72"/>
      <selection pane="bottomLeft" activeCell="B72" sqref="B72"/>
      <selection pane="bottomRight" activeCell="A14" sqref="A14"/>
    </sheetView>
  </sheetViews>
  <sheetFormatPr defaultRowHeight="12.75"/>
  <cols>
    <col min="1" max="1" width="35.42578125" customWidth="1"/>
    <col min="2" max="2" width="14" customWidth="1"/>
    <col min="3" max="3" width="12.5703125" customWidth="1"/>
    <col min="4" max="4" width="12.140625" customWidth="1"/>
    <col min="5" max="5" width="13.5703125" customWidth="1"/>
    <col min="6" max="6" width="12.85546875" customWidth="1"/>
    <col min="7" max="7" width="12.5703125" style="6" customWidth="1"/>
    <col min="8" max="9" width="12.85546875" customWidth="1"/>
    <col min="10" max="11" width="12.140625" customWidth="1"/>
    <col min="12" max="13" width="12.85546875" customWidth="1"/>
    <col min="14" max="14" width="12.85546875" bestFit="1" customWidth="1"/>
    <col min="15" max="15" width="12.42578125" bestFit="1" customWidth="1"/>
    <col min="16" max="16" width="13.140625" bestFit="1" customWidth="1"/>
  </cols>
  <sheetData>
    <row r="1" spans="1:15" ht="13.5" thickBot="1">
      <c r="A1" s="46" t="s">
        <v>98</v>
      </c>
      <c r="E1" s="6"/>
      <c r="F1" s="6"/>
      <c r="J1" s="6"/>
      <c r="K1" s="6"/>
      <c r="N1" s="3"/>
    </row>
    <row r="2" spans="1:15">
      <c r="B2" s="45" t="s">
        <v>24</v>
      </c>
      <c r="C2" s="45" t="s">
        <v>24</v>
      </c>
      <c r="D2" s="48" t="s">
        <v>76</v>
      </c>
      <c r="E2" s="48" t="s">
        <v>76</v>
      </c>
      <c r="F2" s="48" t="s">
        <v>76</v>
      </c>
      <c r="G2" s="48" t="s">
        <v>76</v>
      </c>
      <c r="H2" s="48" t="s">
        <v>76</v>
      </c>
      <c r="I2" s="48" t="s">
        <v>76</v>
      </c>
      <c r="J2" s="48" t="s">
        <v>76</v>
      </c>
      <c r="K2" s="48" t="s">
        <v>76</v>
      </c>
      <c r="L2" s="48" t="s">
        <v>76</v>
      </c>
      <c r="M2" s="48" t="s">
        <v>76</v>
      </c>
      <c r="N2" s="28" t="s">
        <v>25</v>
      </c>
    </row>
    <row r="3" spans="1:15" s="5" customFormat="1">
      <c r="B3" s="11">
        <v>42918</v>
      </c>
      <c r="C3" s="11">
        <v>42949</v>
      </c>
      <c r="D3" s="11">
        <v>42980</v>
      </c>
      <c r="E3" s="11">
        <v>43010</v>
      </c>
      <c r="F3" s="11">
        <v>43041</v>
      </c>
      <c r="G3" s="11">
        <v>43071</v>
      </c>
      <c r="H3" s="11">
        <v>43102</v>
      </c>
      <c r="I3" s="11">
        <v>43133</v>
      </c>
      <c r="J3" s="11">
        <v>43161</v>
      </c>
      <c r="K3" s="11">
        <v>43192</v>
      </c>
      <c r="L3" s="11">
        <v>43222</v>
      </c>
      <c r="M3" s="11">
        <v>43253</v>
      </c>
      <c r="N3" s="57" t="s">
        <v>77</v>
      </c>
    </row>
    <row r="4" spans="1:15" hidden="1">
      <c r="A4" s="1" t="s">
        <v>27</v>
      </c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>
        <f>SUM(B4:M4)</f>
        <v>0</v>
      </c>
      <c r="O4" s="29"/>
    </row>
    <row r="5" spans="1:15" s="6" customFormat="1" hidden="1">
      <c r="A5" s="6" t="s">
        <v>28</v>
      </c>
      <c r="B5" s="53">
        <v>1102036</v>
      </c>
      <c r="C5" s="53">
        <v>2503975</v>
      </c>
      <c r="D5" s="53">
        <v>5241078</v>
      </c>
      <c r="E5" s="53">
        <v>3796312</v>
      </c>
      <c r="F5" s="53">
        <v>2590434</v>
      </c>
      <c r="G5" s="53">
        <v>2704250</v>
      </c>
      <c r="H5" s="53">
        <v>3785411</v>
      </c>
      <c r="I5" s="53">
        <v>3755825</v>
      </c>
      <c r="J5" s="53">
        <v>3335785</v>
      </c>
      <c r="K5" s="53">
        <v>2998356</v>
      </c>
      <c r="L5" s="53">
        <v>2831511</v>
      </c>
      <c r="M5" s="53">
        <v>1460406</v>
      </c>
      <c r="N5" s="12">
        <f>SUM(B5:M5)</f>
        <v>36105379</v>
      </c>
      <c r="O5" s="29"/>
    </row>
    <row r="6" spans="1:15" s="6" customFormat="1" hidden="1">
      <c r="A6" s="6" t="s">
        <v>29</v>
      </c>
      <c r="B6" s="53">
        <v>70448</v>
      </c>
      <c r="C6" s="53">
        <v>71234</v>
      </c>
      <c r="D6" s="53">
        <v>354577</v>
      </c>
      <c r="E6" s="53">
        <v>106870</v>
      </c>
      <c r="F6" s="53">
        <v>72743</v>
      </c>
      <c r="G6" s="53">
        <v>153728</v>
      </c>
      <c r="H6" s="53">
        <v>54728</v>
      </c>
      <c r="I6" s="53">
        <v>85911</v>
      </c>
      <c r="J6" s="53">
        <v>228813</v>
      </c>
      <c r="K6" s="53">
        <v>89970</v>
      </c>
      <c r="L6" s="53">
        <v>316808</v>
      </c>
      <c r="M6" s="53">
        <v>118439</v>
      </c>
      <c r="N6" s="7">
        <f>SUM(B6:M6)</f>
        <v>1724269</v>
      </c>
      <c r="O6" s="29"/>
    </row>
    <row r="7" spans="1:15" s="6" customFormat="1" hidden="1">
      <c r="B7" s="7"/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7">
        <f>SUM(B7:M7)</f>
        <v>0</v>
      </c>
      <c r="O7" s="29"/>
    </row>
    <row r="8" spans="1:15" s="6" customFormat="1" hidden="1">
      <c r="B8" s="15"/>
      <c r="C8" s="15"/>
      <c r="D8" s="15"/>
      <c r="E8" s="15"/>
      <c r="F8" s="15"/>
      <c r="G8" s="15"/>
      <c r="H8" s="15"/>
      <c r="I8" s="15"/>
      <c r="J8" s="15"/>
      <c r="K8" s="15"/>
      <c r="L8" s="15"/>
      <c r="M8" s="15"/>
      <c r="N8" s="15">
        <f>SUM(B8:M8)</f>
        <v>0</v>
      </c>
      <c r="O8" s="29"/>
    </row>
    <row r="9" spans="1:15" s="6" customFormat="1">
      <c r="A9" s="13" t="s">
        <v>30</v>
      </c>
      <c r="B9" s="12">
        <f t="shared" ref="B9:N9" si="0">SUM(B5:B8)</f>
        <v>1172484</v>
      </c>
      <c r="C9" s="12">
        <f t="shared" si="0"/>
        <v>2575209</v>
      </c>
      <c r="D9" s="12">
        <f t="shared" si="0"/>
        <v>5595655</v>
      </c>
      <c r="E9" s="12">
        <f t="shared" si="0"/>
        <v>3903182</v>
      </c>
      <c r="F9" s="12">
        <f t="shared" si="0"/>
        <v>2663177</v>
      </c>
      <c r="G9" s="12">
        <f t="shared" si="0"/>
        <v>2857978</v>
      </c>
      <c r="H9" s="12">
        <f t="shared" si="0"/>
        <v>3840139</v>
      </c>
      <c r="I9" s="12">
        <f t="shared" si="0"/>
        <v>3841736</v>
      </c>
      <c r="J9" s="12">
        <f t="shared" si="0"/>
        <v>3564598</v>
      </c>
      <c r="K9" s="12">
        <f t="shared" si="0"/>
        <v>3088326</v>
      </c>
      <c r="L9" s="12">
        <f t="shared" si="0"/>
        <v>3148319</v>
      </c>
      <c r="M9" s="12">
        <f t="shared" si="0"/>
        <v>1578845</v>
      </c>
      <c r="N9" s="12">
        <f t="shared" si="0"/>
        <v>37829648</v>
      </c>
      <c r="O9" s="29"/>
    </row>
    <row r="10" spans="1:15" s="6" customFormat="1" ht="6.75" customHeight="1"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29"/>
    </row>
    <row r="11" spans="1:15" s="6" customFormat="1">
      <c r="A11" s="13" t="s">
        <v>31</v>
      </c>
      <c r="B11" s="7">
        <f>99729+B56</f>
        <v>87140</v>
      </c>
      <c r="C11" s="7">
        <f>10280+C56</f>
        <v>-1332</v>
      </c>
      <c r="D11" s="7">
        <v>0</v>
      </c>
      <c r="E11" s="7">
        <v>0</v>
      </c>
      <c r="F11" s="7">
        <v>0</v>
      </c>
      <c r="G11" s="7">
        <v>0</v>
      </c>
      <c r="H11" s="7">
        <v>0</v>
      </c>
      <c r="I11" s="7">
        <v>0</v>
      </c>
      <c r="J11" s="7">
        <v>0</v>
      </c>
      <c r="K11" s="7">
        <v>0</v>
      </c>
      <c r="L11" s="7">
        <v>0</v>
      </c>
      <c r="M11" s="7">
        <v>0</v>
      </c>
      <c r="N11" s="7">
        <f>SUM(B11:M11)</f>
        <v>85808</v>
      </c>
      <c r="O11" s="29"/>
    </row>
    <row r="12" spans="1:15" s="6" customFormat="1" ht="7.5" customHeight="1">
      <c r="B12" s="7"/>
      <c r="C12" s="7"/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  <c r="O12" s="29"/>
    </row>
    <row r="13" spans="1:15" s="6" customFormat="1" ht="13.5" thickBot="1">
      <c r="A13" s="13" t="s">
        <v>32</v>
      </c>
      <c r="B13" s="14">
        <f t="shared" ref="B13:N13" si="1">B9+B11</f>
        <v>1259624</v>
      </c>
      <c r="C13" s="14">
        <f>C9+C11</f>
        <v>2573877</v>
      </c>
      <c r="D13" s="14">
        <f t="shared" si="1"/>
        <v>5595655</v>
      </c>
      <c r="E13" s="14">
        <f t="shared" si="1"/>
        <v>3903182</v>
      </c>
      <c r="F13" s="14">
        <f t="shared" si="1"/>
        <v>2663177</v>
      </c>
      <c r="G13" s="14">
        <f t="shared" si="1"/>
        <v>2857978</v>
      </c>
      <c r="H13" s="14">
        <f t="shared" si="1"/>
        <v>3840139</v>
      </c>
      <c r="I13" s="14">
        <f t="shared" si="1"/>
        <v>3841736</v>
      </c>
      <c r="J13" s="14">
        <f t="shared" si="1"/>
        <v>3564598</v>
      </c>
      <c r="K13" s="14">
        <f t="shared" si="1"/>
        <v>3088326</v>
      </c>
      <c r="L13" s="14">
        <f t="shared" si="1"/>
        <v>3148319</v>
      </c>
      <c r="M13" s="14">
        <f t="shared" si="1"/>
        <v>1578845</v>
      </c>
      <c r="N13" s="14">
        <f t="shared" si="1"/>
        <v>37915456</v>
      </c>
      <c r="O13" s="29"/>
    </row>
    <row r="14" spans="1:15" s="6" customFormat="1" ht="13.5" thickTop="1">
      <c r="B14" s="7"/>
      <c r="C14" s="7"/>
      <c r="D14" s="7"/>
      <c r="E14" s="7"/>
      <c r="F14" s="7"/>
      <c r="G14" s="7"/>
      <c r="H14" s="7"/>
      <c r="I14" s="7"/>
      <c r="J14" s="7"/>
      <c r="K14" s="7"/>
      <c r="L14" s="7"/>
      <c r="M14" s="7"/>
    </row>
    <row r="15" spans="1:15" s="6" customFormat="1" hidden="1">
      <c r="A15" s="13" t="s">
        <v>33</v>
      </c>
      <c r="B15" s="7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</row>
    <row r="16" spans="1:15" s="6" customFormat="1" hidden="1">
      <c r="A16" s="6" t="s">
        <v>34</v>
      </c>
      <c r="B16" s="53">
        <v>444475</v>
      </c>
      <c r="C16" s="53">
        <v>1463048</v>
      </c>
      <c r="D16" s="53">
        <v>2742467</v>
      </c>
      <c r="E16" s="53">
        <v>1317514</v>
      </c>
      <c r="F16" s="53">
        <v>955424</v>
      </c>
      <c r="G16" s="53">
        <v>1054272</v>
      </c>
      <c r="H16" s="53">
        <v>2341142</v>
      </c>
      <c r="I16" s="53">
        <v>1611344</v>
      </c>
      <c r="J16" s="53">
        <v>1215922</v>
      </c>
      <c r="K16" s="53">
        <v>1090469</v>
      </c>
      <c r="L16" s="53">
        <v>1126126</v>
      </c>
      <c r="M16" s="53">
        <v>849456</v>
      </c>
      <c r="N16" s="7">
        <f>SUM(B16:M16)</f>
        <v>16211659</v>
      </c>
      <c r="O16" s="29"/>
    </row>
    <row r="17" spans="1:44" s="6" customFormat="1" hidden="1">
      <c r="B17" s="27"/>
      <c r="C17" s="27"/>
      <c r="D17" s="27"/>
      <c r="E17" s="27"/>
      <c r="F17" s="27"/>
      <c r="G17" s="27"/>
      <c r="H17" s="27"/>
      <c r="I17" s="27"/>
      <c r="J17" s="27"/>
      <c r="K17" s="27"/>
      <c r="L17" s="27"/>
      <c r="M17" s="27"/>
      <c r="N17" s="7">
        <f>SUM(B17:M17)</f>
        <v>0</v>
      </c>
    </row>
    <row r="18" spans="1:44" s="6" customFormat="1" hidden="1">
      <c r="B18" s="7"/>
      <c r="C18" s="7"/>
      <c r="D18" s="7"/>
      <c r="E18" s="7"/>
      <c r="F18" s="7"/>
      <c r="G18" s="7"/>
      <c r="H18" s="7"/>
      <c r="I18" s="7"/>
      <c r="J18" s="7"/>
      <c r="K18" s="7"/>
      <c r="L18" s="7"/>
      <c r="M18" s="7"/>
      <c r="N18" s="7">
        <v>0</v>
      </c>
    </row>
    <row r="19" spans="1:44" s="6" customFormat="1" hidden="1">
      <c r="B19" s="15"/>
      <c r="C19" s="15"/>
      <c r="D19" s="15"/>
      <c r="E19" s="15"/>
      <c r="F19" s="15"/>
      <c r="G19" s="15"/>
      <c r="H19" s="15"/>
      <c r="I19" s="15"/>
      <c r="J19" s="15"/>
      <c r="K19" s="15"/>
      <c r="L19" s="15"/>
      <c r="M19" s="15"/>
      <c r="N19" s="15">
        <f>SUM(B19:M19)</f>
        <v>0</v>
      </c>
    </row>
    <row r="20" spans="1:44" s="6" customFormat="1">
      <c r="A20" s="13" t="s">
        <v>35</v>
      </c>
      <c r="B20" s="12">
        <f t="shared" ref="B20:N20" si="2">SUM(B16:B19)</f>
        <v>444475</v>
      </c>
      <c r="C20" s="12">
        <f t="shared" si="2"/>
        <v>1463048</v>
      </c>
      <c r="D20" s="12">
        <f t="shared" si="2"/>
        <v>2742467</v>
      </c>
      <c r="E20" s="12">
        <f t="shared" si="2"/>
        <v>1317514</v>
      </c>
      <c r="F20" s="12">
        <f t="shared" si="2"/>
        <v>955424</v>
      </c>
      <c r="G20" s="12">
        <f t="shared" si="2"/>
        <v>1054272</v>
      </c>
      <c r="H20" s="12">
        <f t="shared" si="2"/>
        <v>2341142</v>
      </c>
      <c r="I20" s="12">
        <f t="shared" si="2"/>
        <v>1611344</v>
      </c>
      <c r="J20" s="12">
        <f t="shared" si="2"/>
        <v>1215922</v>
      </c>
      <c r="K20" s="12">
        <f t="shared" si="2"/>
        <v>1090469</v>
      </c>
      <c r="L20" s="12">
        <f t="shared" si="2"/>
        <v>1126126</v>
      </c>
      <c r="M20" s="12">
        <f t="shared" si="2"/>
        <v>849456</v>
      </c>
      <c r="N20" s="12">
        <f t="shared" si="2"/>
        <v>16211659</v>
      </c>
      <c r="O20" s="29"/>
    </row>
    <row r="21" spans="1:44" s="6" customFormat="1">
      <c r="B21" s="7"/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</row>
    <row r="22" spans="1:44" s="6" customFormat="1" hidden="1">
      <c r="A22" s="13" t="s">
        <v>36</v>
      </c>
      <c r="B22" s="7"/>
      <c r="C22" s="7"/>
      <c r="D22" s="7"/>
      <c r="E22" s="7"/>
      <c r="F22" s="7"/>
      <c r="G22" s="7"/>
      <c r="H22" s="7"/>
      <c r="I22" s="7"/>
      <c r="J22" s="7"/>
      <c r="K22" s="7"/>
      <c r="L22" s="7"/>
      <c r="M22" s="7"/>
    </row>
    <row r="23" spans="1:44" s="6" customFormat="1" hidden="1">
      <c r="A23" s="6" t="s">
        <v>37</v>
      </c>
      <c r="B23" s="7">
        <f t="shared" ref="B23:M26" si="3">+B5-B16</f>
        <v>657561</v>
      </c>
      <c r="C23" s="7">
        <f t="shared" si="3"/>
        <v>1040927</v>
      </c>
      <c r="D23" s="7">
        <f t="shared" si="3"/>
        <v>2498611</v>
      </c>
      <c r="E23" s="7">
        <f t="shared" si="3"/>
        <v>2478798</v>
      </c>
      <c r="F23" s="7">
        <f t="shared" si="3"/>
        <v>1635010</v>
      </c>
      <c r="G23" s="7">
        <f t="shared" si="3"/>
        <v>1649978</v>
      </c>
      <c r="H23" s="7">
        <f t="shared" si="3"/>
        <v>1444269</v>
      </c>
      <c r="I23" s="7">
        <f t="shared" si="3"/>
        <v>2144481</v>
      </c>
      <c r="J23" s="7">
        <f t="shared" si="3"/>
        <v>2119863</v>
      </c>
      <c r="K23" s="7">
        <f t="shared" si="3"/>
        <v>1907887</v>
      </c>
      <c r="L23" s="7">
        <f t="shared" si="3"/>
        <v>1705385</v>
      </c>
      <c r="M23" s="7">
        <f t="shared" si="3"/>
        <v>610950</v>
      </c>
      <c r="N23" s="7">
        <f>SUM(B23:M23)</f>
        <v>19893720</v>
      </c>
      <c r="O23" s="29"/>
    </row>
    <row r="24" spans="1:44" s="6" customFormat="1" hidden="1">
      <c r="A24" s="6" t="s">
        <v>37</v>
      </c>
      <c r="B24" s="7">
        <f t="shared" si="3"/>
        <v>70448</v>
      </c>
      <c r="C24" s="7">
        <f t="shared" si="3"/>
        <v>71234</v>
      </c>
      <c r="D24" s="7">
        <f t="shared" si="3"/>
        <v>354577</v>
      </c>
      <c r="E24" s="7">
        <f t="shared" si="3"/>
        <v>106870</v>
      </c>
      <c r="F24" s="7">
        <f t="shared" si="3"/>
        <v>72743</v>
      </c>
      <c r="G24" s="7">
        <f t="shared" si="3"/>
        <v>153728</v>
      </c>
      <c r="H24" s="7">
        <f t="shared" si="3"/>
        <v>54728</v>
      </c>
      <c r="I24" s="7">
        <f t="shared" si="3"/>
        <v>85911</v>
      </c>
      <c r="J24" s="7">
        <f t="shared" si="3"/>
        <v>228813</v>
      </c>
      <c r="K24" s="7">
        <f t="shared" si="3"/>
        <v>89970</v>
      </c>
      <c r="L24" s="7">
        <f t="shared" si="3"/>
        <v>316808</v>
      </c>
      <c r="M24" s="7">
        <f t="shared" si="3"/>
        <v>118439</v>
      </c>
      <c r="N24" s="7">
        <f>SUM(B24:M24)</f>
        <v>1724269</v>
      </c>
      <c r="O24" s="29"/>
    </row>
    <row r="25" spans="1:44" s="6" customFormat="1" hidden="1">
      <c r="A25" s="6" t="s">
        <v>38</v>
      </c>
      <c r="B25" s="7">
        <f t="shared" si="3"/>
        <v>0</v>
      </c>
      <c r="C25" s="7">
        <f t="shared" si="3"/>
        <v>0</v>
      </c>
      <c r="D25" s="7">
        <f t="shared" si="3"/>
        <v>0</v>
      </c>
      <c r="E25" s="7">
        <f t="shared" si="3"/>
        <v>0</v>
      </c>
      <c r="F25" s="7">
        <f t="shared" si="3"/>
        <v>0</v>
      </c>
      <c r="G25" s="7">
        <f t="shared" si="3"/>
        <v>0</v>
      </c>
      <c r="H25" s="7">
        <f t="shared" si="3"/>
        <v>0</v>
      </c>
      <c r="I25" s="7">
        <f t="shared" si="3"/>
        <v>0</v>
      </c>
      <c r="J25" s="7">
        <f t="shared" si="3"/>
        <v>0</v>
      </c>
      <c r="K25" s="7">
        <f t="shared" si="3"/>
        <v>0</v>
      </c>
      <c r="L25" s="7">
        <f t="shared" si="3"/>
        <v>0</v>
      </c>
      <c r="M25" s="7">
        <f t="shared" si="3"/>
        <v>0</v>
      </c>
      <c r="N25" s="7">
        <f>SUM(B25:M25)</f>
        <v>0</v>
      </c>
      <c r="O25" s="29"/>
    </row>
    <row r="26" spans="1:44" s="6" customFormat="1" hidden="1">
      <c r="A26" s="6" t="s">
        <v>38</v>
      </c>
      <c r="B26" s="15">
        <f t="shared" si="3"/>
        <v>0</v>
      </c>
      <c r="C26" s="15">
        <f t="shared" si="3"/>
        <v>0</v>
      </c>
      <c r="D26" s="15">
        <f t="shared" si="3"/>
        <v>0</v>
      </c>
      <c r="E26" s="15">
        <f t="shared" si="3"/>
        <v>0</v>
      </c>
      <c r="F26" s="15">
        <f t="shared" si="3"/>
        <v>0</v>
      </c>
      <c r="G26" s="15">
        <f t="shared" si="3"/>
        <v>0</v>
      </c>
      <c r="H26" s="15">
        <f t="shared" si="3"/>
        <v>0</v>
      </c>
      <c r="I26" s="15">
        <f t="shared" si="3"/>
        <v>0</v>
      </c>
      <c r="J26" s="15">
        <f t="shared" si="3"/>
        <v>0</v>
      </c>
      <c r="K26" s="15">
        <f t="shared" si="3"/>
        <v>0</v>
      </c>
      <c r="L26" s="15">
        <f t="shared" si="3"/>
        <v>0</v>
      </c>
      <c r="M26" s="15">
        <f t="shared" si="3"/>
        <v>0</v>
      </c>
      <c r="N26" s="15">
        <f>SUM(B26:M26)</f>
        <v>0</v>
      </c>
      <c r="O26" s="29"/>
    </row>
    <row r="27" spans="1:44" s="6" customFormat="1">
      <c r="A27" s="13" t="s">
        <v>39</v>
      </c>
      <c r="B27" s="12">
        <f t="shared" ref="B27:N27" si="4">SUM(B23:B26)</f>
        <v>728009</v>
      </c>
      <c r="C27" s="12">
        <f t="shared" si="4"/>
        <v>1112161</v>
      </c>
      <c r="D27" s="12">
        <f t="shared" si="4"/>
        <v>2853188</v>
      </c>
      <c r="E27" s="12">
        <f t="shared" si="4"/>
        <v>2585668</v>
      </c>
      <c r="F27" s="12">
        <f t="shared" si="4"/>
        <v>1707753</v>
      </c>
      <c r="G27" s="12">
        <f t="shared" si="4"/>
        <v>1803706</v>
      </c>
      <c r="H27" s="12">
        <f t="shared" si="4"/>
        <v>1498997</v>
      </c>
      <c r="I27" s="12">
        <f t="shared" si="4"/>
        <v>2230392</v>
      </c>
      <c r="J27" s="12">
        <f t="shared" si="4"/>
        <v>2348676</v>
      </c>
      <c r="K27" s="12">
        <f t="shared" si="4"/>
        <v>1997857</v>
      </c>
      <c r="L27" s="12">
        <f t="shared" si="4"/>
        <v>2022193</v>
      </c>
      <c r="M27" s="12">
        <f>SUM(M23:M26)</f>
        <v>729389</v>
      </c>
      <c r="N27" s="12">
        <f t="shared" si="4"/>
        <v>21617989</v>
      </c>
      <c r="O27" s="29"/>
    </row>
    <row r="28" spans="1:44" s="6" customFormat="1" ht="14.45" customHeight="1">
      <c r="B28" s="7"/>
      <c r="C28" s="7"/>
      <c r="D28" s="7"/>
      <c r="E28" s="7"/>
      <c r="F28" s="7"/>
      <c r="G28" s="7"/>
      <c r="H28" s="7"/>
      <c r="I28" s="7"/>
      <c r="J28" s="7"/>
      <c r="K28" s="7"/>
      <c r="L28" s="7"/>
      <c r="M28" s="7"/>
    </row>
    <row r="29" spans="1:44" s="6" customFormat="1" hidden="1">
      <c r="A29" s="13" t="s">
        <v>40</v>
      </c>
      <c r="B29" s="7"/>
      <c r="C29" s="7"/>
      <c r="D29" s="7"/>
      <c r="E29" s="7"/>
      <c r="F29" s="7"/>
      <c r="G29" s="7"/>
      <c r="H29" s="7"/>
      <c r="I29" s="7"/>
      <c r="J29" s="7"/>
      <c r="K29" s="7"/>
      <c r="L29" s="7"/>
      <c r="M29" s="7"/>
    </row>
    <row r="30" spans="1:44" s="6" customFormat="1" hidden="1">
      <c r="A30" s="6" t="s">
        <v>93</v>
      </c>
      <c r="B30" s="53">
        <v>415779</v>
      </c>
      <c r="C30" s="53">
        <v>561495</v>
      </c>
      <c r="D30" s="53">
        <v>667038</v>
      </c>
      <c r="E30" s="53">
        <v>779433</v>
      </c>
      <c r="F30" s="53">
        <v>605087</v>
      </c>
      <c r="G30" s="53">
        <v>598355</v>
      </c>
      <c r="H30" s="53">
        <v>602418</v>
      </c>
      <c r="I30" s="53">
        <v>684805</v>
      </c>
      <c r="J30" s="53">
        <v>688935</v>
      </c>
      <c r="K30" s="53">
        <v>755862</v>
      </c>
      <c r="L30" s="53">
        <v>642868</v>
      </c>
      <c r="M30" s="53">
        <v>459430</v>
      </c>
      <c r="N30" s="7">
        <f>SUM(B30:M30)</f>
        <v>7461505</v>
      </c>
      <c r="O30" s="29"/>
    </row>
    <row r="31" spans="1:44" s="6" customFormat="1" hidden="1">
      <c r="A31" s="6" t="s">
        <v>42</v>
      </c>
      <c r="B31" s="53">
        <v>245383</v>
      </c>
      <c r="C31" s="53">
        <v>212042</v>
      </c>
      <c r="D31" s="53">
        <v>196794</v>
      </c>
      <c r="E31" s="53">
        <v>227112</v>
      </c>
      <c r="F31" s="53">
        <v>192649</v>
      </c>
      <c r="G31" s="53">
        <v>192611</v>
      </c>
      <c r="H31" s="53">
        <v>210145</v>
      </c>
      <c r="I31" s="53">
        <v>198285</v>
      </c>
      <c r="J31" s="53">
        <v>198545</v>
      </c>
      <c r="K31" s="53">
        <v>226530</v>
      </c>
      <c r="L31" s="53">
        <v>194439</v>
      </c>
      <c r="M31" s="53">
        <v>198004</v>
      </c>
      <c r="N31" s="7">
        <f>SUM(B31:M31)</f>
        <v>2492539</v>
      </c>
      <c r="O31" s="29"/>
    </row>
    <row r="32" spans="1:44" s="6" customFormat="1" ht="15" hidden="1">
      <c r="A32" s="6" t="s">
        <v>38</v>
      </c>
      <c r="B32" s="68"/>
      <c r="C32" s="68"/>
      <c r="D32" s="68"/>
      <c r="E32" s="68"/>
      <c r="F32" s="68"/>
      <c r="G32" s="68"/>
      <c r="H32" s="68"/>
      <c r="I32" s="68"/>
      <c r="J32" s="68"/>
      <c r="K32" s="68"/>
      <c r="L32" s="68"/>
      <c r="M32" s="68"/>
      <c r="N32" s="7">
        <f>SUM(B32:M32)</f>
        <v>0</v>
      </c>
      <c r="O32" s="29"/>
      <c r="P32" s="6">
        <f>+B32*-1</f>
        <v>0</v>
      </c>
      <c r="Q32" s="6">
        <f t="shared" ref="Q32:AF33" si="5">+C32*-1</f>
        <v>0</v>
      </c>
      <c r="R32" s="6">
        <f t="shared" si="5"/>
        <v>0</v>
      </c>
      <c r="S32" s="6">
        <f t="shared" si="5"/>
        <v>0</v>
      </c>
      <c r="T32" s="6">
        <f t="shared" si="5"/>
        <v>0</v>
      </c>
      <c r="U32" s="6">
        <f t="shared" si="5"/>
        <v>0</v>
      </c>
      <c r="V32" s="6">
        <f t="shared" si="5"/>
        <v>0</v>
      </c>
      <c r="W32" s="6">
        <f t="shared" si="5"/>
        <v>0</v>
      </c>
      <c r="X32" s="6">
        <f t="shared" si="5"/>
        <v>0</v>
      </c>
      <c r="Y32" s="6">
        <f t="shared" si="5"/>
        <v>0</v>
      </c>
      <c r="Z32" s="6">
        <f t="shared" si="5"/>
        <v>0</v>
      </c>
      <c r="AA32" s="6">
        <f t="shared" si="5"/>
        <v>0</v>
      </c>
      <c r="AB32" s="6">
        <f t="shared" si="5"/>
        <v>0</v>
      </c>
      <c r="AC32" s="6">
        <f t="shared" si="5"/>
        <v>0</v>
      </c>
      <c r="AD32" s="6">
        <f t="shared" si="5"/>
        <v>0</v>
      </c>
      <c r="AE32" s="6">
        <f t="shared" si="5"/>
        <v>0</v>
      </c>
      <c r="AF32" s="6">
        <f t="shared" si="5"/>
        <v>0</v>
      </c>
      <c r="AG32" s="6">
        <f t="shared" ref="AG32:AR33" si="6">+S32*-1</f>
        <v>0</v>
      </c>
      <c r="AH32" s="6">
        <f t="shared" si="6"/>
        <v>0</v>
      </c>
      <c r="AI32" s="6">
        <f t="shared" si="6"/>
        <v>0</v>
      </c>
      <c r="AJ32" s="6">
        <f t="shared" si="6"/>
        <v>0</v>
      </c>
      <c r="AK32" s="6">
        <f t="shared" si="6"/>
        <v>0</v>
      </c>
      <c r="AL32" s="6">
        <f t="shared" si="6"/>
        <v>0</v>
      </c>
      <c r="AM32" s="6">
        <f t="shared" si="6"/>
        <v>0</v>
      </c>
      <c r="AN32" s="6">
        <f t="shared" si="6"/>
        <v>0</v>
      </c>
      <c r="AO32" s="6">
        <f t="shared" si="6"/>
        <v>0</v>
      </c>
      <c r="AP32" s="6">
        <f t="shared" si="6"/>
        <v>0</v>
      </c>
      <c r="AQ32" s="6">
        <f t="shared" si="6"/>
        <v>0</v>
      </c>
      <c r="AR32" s="6">
        <f t="shared" si="6"/>
        <v>0</v>
      </c>
    </row>
    <row r="33" spans="1:44" s="6" customFormat="1" hidden="1">
      <c r="B33" s="15"/>
      <c r="C33" s="15"/>
      <c r="D33" s="15"/>
      <c r="E33" s="15"/>
      <c r="F33" s="15"/>
      <c r="G33" s="15"/>
      <c r="H33" s="15"/>
      <c r="I33" s="15"/>
      <c r="J33" s="15"/>
      <c r="K33" s="15"/>
      <c r="L33" s="15"/>
      <c r="M33" s="15"/>
      <c r="N33" s="15">
        <f>SUM(B33:M33)</f>
        <v>0</v>
      </c>
      <c r="O33" s="29"/>
      <c r="Q33" s="6">
        <f t="shared" si="5"/>
        <v>0</v>
      </c>
      <c r="R33" s="6">
        <f t="shared" si="5"/>
        <v>0</v>
      </c>
      <c r="S33" s="6">
        <f t="shared" si="5"/>
        <v>0</v>
      </c>
      <c r="T33" s="6">
        <f t="shared" si="5"/>
        <v>0</v>
      </c>
      <c r="U33" s="6">
        <f t="shared" si="5"/>
        <v>0</v>
      </c>
      <c r="V33" s="6">
        <f t="shared" si="5"/>
        <v>0</v>
      </c>
      <c r="W33" s="6">
        <f t="shared" si="5"/>
        <v>0</v>
      </c>
      <c r="X33" s="6">
        <f t="shared" si="5"/>
        <v>0</v>
      </c>
      <c r="Y33" s="6">
        <f t="shared" si="5"/>
        <v>0</v>
      </c>
      <c r="Z33" s="6">
        <f t="shared" si="5"/>
        <v>0</v>
      </c>
      <c r="AA33" s="6">
        <f t="shared" si="5"/>
        <v>0</v>
      </c>
      <c r="AB33" s="6">
        <f t="shared" si="5"/>
        <v>0</v>
      </c>
      <c r="AC33" s="6">
        <f t="shared" si="5"/>
        <v>0</v>
      </c>
      <c r="AD33" s="6">
        <f t="shared" si="5"/>
        <v>0</v>
      </c>
      <c r="AE33" s="6">
        <f t="shared" si="5"/>
        <v>0</v>
      </c>
      <c r="AF33" s="6">
        <f t="shared" si="5"/>
        <v>0</v>
      </c>
      <c r="AG33" s="6">
        <f t="shared" si="6"/>
        <v>0</v>
      </c>
      <c r="AH33" s="6">
        <f t="shared" si="6"/>
        <v>0</v>
      </c>
      <c r="AI33" s="6">
        <f t="shared" si="6"/>
        <v>0</v>
      </c>
      <c r="AJ33" s="6">
        <f t="shared" si="6"/>
        <v>0</v>
      </c>
      <c r="AK33" s="6">
        <f t="shared" si="6"/>
        <v>0</v>
      </c>
      <c r="AL33" s="6">
        <f t="shared" si="6"/>
        <v>0</v>
      </c>
      <c r="AM33" s="6">
        <f t="shared" si="6"/>
        <v>0</v>
      </c>
      <c r="AN33" s="6">
        <f t="shared" si="6"/>
        <v>0</v>
      </c>
      <c r="AO33" s="6">
        <f t="shared" si="6"/>
        <v>0</v>
      </c>
      <c r="AP33" s="6">
        <f t="shared" si="6"/>
        <v>0</v>
      </c>
      <c r="AQ33" s="6">
        <f t="shared" si="6"/>
        <v>0</v>
      </c>
      <c r="AR33" s="6">
        <f t="shared" si="6"/>
        <v>0</v>
      </c>
    </row>
    <row r="34" spans="1:44" s="6" customFormat="1">
      <c r="A34" s="13" t="s">
        <v>43</v>
      </c>
      <c r="B34" s="12">
        <f t="shared" ref="B34:N34" si="7">SUM(B30:B33)</f>
        <v>661162</v>
      </c>
      <c r="C34" s="12">
        <f t="shared" si="7"/>
        <v>773537</v>
      </c>
      <c r="D34" s="12">
        <f t="shared" si="7"/>
        <v>863832</v>
      </c>
      <c r="E34" s="12">
        <f t="shared" si="7"/>
        <v>1006545</v>
      </c>
      <c r="F34" s="12">
        <f t="shared" si="7"/>
        <v>797736</v>
      </c>
      <c r="G34" s="12">
        <f t="shared" si="7"/>
        <v>790966</v>
      </c>
      <c r="H34" s="12">
        <f t="shared" si="7"/>
        <v>812563</v>
      </c>
      <c r="I34" s="12">
        <f t="shared" si="7"/>
        <v>883090</v>
      </c>
      <c r="J34" s="12">
        <f t="shared" si="7"/>
        <v>887480</v>
      </c>
      <c r="K34" s="12">
        <f t="shared" si="7"/>
        <v>982392</v>
      </c>
      <c r="L34" s="12">
        <f t="shared" si="7"/>
        <v>837307</v>
      </c>
      <c r="M34" s="12">
        <f t="shared" si="7"/>
        <v>657434</v>
      </c>
      <c r="N34" s="12">
        <f t="shared" si="7"/>
        <v>9954044</v>
      </c>
      <c r="O34" s="29"/>
    </row>
    <row r="35" spans="1:44" s="6" customFormat="1">
      <c r="B35" s="7"/>
      <c r="C35" s="7"/>
      <c r="D35" s="7"/>
      <c r="E35" s="7"/>
      <c r="F35" s="7"/>
      <c r="G35" s="7"/>
      <c r="H35" s="7"/>
      <c r="I35" s="7"/>
      <c r="J35" s="7"/>
      <c r="K35" s="7"/>
      <c r="L35" s="7"/>
      <c r="M35" s="7"/>
    </row>
    <row r="36" spans="1:44" s="6" customFormat="1" hidden="1">
      <c r="A36" s="13" t="s">
        <v>44</v>
      </c>
      <c r="B36" s="7"/>
      <c r="C36" s="7"/>
      <c r="D36" s="7"/>
      <c r="E36" s="7"/>
      <c r="F36" s="7"/>
      <c r="G36" s="7"/>
      <c r="H36" s="7"/>
      <c r="I36" s="7"/>
      <c r="J36" s="7"/>
      <c r="K36" s="7"/>
      <c r="L36" s="7"/>
      <c r="M36" s="7"/>
    </row>
    <row r="37" spans="1:44" s="6" customFormat="1" hidden="1">
      <c r="A37" s="6" t="s">
        <v>45</v>
      </c>
      <c r="B37" s="53">
        <v>1168701</v>
      </c>
      <c r="C37" s="53">
        <v>1244422</v>
      </c>
      <c r="D37" s="53">
        <v>1461507</v>
      </c>
      <c r="E37" s="53">
        <v>1790911</v>
      </c>
      <c r="F37" s="53">
        <v>1394318</v>
      </c>
      <c r="G37" s="66">
        <v>1406377</v>
      </c>
      <c r="H37" s="66">
        <v>1275000</v>
      </c>
      <c r="I37" s="66">
        <v>1496169</v>
      </c>
      <c r="J37" s="66">
        <v>1531501</v>
      </c>
      <c r="K37" s="53">
        <v>1582030</v>
      </c>
      <c r="L37" s="53">
        <v>1425841</v>
      </c>
      <c r="M37" s="53">
        <v>1274220</v>
      </c>
      <c r="N37" s="7">
        <f>SUM(B37:M37)</f>
        <v>17050997</v>
      </c>
      <c r="O37" s="29"/>
      <c r="P37" s="69"/>
    </row>
    <row r="38" spans="1:44" s="6" customFormat="1" hidden="1">
      <c r="A38" s="6" t="s">
        <v>46</v>
      </c>
      <c r="B38" s="7">
        <f>-B34</f>
        <v>-661162</v>
      </c>
      <c r="C38" s="7">
        <f t="shared" ref="C38:M38" si="8">-C34</f>
        <v>-773537</v>
      </c>
      <c r="D38" s="7">
        <f t="shared" si="8"/>
        <v>-863832</v>
      </c>
      <c r="E38" s="7">
        <f t="shared" si="8"/>
        <v>-1006545</v>
      </c>
      <c r="F38" s="7">
        <f t="shared" si="8"/>
        <v>-797736</v>
      </c>
      <c r="G38" s="7">
        <f t="shared" si="8"/>
        <v>-790966</v>
      </c>
      <c r="H38" s="7">
        <f t="shared" si="8"/>
        <v>-812563</v>
      </c>
      <c r="I38" s="7">
        <f t="shared" si="8"/>
        <v>-883090</v>
      </c>
      <c r="J38" s="7">
        <f t="shared" si="8"/>
        <v>-887480</v>
      </c>
      <c r="K38" s="7">
        <f t="shared" si="8"/>
        <v>-982392</v>
      </c>
      <c r="L38" s="7">
        <f t="shared" si="8"/>
        <v>-837307</v>
      </c>
      <c r="M38" s="7">
        <f t="shared" si="8"/>
        <v>-657434</v>
      </c>
      <c r="N38" s="7">
        <f>SUM(B38:M38)</f>
        <v>-9954044</v>
      </c>
      <c r="O38" s="29"/>
    </row>
    <row r="39" spans="1:44" s="6" customFormat="1" hidden="1">
      <c r="A39" s="6" t="s">
        <v>47</v>
      </c>
      <c r="B39" s="72">
        <v>-77886</v>
      </c>
      <c r="C39" s="72">
        <v>-77317</v>
      </c>
      <c r="D39" s="72">
        <v>-79025</v>
      </c>
      <c r="E39" s="72">
        <v>-81090</v>
      </c>
      <c r="F39" s="72">
        <v>-81090</v>
      </c>
      <c r="G39" s="72">
        <v>-81079</v>
      </c>
      <c r="H39" s="72">
        <v>-89229</v>
      </c>
      <c r="I39" s="72">
        <v>-88964</v>
      </c>
      <c r="J39" s="72">
        <v>-88964</v>
      </c>
      <c r="K39" s="72">
        <v>-88563</v>
      </c>
      <c r="L39" s="72">
        <v>-97279</v>
      </c>
      <c r="M39" s="72">
        <v>-97277</v>
      </c>
      <c r="N39" s="7">
        <f>SUM(B39:M39)</f>
        <v>-1027763</v>
      </c>
      <c r="O39" s="29"/>
    </row>
    <row r="40" spans="1:44" s="6" customFormat="1" hidden="1">
      <c r="A40" s="6" t="s">
        <v>78</v>
      </c>
      <c r="B40" s="53"/>
      <c r="C40" s="53"/>
      <c r="D40" s="53"/>
      <c r="E40" s="53"/>
      <c r="F40" s="53"/>
      <c r="G40" s="53"/>
      <c r="H40" s="53"/>
      <c r="I40" s="53"/>
      <c r="J40" s="53"/>
      <c r="K40" s="53"/>
      <c r="L40" s="53"/>
      <c r="M40" s="53"/>
      <c r="N40" s="7">
        <f>SUM(B40:M40)</f>
        <v>0</v>
      </c>
      <c r="O40" s="29"/>
    </row>
    <row r="41" spans="1:44" s="6" customFormat="1" hidden="1">
      <c r="A41" s="6" t="s">
        <v>48</v>
      </c>
      <c r="B41" s="60">
        <v>-8350</v>
      </c>
      <c r="C41" s="60">
        <v>-8250</v>
      </c>
      <c r="D41" s="60">
        <v>-8350</v>
      </c>
      <c r="E41" s="60">
        <v>-8350</v>
      </c>
      <c r="F41" s="60">
        <v>-8350</v>
      </c>
      <c r="G41" s="60">
        <v>-8350</v>
      </c>
      <c r="H41" s="60">
        <v>-8350</v>
      </c>
      <c r="I41" s="60">
        <v>-8350</v>
      </c>
      <c r="J41" s="60">
        <v>-8350</v>
      </c>
      <c r="K41" s="60">
        <v>-8350</v>
      </c>
      <c r="L41" s="60">
        <v>-8350</v>
      </c>
      <c r="M41" s="60">
        <v>-30300</v>
      </c>
      <c r="N41" s="15">
        <f>SUM(B41:M41)</f>
        <v>-122050</v>
      </c>
      <c r="O41" s="29"/>
    </row>
    <row r="42" spans="1:44" s="6" customFormat="1">
      <c r="A42" s="13" t="s">
        <v>49</v>
      </c>
      <c r="B42" s="12">
        <f t="shared" ref="B42:N42" si="9">SUM(B37:B41)</f>
        <v>421303</v>
      </c>
      <c r="C42" s="12">
        <f t="shared" si="9"/>
        <v>385318</v>
      </c>
      <c r="D42" s="12">
        <f t="shared" si="9"/>
        <v>510300</v>
      </c>
      <c r="E42" s="12">
        <f t="shared" si="9"/>
        <v>694926</v>
      </c>
      <c r="F42" s="12">
        <f t="shared" si="9"/>
        <v>507142</v>
      </c>
      <c r="G42" s="12">
        <f t="shared" si="9"/>
        <v>525982</v>
      </c>
      <c r="H42" s="12">
        <f t="shared" si="9"/>
        <v>364858</v>
      </c>
      <c r="I42" s="12">
        <f t="shared" si="9"/>
        <v>515765</v>
      </c>
      <c r="J42" s="12">
        <f t="shared" si="9"/>
        <v>546707</v>
      </c>
      <c r="K42" s="12">
        <f t="shared" si="9"/>
        <v>502725</v>
      </c>
      <c r="L42" s="12">
        <f t="shared" si="9"/>
        <v>482905</v>
      </c>
      <c r="M42" s="12">
        <f t="shared" si="9"/>
        <v>489209</v>
      </c>
      <c r="N42" s="12">
        <f t="shared" si="9"/>
        <v>5947140</v>
      </c>
      <c r="O42" s="29"/>
    </row>
    <row r="43" spans="1:44">
      <c r="A43" s="1"/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2"/>
      <c r="N43" s="12"/>
      <c r="O43" s="6"/>
    </row>
    <row r="44" spans="1:44" hidden="1">
      <c r="A44" s="13" t="s">
        <v>50</v>
      </c>
      <c r="B44" s="53">
        <v>296581</v>
      </c>
      <c r="C44" s="53">
        <v>244043</v>
      </c>
      <c r="D44" s="53">
        <v>341075</v>
      </c>
      <c r="E44" s="53">
        <v>362175</v>
      </c>
      <c r="F44" s="53">
        <v>398914</v>
      </c>
      <c r="G44" s="53">
        <v>307622</v>
      </c>
      <c r="H44" s="53">
        <v>357356</v>
      </c>
      <c r="I44" s="53">
        <v>287747</v>
      </c>
      <c r="J44" s="53">
        <v>322520</v>
      </c>
      <c r="K44" s="53">
        <v>378879</v>
      </c>
      <c r="L44" s="53">
        <v>307614</v>
      </c>
      <c r="M44" s="53">
        <v>705082</v>
      </c>
      <c r="N44" s="12">
        <f>SUM(B44:M44)</f>
        <v>4309608</v>
      </c>
      <c r="O44" s="29"/>
    </row>
    <row r="45" spans="1:44" hidden="1">
      <c r="A45" s="6" t="s">
        <v>51</v>
      </c>
      <c r="B45" s="22"/>
      <c r="C45" s="22"/>
      <c r="D45" s="22"/>
      <c r="E45" s="22"/>
      <c r="F45" s="22"/>
      <c r="G45" s="22"/>
      <c r="H45" s="22"/>
      <c r="I45" s="22"/>
      <c r="J45" s="22"/>
      <c r="K45" s="22"/>
      <c r="L45" s="22"/>
      <c r="M45" s="22"/>
      <c r="N45" s="22">
        <f>SUM(B45:M45)</f>
        <v>0</v>
      </c>
      <c r="O45" s="29"/>
    </row>
    <row r="46" spans="1:44">
      <c r="A46" s="1" t="s">
        <v>50</v>
      </c>
      <c r="B46" s="12">
        <f>SUM(B44:B45)</f>
        <v>296581</v>
      </c>
      <c r="C46" s="12">
        <f>SUM(C44:C45)</f>
        <v>244043</v>
      </c>
      <c r="D46" s="12">
        <f t="shared" ref="D46:N46" si="10">SUM(D44:D45)</f>
        <v>341075</v>
      </c>
      <c r="E46" s="12">
        <f t="shared" si="10"/>
        <v>362175</v>
      </c>
      <c r="F46" s="12">
        <f t="shared" si="10"/>
        <v>398914</v>
      </c>
      <c r="G46" s="12">
        <f t="shared" si="10"/>
        <v>307622</v>
      </c>
      <c r="H46" s="12">
        <f t="shared" si="10"/>
        <v>357356</v>
      </c>
      <c r="I46" s="12">
        <f t="shared" si="10"/>
        <v>287747</v>
      </c>
      <c r="J46" s="12">
        <f t="shared" si="10"/>
        <v>322520</v>
      </c>
      <c r="K46" s="12">
        <f t="shared" si="10"/>
        <v>378879</v>
      </c>
      <c r="L46" s="12">
        <f t="shared" si="10"/>
        <v>307614</v>
      </c>
      <c r="M46" s="12">
        <f t="shared" si="10"/>
        <v>705082</v>
      </c>
      <c r="N46" s="12">
        <f t="shared" si="10"/>
        <v>4309608</v>
      </c>
      <c r="O46" s="29"/>
    </row>
    <row r="47" spans="1:44">
      <c r="B47" s="7"/>
      <c r="C47" s="7"/>
      <c r="D47" s="7"/>
      <c r="E47" s="7"/>
      <c r="F47" s="7"/>
      <c r="G47" s="7"/>
      <c r="H47" s="7"/>
      <c r="I47" s="7"/>
      <c r="J47" s="7"/>
      <c r="K47" s="6"/>
      <c r="L47" s="6"/>
      <c r="M47" s="6"/>
      <c r="N47" s="6"/>
      <c r="O47" s="6"/>
    </row>
    <row r="48" spans="1:44">
      <c r="A48" s="13" t="s">
        <v>52</v>
      </c>
      <c r="B48" s="19">
        <f t="shared" ref="B48:N48" si="11">+B20+B34+B42+B46</f>
        <v>1823521</v>
      </c>
      <c r="C48" s="19">
        <f t="shared" si="11"/>
        <v>2865946</v>
      </c>
      <c r="D48" s="19">
        <f t="shared" si="11"/>
        <v>4457674</v>
      </c>
      <c r="E48" s="19">
        <f t="shared" si="11"/>
        <v>3381160</v>
      </c>
      <c r="F48" s="19">
        <f t="shared" si="11"/>
        <v>2659216</v>
      </c>
      <c r="G48" s="19">
        <f t="shared" si="11"/>
        <v>2678842</v>
      </c>
      <c r="H48" s="19">
        <f t="shared" si="11"/>
        <v>3875919</v>
      </c>
      <c r="I48" s="19">
        <f t="shared" si="11"/>
        <v>3297946</v>
      </c>
      <c r="J48" s="19">
        <f t="shared" si="11"/>
        <v>2972629</v>
      </c>
      <c r="K48" s="19">
        <f t="shared" si="11"/>
        <v>2954465</v>
      </c>
      <c r="L48" s="19">
        <f t="shared" si="11"/>
        <v>2753952</v>
      </c>
      <c r="M48" s="19">
        <f t="shared" si="11"/>
        <v>2701181</v>
      </c>
      <c r="N48" s="19">
        <f t="shared" si="11"/>
        <v>36422451</v>
      </c>
      <c r="O48" s="29"/>
    </row>
    <row r="49" spans="1:17">
      <c r="B49" s="7"/>
      <c r="C49" s="7"/>
      <c r="D49" s="7"/>
      <c r="E49" s="7"/>
      <c r="F49" s="7"/>
      <c r="G49" s="7"/>
      <c r="H49" s="7"/>
      <c r="I49" s="7"/>
      <c r="J49" s="7"/>
      <c r="K49" s="6"/>
      <c r="L49" s="6"/>
      <c r="M49" s="6"/>
      <c r="N49" s="6"/>
      <c r="O49" s="6"/>
    </row>
    <row r="50" spans="1:17">
      <c r="A50" s="1" t="s">
        <v>53</v>
      </c>
      <c r="B50" s="12">
        <f t="shared" ref="B50:M50" si="12">+B13-B48</f>
        <v>-563897</v>
      </c>
      <c r="C50" s="12">
        <f t="shared" si="12"/>
        <v>-292069</v>
      </c>
      <c r="D50" s="12">
        <f t="shared" si="12"/>
        <v>1137981</v>
      </c>
      <c r="E50" s="12">
        <f t="shared" si="12"/>
        <v>522022</v>
      </c>
      <c r="F50" s="12">
        <f t="shared" si="12"/>
        <v>3961</v>
      </c>
      <c r="G50" s="12">
        <f t="shared" si="12"/>
        <v>179136</v>
      </c>
      <c r="H50" s="12">
        <f t="shared" si="12"/>
        <v>-35780</v>
      </c>
      <c r="I50" s="12">
        <f t="shared" si="12"/>
        <v>543790</v>
      </c>
      <c r="J50" s="12">
        <f t="shared" si="12"/>
        <v>591969</v>
      </c>
      <c r="K50" s="12">
        <f t="shared" si="12"/>
        <v>133861</v>
      </c>
      <c r="L50" s="12">
        <f t="shared" si="12"/>
        <v>394367</v>
      </c>
      <c r="M50" s="12">
        <f t="shared" si="12"/>
        <v>-1122336</v>
      </c>
      <c r="N50" s="12">
        <f>SUM(B50:M50)</f>
        <v>1493005</v>
      </c>
      <c r="O50" s="6"/>
      <c r="P50" s="25"/>
    </row>
    <row r="51" spans="1:17" ht="7.5" customHeight="1">
      <c r="B51" s="7"/>
      <c r="C51" s="7"/>
      <c r="D51" s="7"/>
      <c r="E51" s="7"/>
      <c r="F51" s="7"/>
      <c r="G51" s="7"/>
      <c r="H51" s="7"/>
      <c r="I51" s="7"/>
      <c r="J51" s="7"/>
      <c r="K51" s="6"/>
      <c r="L51" s="6"/>
      <c r="M51" s="6"/>
      <c r="N51" s="6"/>
      <c r="O51" s="6"/>
    </row>
    <row r="52" spans="1:17">
      <c r="A52" s="1" t="s">
        <v>54</v>
      </c>
      <c r="B52" s="7"/>
      <c r="C52" s="7"/>
      <c r="D52" s="7"/>
      <c r="E52" s="7"/>
      <c r="F52" s="7"/>
      <c r="G52" s="7"/>
      <c r="H52" s="7"/>
      <c r="I52" s="7"/>
      <c r="J52" s="7"/>
      <c r="K52" s="6"/>
      <c r="L52" s="6"/>
      <c r="M52" s="6"/>
      <c r="N52" s="6"/>
      <c r="O52" s="6"/>
    </row>
    <row r="53" spans="1:17" s="6" customFormat="1">
      <c r="A53" s="6" t="s">
        <v>55</v>
      </c>
      <c r="B53" s="10">
        <v>101289</v>
      </c>
      <c r="C53" s="10">
        <v>230379</v>
      </c>
      <c r="D53" s="10">
        <v>0</v>
      </c>
      <c r="E53" s="10">
        <v>171500</v>
      </c>
      <c r="F53" s="10">
        <v>137500</v>
      </c>
      <c r="G53" s="10">
        <v>120200</v>
      </c>
      <c r="H53" s="23">
        <v>116000</v>
      </c>
      <c r="I53" s="10">
        <v>265000</v>
      </c>
      <c r="J53" s="10">
        <v>0</v>
      </c>
      <c r="K53" s="10">
        <v>192250</v>
      </c>
      <c r="L53" s="10">
        <v>243000</v>
      </c>
      <c r="M53" s="10">
        <v>275000</v>
      </c>
      <c r="N53" s="10">
        <f>SUM(B53:M53)</f>
        <v>1852118</v>
      </c>
      <c r="P53" s="40"/>
    </row>
    <row r="54" spans="1:17" s="6" customFormat="1">
      <c r="A54" s="6" t="s">
        <v>96</v>
      </c>
      <c r="B54" s="10"/>
      <c r="C54" s="10"/>
      <c r="D54" s="10"/>
      <c r="E54" s="10"/>
      <c r="F54" s="10">
        <v>95000</v>
      </c>
      <c r="G54" s="10"/>
      <c r="H54" s="10"/>
      <c r="I54" s="10"/>
      <c r="J54" s="10"/>
      <c r="K54" s="10"/>
      <c r="L54" s="10"/>
      <c r="M54" s="10"/>
      <c r="N54" s="10">
        <f>SUM(B54:M54)</f>
        <v>95000</v>
      </c>
      <c r="P54" s="7"/>
      <c r="Q54" s="6">
        <v>0</v>
      </c>
    </row>
    <row r="55" spans="1:17" s="6" customFormat="1">
      <c r="A55" s="6" t="s">
        <v>97</v>
      </c>
      <c r="B55" s="10">
        <f>276228+184</f>
        <v>276412</v>
      </c>
      <c r="C55" s="10"/>
      <c r="D55" s="10"/>
      <c r="E55" s="10"/>
      <c r="F55" s="10"/>
      <c r="G55" s="10"/>
      <c r="H55" s="10"/>
      <c r="I55" s="10"/>
      <c r="J55" s="10"/>
      <c r="K55" s="10"/>
      <c r="L55" s="10">
        <v>0</v>
      </c>
      <c r="M55" s="10">
        <v>0</v>
      </c>
      <c r="N55" s="10">
        <f>SUM(B55:M55)</f>
        <v>276412</v>
      </c>
      <c r="P55" s="7"/>
    </row>
    <row r="56" spans="1:17" s="6" customFormat="1">
      <c r="A56" s="37" t="s">
        <v>58</v>
      </c>
      <c r="B56" s="7">
        <v>-12589</v>
      </c>
      <c r="C56" s="7">
        <v>-11612</v>
      </c>
      <c r="D56" s="7">
        <v>-12500</v>
      </c>
      <c r="E56" s="7">
        <v>-12500</v>
      </c>
      <c r="F56" s="7">
        <v>-12500</v>
      </c>
      <c r="G56" s="7">
        <v>-12500</v>
      </c>
      <c r="H56" s="10">
        <v>-12500</v>
      </c>
      <c r="I56" s="7">
        <v>-12500</v>
      </c>
      <c r="J56" s="7">
        <v>-12500</v>
      </c>
      <c r="K56" s="7">
        <v>-12500</v>
      </c>
      <c r="L56" s="7">
        <v>-12500</v>
      </c>
      <c r="M56" s="7">
        <v>-12500</v>
      </c>
      <c r="N56" s="7">
        <f>SUM(B56:M56)</f>
        <v>-149201</v>
      </c>
      <c r="P56" s="56"/>
    </row>
    <row r="57" spans="1:17" s="6" customFormat="1">
      <c r="A57" s="6" t="s">
        <v>59</v>
      </c>
      <c r="B57" s="22">
        <v>-187388</v>
      </c>
      <c r="C57" s="22">
        <v>-40876</v>
      </c>
      <c r="D57" s="22">
        <v>-25000</v>
      </c>
      <c r="E57" s="22">
        <v>-25000</v>
      </c>
      <c r="F57" s="22">
        <v>-25000</v>
      </c>
      <c r="G57" s="22">
        <v>-25000</v>
      </c>
      <c r="H57" s="10">
        <v>-25000</v>
      </c>
      <c r="I57" s="22">
        <v>-25000</v>
      </c>
      <c r="J57" s="22">
        <v>-25000</v>
      </c>
      <c r="K57" s="22">
        <v>-25000</v>
      </c>
      <c r="L57" s="22">
        <v>-25000</v>
      </c>
      <c r="M57" s="22">
        <v>-25000</v>
      </c>
      <c r="N57" s="22">
        <f>SUM(B57:M57)</f>
        <v>-478264</v>
      </c>
      <c r="P57" s="7"/>
    </row>
    <row r="58" spans="1:17" s="6" customFormat="1">
      <c r="A58" s="13" t="s">
        <v>60</v>
      </c>
      <c r="B58" s="19">
        <f t="shared" ref="B58:N58" si="13">SUM(B53:B57)</f>
        <v>177724</v>
      </c>
      <c r="C58" s="19">
        <f t="shared" si="13"/>
        <v>177891</v>
      </c>
      <c r="D58" s="19">
        <f t="shared" si="13"/>
        <v>-37500</v>
      </c>
      <c r="E58" s="19">
        <f t="shared" si="13"/>
        <v>134000</v>
      </c>
      <c r="F58" s="19">
        <f t="shared" si="13"/>
        <v>195000</v>
      </c>
      <c r="G58" s="19">
        <f t="shared" si="13"/>
        <v>82700</v>
      </c>
      <c r="H58" s="19">
        <f>SUM(H53:H57)</f>
        <v>78500</v>
      </c>
      <c r="I58" s="19">
        <f t="shared" si="13"/>
        <v>227500</v>
      </c>
      <c r="J58" s="19">
        <f t="shared" si="13"/>
        <v>-37500</v>
      </c>
      <c r="K58" s="19">
        <f t="shared" si="13"/>
        <v>154750</v>
      </c>
      <c r="L58" s="19">
        <f t="shared" si="13"/>
        <v>205500</v>
      </c>
      <c r="M58" s="19">
        <f t="shared" si="13"/>
        <v>237500</v>
      </c>
      <c r="N58" s="19">
        <f t="shared" si="13"/>
        <v>1596065</v>
      </c>
      <c r="O58" s="29"/>
    </row>
    <row r="59" spans="1:17">
      <c r="B59" s="7"/>
      <c r="C59" s="7"/>
      <c r="D59" s="7"/>
      <c r="E59" s="7"/>
      <c r="F59" s="7"/>
      <c r="G59" s="7"/>
      <c r="H59" s="7"/>
      <c r="I59" s="7"/>
      <c r="J59" s="7"/>
      <c r="K59" s="7"/>
      <c r="L59" s="7"/>
      <c r="M59" s="7"/>
      <c r="N59" s="7"/>
      <c r="O59" s="6"/>
    </row>
    <row r="60" spans="1:17">
      <c r="A60" s="1" t="s">
        <v>61</v>
      </c>
      <c r="B60" s="12">
        <v>13373023</v>
      </c>
      <c r="C60" s="7"/>
      <c r="D60" s="7"/>
      <c r="E60" s="7"/>
      <c r="F60" s="7"/>
      <c r="G60" s="7"/>
      <c r="H60" s="7" t="s">
        <v>38</v>
      </c>
      <c r="I60" s="7"/>
      <c r="J60" s="7"/>
      <c r="K60" s="6"/>
      <c r="L60" s="6"/>
      <c r="M60" s="6"/>
      <c r="N60" s="6"/>
      <c r="O60" s="6"/>
    </row>
    <row r="61" spans="1:17">
      <c r="A61" s="13" t="s">
        <v>62</v>
      </c>
      <c r="B61" s="19">
        <f t="shared" ref="B61:N61" si="14">+B58+B48</f>
        <v>2001245</v>
      </c>
      <c r="C61" s="19">
        <f t="shared" si="14"/>
        <v>3043837</v>
      </c>
      <c r="D61" s="19">
        <f t="shared" si="14"/>
        <v>4420174</v>
      </c>
      <c r="E61" s="19">
        <f t="shared" si="14"/>
        <v>3515160</v>
      </c>
      <c r="F61" s="19">
        <f t="shared" si="14"/>
        <v>2854216</v>
      </c>
      <c r="G61" s="19">
        <f t="shared" si="14"/>
        <v>2761542</v>
      </c>
      <c r="H61" s="19">
        <f t="shared" si="14"/>
        <v>3954419</v>
      </c>
      <c r="I61" s="19">
        <f t="shared" si="14"/>
        <v>3525446</v>
      </c>
      <c r="J61" s="19">
        <f t="shared" si="14"/>
        <v>2935129</v>
      </c>
      <c r="K61" s="19">
        <f t="shared" si="14"/>
        <v>3109215</v>
      </c>
      <c r="L61" s="19">
        <f t="shared" si="14"/>
        <v>2959452</v>
      </c>
      <c r="M61" s="19">
        <f t="shared" si="14"/>
        <v>2938681</v>
      </c>
      <c r="N61" s="19">
        <f t="shared" si="14"/>
        <v>38018516</v>
      </c>
      <c r="O61" s="29"/>
      <c r="P61" s="25">
        <f>+N61-O61</f>
        <v>38018516</v>
      </c>
    </row>
    <row r="62" spans="1:17" ht="13.5" thickBot="1">
      <c r="A62" s="13" t="s">
        <v>63</v>
      </c>
      <c r="B62" s="30">
        <f t="shared" ref="B62:N62" si="15">+B13-B61</f>
        <v>-741621</v>
      </c>
      <c r="C62" s="30">
        <f t="shared" si="15"/>
        <v>-469960</v>
      </c>
      <c r="D62" s="14">
        <f t="shared" si="15"/>
        <v>1175481</v>
      </c>
      <c r="E62" s="14">
        <f t="shared" si="15"/>
        <v>388022</v>
      </c>
      <c r="F62" s="14">
        <f t="shared" si="15"/>
        <v>-191039</v>
      </c>
      <c r="G62" s="14">
        <f t="shared" si="15"/>
        <v>96436</v>
      </c>
      <c r="H62" s="14">
        <f t="shared" si="15"/>
        <v>-114280</v>
      </c>
      <c r="I62" s="14">
        <f t="shared" si="15"/>
        <v>316290</v>
      </c>
      <c r="J62" s="14">
        <f t="shared" si="15"/>
        <v>629469</v>
      </c>
      <c r="K62" s="14">
        <f t="shared" si="15"/>
        <v>-20889</v>
      </c>
      <c r="L62" s="14">
        <f t="shared" si="15"/>
        <v>188867</v>
      </c>
      <c r="M62" s="14">
        <f t="shared" si="15"/>
        <v>-1359836</v>
      </c>
      <c r="N62" s="14">
        <f t="shared" si="15"/>
        <v>-103060</v>
      </c>
      <c r="O62" s="29"/>
      <c r="P62" s="25">
        <f>+N62-O62</f>
        <v>-103060</v>
      </c>
    </row>
    <row r="63" spans="1:17" s="6" customFormat="1" ht="13.5" thickTop="1">
      <c r="A63" s="13" t="s">
        <v>64</v>
      </c>
      <c r="B63" s="32">
        <f>+B62</f>
        <v>-741621</v>
      </c>
      <c r="C63" s="32">
        <f t="shared" ref="C63:M63" si="16">B63+C62</f>
        <v>-1211581</v>
      </c>
      <c r="D63" s="12">
        <f t="shared" si="16"/>
        <v>-36100</v>
      </c>
      <c r="E63" s="12">
        <f t="shared" si="16"/>
        <v>351922</v>
      </c>
      <c r="F63" s="12">
        <f t="shared" si="16"/>
        <v>160883</v>
      </c>
      <c r="G63" s="12">
        <f t="shared" si="16"/>
        <v>257319</v>
      </c>
      <c r="H63" s="12">
        <f t="shared" si="16"/>
        <v>143039</v>
      </c>
      <c r="I63" s="12">
        <f t="shared" si="16"/>
        <v>459329</v>
      </c>
      <c r="J63" s="12">
        <f t="shared" si="16"/>
        <v>1088798</v>
      </c>
      <c r="K63" s="12">
        <f t="shared" si="16"/>
        <v>1067909</v>
      </c>
      <c r="L63" s="12">
        <f t="shared" si="16"/>
        <v>1256776</v>
      </c>
      <c r="M63" s="12">
        <f t="shared" si="16"/>
        <v>-103060</v>
      </c>
      <c r="N63" s="12"/>
    </row>
    <row r="64" spans="1:17">
      <c r="A64" s="13" t="s">
        <v>65</v>
      </c>
      <c r="B64" s="12">
        <f t="shared" ref="B64:M64" si="17">+$B$60+B63</f>
        <v>12631402</v>
      </c>
      <c r="C64" s="12">
        <f t="shared" si="17"/>
        <v>12161442</v>
      </c>
      <c r="D64" s="12">
        <f t="shared" si="17"/>
        <v>13336923</v>
      </c>
      <c r="E64" s="12">
        <f t="shared" si="17"/>
        <v>13724945</v>
      </c>
      <c r="F64" s="12">
        <f t="shared" si="17"/>
        <v>13533906</v>
      </c>
      <c r="G64" s="12">
        <f t="shared" si="17"/>
        <v>13630342</v>
      </c>
      <c r="H64" s="12">
        <f t="shared" si="17"/>
        <v>13516062</v>
      </c>
      <c r="I64" s="12">
        <f t="shared" si="17"/>
        <v>13832352</v>
      </c>
      <c r="J64" s="12">
        <f t="shared" si="17"/>
        <v>14461821</v>
      </c>
      <c r="K64" s="12">
        <f t="shared" si="17"/>
        <v>14440932</v>
      </c>
      <c r="L64" s="12">
        <f t="shared" si="17"/>
        <v>14629799</v>
      </c>
      <c r="M64" s="12">
        <f t="shared" si="17"/>
        <v>13269963</v>
      </c>
      <c r="N64" s="12"/>
      <c r="O64" s="6"/>
      <c r="P64" s="29"/>
    </row>
    <row r="65" spans="1:16">
      <c r="A65" s="6"/>
      <c r="B65" s="7"/>
      <c r="C65" s="7"/>
      <c r="D65" s="7"/>
      <c r="E65" s="7"/>
      <c r="F65" s="7"/>
      <c r="G65" s="7"/>
      <c r="H65" s="7"/>
      <c r="I65" s="7"/>
      <c r="J65" s="7"/>
      <c r="K65" s="6"/>
      <c r="L65" s="6"/>
      <c r="M65" s="6"/>
      <c r="N65" s="6"/>
      <c r="O65" s="6"/>
    </row>
    <row r="66" spans="1:16" s="6" customFormat="1">
      <c r="A66" s="17" t="s">
        <v>94</v>
      </c>
      <c r="B66" s="18"/>
      <c r="C66" s="18"/>
      <c r="D66" s="18"/>
      <c r="E66" s="18"/>
      <c r="F66" s="18"/>
      <c r="G66" s="18"/>
      <c r="H66" s="18"/>
      <c r="I66" s="18"/>
      <c r="J66" s="18"/>
      <c r="K66" s="18"/>
      <c r="L66" s="18"/>
      <c r="M66" s="18"/>
      <c r="N66" s="18"/>
    </row>
    <row r="67" spans="1:16" ht="13.5" thickBot="1">
      <c r="A67" s="13" t="s">
        <v>67</v>
      </c>
      <c r="B67" s="14">
        <v>-968259</v>
      </c>
      <c r="C67" s="14">
        <v>165657</v>
      </c>
      <c r="D67" s="14">
        <v>1175481</v>
      </c>
      <c r="E67" s="14">
        <v>388022</v>
      </c>
      <c r="F67" s="14">
        <v>-191039</v>
      </c>
      <c r="G67" s="14">
        <v>96436</v>
      </c>
      <c r="H67" s="14">
        <v>-114280</v>
      </c>
      <c r="I67" s="14">
        <v>316290</v>
      </c>
      <c r="J67" s="14">
        <v>629469</v>
      </c>
      <c r="K67" s="14">
        <v>-20889</v>
      </c>
      <c r="L67" s="14">
        <v>188867</v>
      </c>
      <c r="M67" s="14">
        <v>-1359836</v>
      </c>
      <c r="N67" s="16"/>
      <c r="O67" s="6"/>
    </row>
    <row r="68" spans="1:16" ht="13.5" thickTop="1">
      <c r="A68" s="13" t="s">
        <v>64</v>
      </c>
      <c r="B68" s="12">
        <f>+B67</f>
        <v>-968259</v>
      </c>
      <c r="C68" s="12">
        <f>+B68+C67</f>
        <v>-802602</v>
      </c>
      <c r="D68" s="12">
        <f t="shared" ref="D68:M68" si="18">+C68+D67</f>
        <v>372879</v>
      </c>
      <c r="E68" s="12">
        <f t="shared" si="18"/>
        <v>760901</v>
      </c>
      <c r="F68" s="12">
        <f t="shared" si="18"/>
        <v>569862</v>
      </c>
      <c r="G68" s="12">
        <f t="shared" si="18"/>
        <v>666298</v>
      </c>
      <c r="H68" s="12">
        <f t="shared" si="18"/>
        <v>552018</v>
      </c>
      <c r="I68" s="12">
        <f t="shared" si="18"/>
        <v>868308</v>
      </c>
      <c r="J68" s="12">
        <f t="shared" si="18"/>
        <v>1497777</v>
      </c>
      <c r="K68" s="12">
        <f t="shared" si="18"/>
        <v>1476888</v>
      </c>
      <c r="L68" s="12">
        <f t="shared" si="18"/>
        <v>1665755</v>
      </c>
      <c r="M68" s="12">
        <f t="shared" si="18"/>
        <v>305919</v>
      </c>
      <c r="N68" s="16"/>
      <c r="O68" s="6"/>
    </row>
    <row r="69" spans="1:16">
      <c r="A69" s="13" t="s">
        <v>65</v>
      </c>
      <c r="B69" s="12">
        <v>10066787.80069958</v>
      </c>
      <c r="C69" s="12">
        <v>10474885.82712047</v>
      </c>
      <c r="D69" s="12">
        <v>11546728.467384296</v>
      </c>
      <c r="E69" s="12">
        <v>11992721.928639133</v>
      </c>
      <c r="F69" s="12">
        <v>11726972.321587943</v>
      </c>
      <c r="G69" s="12">
        <v>11337269.706012141</v>
      </c>
      <c r="H69" s="12">
        <v>11322908.797641888</v>
      </c>
      <c r="I69" s="12">
        <v>11526789.393104676</v>
      </c>
      <c r="J69" s="12">
        <v>11837705.668475684</v>
      </c>
      <c r="K69" s="12">
        <v>12021264.778665379</v>
      </c>
      <c r="L69" s="12">
        <v>12475612.568366794</v>
      </c>
      <c r="M69" s="12">
        <v>11197948.23476476</v>
      </c>
      <c r="N69" s="12"/>
      <c r="O69" s="6"/>
    </row>
    <row r="70" spans="1:16">
      <c r="A70" s="6"/>
      <c r="B70" s="6"/>
      <c r="C70" s="6"/>
      <c r="D70" s="6"/>
      <c r="E70" s="6"/>
      <c r="F70" s="6"/>
      <c r="H70" s="6"/>
      <c r="I70" s="6"/>
      <c r="J70" s="6"/>
      <c r="K70" s="6"/>
      <c r="L70" s="6"/>
      <c r="M70" s="6"/>
      <c r="N70" s="6"/>
      <c r="O70" s="6"/>
    </row>
    <row r="71" spans="1:16">
      <c r="A71" s="24" t="s">
        <v>68</v>
      </c>
      <c r="B71" s="18"/>
      <c r="C71" s="18"/>
      <c r="D71" s="18"/>
      <c r="E71" s="18"/>
      <c r="F71" s="18"/>
      <c r="G71" s="18"/>
      <c r="H71" s="18"/>
      <c r="I71" s="18"/>
      <c r="J71" s="18"/>
      <c r="K71" s="18"/>
      <c r="L71" s="18"/>
      <c r="M71" s="18"/>
      <c r="N71" s="18"/>
      <c r="O71" s="6"/>
    </row>
    <row r="72" spans="1:16">
      <c r="A72" s="13" t="s">
        <v>63</v>
      </c>
      <c r="B72" s="31">
        <f t="shared" ref="B72:N74" si="19">+B62-B67</f>
        <v>226638</v>
      </c>
      <c r="C72" s="31">
        <f t="shared" si="19"/>
        <v>-635617</v>
      </c>
      <c r="D72" s="16">
        <f t="shared" si="19"/>
        <v>0</v>
      </c>
      <c r="E72" s="16">
        <f t="shared" si="19"/>
        <v>0</v>
      </c>
      <c r="F72" s="16">
        <f t="shared" si="19"/>
        <v>0</v>
      </c>
      <c r="G72" s="16">
        <f t="shared" si="19"/>
        <v>0</v>
      </c>
      <c r="H72" s="16">
        <f t="shared" si="19"/>
        <v>0</v>
      </c>
      <c r="I72" s="16">
        <f t="shared" si="19"/>
        <v>0</v>
      </c>
      <c r="J72" s="16">
        <f t="shared" si="19"/>
        <v>0</v>
      </c>
      <c r="K72" s="16">
        <f t="shared" si="19"/>
        <v>0</v>
      </c>
      <c r="L72" s="16">
        <f t="shared" si="19"/>
        <v>0</v>
      </c>
      <c r="M72" s="16">
        <f t="shared" si="19"/>
        <v>0</v>
      </c>
      <c r="N72" s="6"/>
      <c r="O72" s="6"/>
      <c r="P72" s="16">
        <f>+N62-N67</f>
        <v>-103060</v>
      </c>
    </row>
    <row r="73" spans="1:16" s="6" customFormat="1">
      <c r="A73" s="13" t="s">
        <v>64</v>
      </c>
      <c r="B73" s="31">
        <f t="shared" si="19"/>
        <v>226638</v>
      </c>
      <c r="C73" s="31">
        <f t="shared" si="19"/>
        <v>-408979</v>
      </c>
      <c r="D73" s="16">
        <f t="shared" si="19"/>
        <v>-408979</v>
      </c>
      <c r="E73" s="16">
        <f t="shared" si="19"/>
        <v>-408979</v>
      </c>
      <c r="F73" s="16">
        <f t="shared" si="19"/>
        <v>-408979</v>
      </c>
      <c r="G73" s="16">
        <f t="shared" si="19"/>
        <v>-408979</v>
      </c>
      <c r="H73" s="16">
        <f t="shared" si="19"/>
        <v>-408979</v>
      </c>
      <c r="I73" s="16">
        <f t="shared" si="19"/>
        <v>-408979</v>
      </c>
      <c r="J73" s="16">
        <f t="shared" si="19"/>
        <v>-408979</v>
      </c>
      <c r="K73" s="16">
        <f t="shared" si="19"/>
        <v>-408979</v>
      </c>
      <c r="L73" s="16">
        <f t="shared" si="19"/>
        <v>-408979</v>
      </c>
      <c r="M73" s="16">
        <f t="shared" si="19"/>
        <v>-408979</v>
      </c>
      <c r="N73" s="16">
        <f t="shared" si="19"/>
        <v>0</v>
      </c>
    </row>
    <row r="74" spans="1:16">
      <c r="A74" s="1" t="s">
        <v>65</v>
      </c>
      <c r="B74" s="16">
        <f t="shared" si="19"/>
        <v>2564614.1993004195</v>
      </c>
      <c r="C74" s="16">
        <f t="shared" si="19"/>
        <v>1686556.1728795301</v>
      </c>
      <c r="D74" s="16">
        <f t="shared" si="19"/>
        <v>1790194.5326157045</v>
      </c>
      <c r="E74" s="16">
        <f t="shared" si="19"/>
        <v>1732223.0713608675</v>
      </c>
      <c r="F74" s="16">
        <f t="shared" si="19"/>
        <v>1806933.6784120575</v>
      </c>
      <c r="G74" s="16">
        <f t="shared" si="19"/>
        <v>2293072.293987859</v>
      </c>
      <c r="H74" s="16">
        <f t="shared" si="19"/>
        <v>2193153.2023581117</v>
      </c>
      <c r="I74" s="16">
        <f t="shared" si="19"/>
        <v>2305562.6068953238</v>
      </c>
      <c r="J74" s="16">
        <f t="shared" si="19"/>
        <v>2624115.3315243162</v>
      </c>
      <c r="K74" s="16">
        <f t="shared" si="19"/>
        <v>2419667.2213346213</v>
      </c>
      <c r="L74" s="16">
        <f t="shared" si="19"/>
        <v>2154186.4316332061</v>
      </c>
      <c r="M74" s="16">
        <f t="shared" si="19"/>
        <v>2072014.7652352396</v>
      </c>
      <c r="N74" s="16"/>
      <c r="O74" s="6"/>
    </row>
    <row r="75" spans="1:16">
      <c r="B75" s="6"/>
      <c r="C75" s="6"/>
      <c r="D75" s="6"/>
      <c r="E75" s="6"/>
      <c r="F75" s="6"/>
      <c r="H75" s="6"/>
      <c r="I75" s="6"/>
      <c r="J75" s="6"/>
      <c r="K75" s="6"/>
      <c r="L75" s="6"/>
      <c r="M75" s="6"/>
      <c r="N75" s="6"/>
    </row>
    <row r="76" spans="1:16">
      <c r="A76" s="1"/>
      <c r="B76" s="4"/>
      <c r="C76" s="8"/>
      <c r="D76" s="8"/>
      <c r="E76" s="8"/>
      <c r="F76" s="8"/>
      <c r="H76" s="20"/>
      <c r="J76" s="6"/>
      <c r="K76" s="6"/>
    </row>
    <row r="77" spans="1:16">
      <c r="A77" s="1"/>
      <c r="B77" s="4"/>
      <c r="C77" s="8"/>
      <c r="D77" s="8"/>
      <c r="E77" s="8"/>
      <c r="F77" s="8"/>
      <c r="H77" s="20"/>
      <c r="J77" s="6"/>
    </row>
    <row r="78" spans="1:16">
      <c r="A78" s="1"/>
      <c r="B78" s="4"/>
      <c r="D78" s="8"/>
      <c r="E78" s="8"/>
      <c r="F78" s="8"/>
      <c r="H78" s="61"/>
      <c r="J78" s="6"/>
    </row>
    <row r="79" spans="1:16">
      <c r="E79" s="6"/>
      <c r="H79" s="20"/>
      <c r="J79" s="6"/>
      <c r="N79" s="25"/>
    </row>
    <row r="80" spans="1:16">
      <c r="A80" t="s">
        <v>69</v>
      </c>
      <c r="B80" t="s">
        <v>69</v>
      </c>
      <c r="C80" t="s">
        <v>69</v>
      </c>
      <c r="D80" t="s">
        <v>69</v>
      </c>
      <c r="E80" s="6" t="s">
        <v>69</v>
      </c>
      <c r="F80" t="s">
        <v>69</v>
      </c>
      <c r="G80" s="6" t="s">
        <v>69</v>
      </c>
      <c r="H80" t="s">
        <v>69</v>
      </c>
      <c r="I80" t="s">
        <v>69</v>
      </c>
      <c r="J80" s="6" t="s">
        <v>69</v>
      </c>
      <c r="K80" t="s">
        <v>69</v>
      </c>
      <c r="L80" t="s">
        <v>69</v>
      </c>
      <c r="M80" t="s">
        <v>69</v>
      </c>
      <c r="N80" t="s">
        <v>69</v>
      </c>
    </row>
    <row r="81" spans="1:14">
      <c r="E81" s="6"/>
      <c r="J81" s="6"/>
    </row>
    <row r="82" spans="1:14">
      <c r="A82" s="33" t="s">
        <v>70</v>
      </c>
      <c r="B82" s="47">
        <v>52000</v>
      </c>
      <c r="C82" s="47">
        <v>20000</v>
      </c>
      <c r="D82" s="47">
        <v>10000</v>
      </c>
      <c r="E82" s="47">
        <v>44355</v>
      </c>
      <c r="F82" s="47">
        <v>186840</v>
      </c>
      <c r="G82" s="10">
        <v>202000</v>
      </c>
      <c r="H82" s="54">
        <v>197000</v>
      </c>
      <c r="I82" s="47">
        <v>142000</v>
      </c>
      <c r="J82" s="47">
        <v>119000</v>
      </c>
      <c r="K82" s="47">
        <v>0</v>
      </c>
      <c r="L82" s="47">
        <v>0</v>
      </c>
      <c r="M82" s="47">
        <v>455000</v>
      </c>
      <c r="N82" s="7">
        <v>1428195</v>
      </c>
    </row>
    <row r="83" spans="1:14">
      <c r="A83" s="33" t="s">
        <v>71</v>
      </c>
      <c r="B83" s="2">
        <f>+B82</f>
        <v>52000</v>
      </c>
      <c r="C83" s="2">
        <f>+B83+C82</f>
        <v>72000</v>
      </c>
      <c r="D83" s="2">
        <f t="shared" ref="D83:M83" si="20">+C83+D82</f>
        <v>82000</v>
      </c>
      <c r="E83" s="7">
        <f t="shared" si="20"/>
        <v>126355</v>
      </c>
      <c r="F83" s="2">
        <f t="shared" si="20"/>
        <v>313195</v>
      </c>
      <c r="G83" s="7">
        <f t="shared" si="20"/>
        <v>515195</v>
      </c>
      <c r="H83" s="2">
        <f t="shared" si="20"/>
        <v>712195</v>
      </c>
      <c r="I83" s="2">
        <f t="shared" si="20"/>
        <v>854195</v>
      </c>
      <c r="J83" s="7">
        <f t="shared" si="20"/>
        <v>973195</v>
      </c>
      <c r="K83" s="2">
        <f t="shared" si="20"/>
        <v>973195</v>
      </c>
      <c r="L83" s="2">
        <f t="shared" si="20"/>
        <v>973195</v>
      </c>
      <c r="M83" s="2">
        <f t="shared" si="20"/>
        <v>1428195</v>
      </c>
    </row>
    <row r="84" spans="1:14">
      <c r="A84" s="33" t="s">
        <v>72</v>
      </c>
      <c r="B84" s="7">
        <f>+B53</f>
        <v>101289</v>
      </c>
      <c r="C84" s="7">
        <f>SUM($B53:C53)</f>
        <v>331668</v>
      </c>
      <c r="D84" s="7">
        <f>SUM($B53:D53)</f>
        <v>331668</v>
      </c>
      <c r="E84" s="7">
        <f>SUM($B53:E53)</f>
        <v>503168</v>
      </c>
      <c r="F84" s="7">
        <f>SUM($B53:F53)</f>
        <v>640668</v>
      </c>
      <c r="G84" s="7">
        <f>SUM($B53:G53)</f>
        <v>760868</v>
      </c>
      <c r="H84" s="7">
        <f>SUM(B53:H53)</f>
        <v>876868</v>
      </c>
      <c r="I84" s="7">
        <f>SUM(B53:I53)</f>
        <v>1141868</v>
      </c>
      <c r="J84" s="7">
        <f>SUM(B53:J53)</f>
        <v>1141868</v>
      </c>
      <c r="K84" s="7">
        <f>SUM(B53:K53)</f>
        <v>1334118</v>
      </c>
      <c r="L84" s="7">
        <f>SUM(B53:L53)</f>
        <v>1577118</v>
      </c>
      <c r="M84" s="7">
        <f>SUM(B53:M53)</f>
        <v>1852118</v>
      </c>
    </row>
    <row r="85" spans="1:14">
      <c r="A85" s="33" t="s">
        <v>73</v>
      </c>
      <c r="B85" s="7">
        <f t="shared" ref="B85:G85" si="21">+B83-B84</f>
        <v>-49289</v>
      </c>
      <c r="C85" s="7">
        <f t="shared" si="21"/>
        <v>-259668</v>
      </c>
      <c r="D85" s="7">
        <f t="shared" si="21"/>
        <v>-249668</v>
      </c>
      <c r="E85" s="7">
        <f t="shared" si="21"/>
        <v>-376813</v>
      </c>
      <c r="F85" s="7">
        <f t="shared" si="21"/>
        <v>-327473</v>
      </c>
      <c r="G85" s="7">
        <f t="shared" si="21"/>
        <v>-245673</v>
      </c>
      <c r="H85" s="7">
        <f t="shared" ref="H85:M85" si="22">+H83-H84</f>
        <v>-164673</v>
      </c>
      <c r="I85" s="7">
        <f t="shared" si="22"/>
        <v>-287673</v>
      </c>
      <c r="J85" s="7">
        <f t="shared" si="22"/>
        <v>-168673</v>
      </c>
      <c r="K85" s="7">
        <f t="shared" si="22"/>
        <v>-360923</v>
      </c>
      <c r="L85" s="7">
        <f t="shared" si="22"/>
        <v>-603923</v>
      </c>
      <c r="M85" s="7">
        <f t="shared" si="22"/>
        <v>-423923</v>
      </c>
    </row>
    <row r="86" spans="1:14">
      <c r="J86" s="6"/>
      <c r="K86" s="6"/>
    </row>
    <row r="87" spans="1:14">
      <c r="A87" t="s">
        <v>74</v>
      </c>
      <c r="B87" s="35">
        <f>-B56-B57</f>
        <v>199977</v>
      </c>
      <c r="C87" s="35">
        <f t="shared" ref="C87:N87" si="23">-C56-C57</f>
        <v>52488</v>
      </c>
      <c r="D87" s="35">
        <f t="shared" si="23"/>
        <v>37500</v>
      </c>
      <c r="E87" s="35">
        <f t="shared" si="23"/>
        <v>37500</v>
      </c>
      <c r="F87" s="35">
        <f t="shared" si="23"/>
        <v>37500</v>
      </c>
      <c r="G87" s="40">
        <f t="shared" si="23"/>
        <v>37500</v>
      </c>
      <c r="H87" s="40">
        <f t="shared" si="23"/>
        <v>37500</v>
      </c>
      <c r="I87" s="35">
        <f t="shared" si="23"/>
        <v>37500</v>
      </c>
      <c r="J87" s="35">
        <f t="shared" si="23"/>
        <v>37500</v>
      </c>
      <c r="K87" s="40">
        <f t="shared" si="23"/>
        <v>37500</v>
      </c>
      <c r="L87" s="35">
        <f t="shared" si="23"/>
        <v>37500</v>
      </c>
      <c r="M87" s="35">
        <f t="shared" si="23"/>
        <v>37500</v>
      </c>
      <c r="N87" s="35">
        <f t="shared" si="23"/>
        <v>627465</v>
      </c>
    </row>
    <row r="88" spans="1:14">
      <c r="C88" s="35">
        <f>+B87+C87</f>
        <v>252465</v>
      </c>
      <c r="D88" s="35">
        <f>+C88+D87</f>
        <v>289965</v>
      </c>
      <c r="E88" s="35">
        <f t="shared" ref="E88:M88" si="24">+D88+E87</f>
        <v>327465</v>
      </c>
      <c r="F88" s="35">
        <f t="shared" si="24"/>
        <v>364965</v>
      </c>
      <c r="G88" s="40">
        <f t="shared" si="24"/>
        <v>402465</v>
      </c>
      <c r="H88" s="35">
        <f t="shared" si="24"/>
        <v>439965</v>
      </c>
      <c r="I88" s="40">
        <f t="shared" si="24"/>
        <v>477465</v>
      </c>
      <c r="J88" s="40">
        <f t="shared" si="24"/>
        <v>514965</v>
      </c>
      <c r="K88" s="40">
        <f t="shared" si="24"/>
        <v>552465</v>
      </c>
      <c r="L88" s="35">
        <f t="shared" si="24"/>
        <v>589965</v>
      </c>
      <c r="M88" s="35">
        <f t="shared" si="24"/>
        <v>627465</v>
      </c>
    </row>
    <row r="89" spans="1:14">
      <c r="B89" s="6"/>
      <c r="C89" s="6"/>
      <c r="D89" s="6"/>
      <c r="E89" s="6"/>
    </row>
    <row r="90" spans="1:14">
      <c r="B90" s="6"/>
      <c r="C90" s="6"/>
      <c r="D90" s="21"/>
      <c r="E90" s="6"/>
    </row>
    <row r="91" spans="1:14">
      <c r="B91" s="6"/>
      <c r="C91" s="6"/>
      <c r="D91" s="6"/>
      <c r="E91" s="6"/>
    </row>
    <row r="92" spans="1:14">
      <c r="B92" s="70">
        <v>78554</v>
      </c>
      <c r="C92" s="70">
        <v>78293</v>
      </c>
      <c r="D92" s="70">
        <v>79025</v>
      </c>
      <c r="E92" s="70">
        <v>81090</v>
      </c>
      <c r="F92" s="71">
        <v>81090</v>
      </c>
      <c r="G92" s="70">
        <v>81079</v>
      </c>
      <c r="H92" s="71">
        <v>89229</v>
      </c>
      <c r="I92" s="71">
        <v>88964</v>
      </c>
      <c r="J92" s="71">
        <v>88964</v>
      </c>
      <c r="K92" s="71">
        <v>88563</v>
      </c>
      <c r="L92" s="71">
        <v>97279</v>
      </c>
      <c r="M92" s="71">
        <v>97277</v>
      </c>
    </row>
    <row r="93" spans="1:14">
      <c r="B93" s="6">
        <f>+B92*-1</f>
        <v>-78554</v>
      </c>
      <c r="C93" s="6">
        <f t="shared" ref="C93:M93" si="25">+C92*-1</f>
        <v>-78293</v>
      </c>
      <c r="D93" s="6">
        <f t="shared" si="25"/>
        <v>-79025</v>
      </c>
      <c r="E93" s="6">
        <f t="shared" si="25"/>
        <v>-81090</v>
      </c>
      <c r="F93" s="6">
        <f t="shared" si="25"/>
        <v>-81090</v>
      </c>
      <c r="G93" s="6">
        <f t="shared" si="25"/>
        <v>-81079</v>
      </c>
      <c r="H93" s="6">
        <f t="shared" si="25"/>
        <v>-89229</v>
      </c>
      <c r="I93" s="6">
        <f t="shared" si="25"/>
        <v>-88964</v>
      </c>
      <c r="J93" s="6">
        <f t="shared" si="25"/>
        <v>-88964</v>
      </c>
      <c r="K93" s="6">
        <f t="shared" si="25"/>
        <v>-88563</v>
      </c>
      <c r="L93" s="6">
        <f t="shared" si="25"/>
        <v>-97279</v>
      </c>
      <c r="M93" s="6">
        <f t="shared" si="25"/>
        <v>-97277</v>
      </c>
    </row>
    <row r="94" spans="1:14">
      <c r="B94" s="6"/>
      <c r="C94" s="6"/>
      <c r="D94" s="34"/>
      <c r="E94" s="6"/>
    </row>
    <row r="95" spans="1:14">
      <c r="B95" s="6"/>
      <c r="C95" s="6"/>
      <c r="D95" s="6"/>
      <c r="E95" s="6"/>
    </row>
    <row r="96" spans="1:14">
      <c r="B96" s="6"/>
      <c r="C96" s="6"/>
      <c r="D96" s="6"/>
      <c r="E96" s="6"/>
    </row>
  </sheetData>
  <pageMargins left="0.28000000000000003" right="0.25" top="0.99" bottom="0.75" header="0.63" footer="0.23"/>
  <pageSetup scale="67" orientation="landscape" r:id="rId1"/>
  <headerFooter alignWithMargins="0">
    <oddHeader xml:space="preserve">&amp;C&amp;"Arial,Bold"&amp;11 49ER SHOPS, INC.
&amp;UFY2017/2018 OPERATIONAL CASH FLOW </oddHeader>
    <oddFooter>&amp;CCash Flow - FY2017/2018
August 2017</oddFooter>
  </headerFooter>
  <legacy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FF00"/>
    <pageSetUpPr fitToPage="1"/>
  </sheetPr>
  <dimension ref="A1:AR96"/>
  <sheetViews>
    <sheetView showGridLines="0" zoomScale="90" zoomScaleNormal="90" workbookViewId="0">
      <pane xSplit="1" ySplit="3" topLeftCell="B4" activePane="bottomRight" state="frozen"/>
      <selection pane="topRight" activeCell="B72" sqref="B72"/>
      <selection pane="bottomLeft" activeCell="B72" sqref="B72"/>
      <selection pane="bottomRight" activeCell="E21" sqref="E21"/>
    </sheetView>
  </sheetViews>
  <sheetFormatPr defaultRowHeight="12.75"/>
  <cols>
    <col min="1" max="1" width="35.42578125" customWidth="1"/>
    <col min="2" max="2" width="14" customWidth="1"/>
    <col min="3" max="3" width="12.5703125" customWidth="1"/>
    <col min="4" max="4" width="12.140625" customWidth="1"/>
    <col min="5" max="5" width="13.5703125" customWidth="1"/>
    <col min="6" max="6" width="12.85546875" customWidth="1"/>
    <col min="7" max="7" width="12.5703125" style="6" customWidth="1"/>
    <col min="8" max="9" width="12.85546875" customWidth="1"/>
    <col min="10" max="11" width="12.140625" customWidth="1"/>
    <col min="12" max="13" width="12.85546875" customWidth="1"/>
    <col min="14" max="14" width="12.85546875" bestFit="1" customWidth="1"/>
    <col min="15" max="15" width="12.42578125" bestFit="1" customWidth="1"/>
    <col min="16" max="16" width="13.140625" bestFit="1" customWidth="1"/>
  </cols>
  <sheetData>
    <row r="1" spans="1:15" ht="13.5" thickBot="1">
      <c r="A1" s="46" t="s">
        <v>99</v>
      </c>
      <c r="E1" s="6"/>
      <c r="F1" s="6"/>
      <c r="J1" s="6"/>
      <c r="K1" s="6"/>
      <c r="N1" s="3"/>
    </row>
    <row r="2" spans="1:15">
      <c r="B2" s="45" t="s">
        <v>24</v>
      </c>
      <c r="C2" s="45" t="s">
        <v>24</v>
      </c>
      <c r="D2" s="45" t="s">
        <v>24</v>
      </c>
      <c r="E2" s="48" t="s">
        <v>76</v>
      </c>
      <c r="F2" s="48" t="s">
        <v>76</v>
      </c>
      <c r="G2" s="48" t="s">
        <v>76</v>
      </c>
      <c r="H2" s="48" t="s">
        <v>76</v>
      </c>
      <c r="I2" s="48" t="s">
        <v>76</v>
      </c>
      <c r="J2" s="48" t="s">
        <v>76</v>
      </c>
      <c r="K2" s="48" t="s">
        <v>76</v>
      </c>
      <c r="L2" s="48" t="s">
        <v>76</v>
      </c>
      <c r="M2" s="48" t="s">
        <v>76</v>
      </c>
      <c r="N2" s="28" t="s">
        <v>25</v>
      </c>
    </row>
    <row r="3" spans="1:15" s="5" customFormat="1">
      <c r="B3" s="11">
        <v>42918</v>
      </c>
      <c r="C3" s="11">
        <v>42949</v>
      </c>
      <c r="D3" s="11">
        <v>42980</v>
      </c>
      <c r="E3" s="11">
        <v>43010</v>
      </c>
      <c r="F3" s="11">
        <v>43041</v>
      </c>
      <c r="G3" s="11">
        <v>43071</v>
      </c>
      <c r="H3" s="11">
        <v>43102</v>
      </c>
      <c r="I3" s="11">
        <v>43133</v>
      </c>
      <c r="J3" s="11">
        <v>43161</v>
      </c>
      <c r="K3" s="11">
        <v>43192</v>
      </c>
      <c r="L3" s="11">
        <v>43222</v>
      </c>
      <c r="M3" s="11">
        <v>43253</v>
      </c>
      <c r="N3" s="57" t="s">
        <v>100</v>
      </c>
    </row>
    <row r="4" spans="1:15">
      <c r="A4" s="1" t="s">
        <v>27</v>
      </c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>
        <f>SUM(B4:M4)</f>
        <v>0</v>
      </c>
      <c r="O4" s="29"/>
    </row>
    <row r="5" spans="1:15" s="6" customFormat="1">
      <c r="A5" s="6" t="s">
        <v>28</v>
      </c>
      <c r="B5" s="53">
        <v>1102036</v>
      </c>
      <c r="C5" s="53">
        <v>2503975</v>
      </c>
      <c r="D5" s="53">
        <v>5591236</v>
      </c>
      <c r="E5" s="53">
        <v>3796312</v>
      </c>
      <c r="F5" s="53">
        <v>2590434</v>
      </c>
      <c r="G5" s="53">
        <v>2704250</v>
      </c>
      <c r="H5" s="53">
        <v>3785411</v>
      </c>
      <c r="I5" s="53">
        <v>3755825</v>
      </c>
      <c r="J5" s="53">
        <v>3335785</v>
      </c>
      <c r="K5" s="53">
        <v>2998356</v>
      </c>
      <c r="L5" s="53">
        <v>2831511</v>
      </c>
      <c r="M5" s="53">
        <v>1460406</v>
      </c>
      <c r="N5" s="12">
        <f>SUM(B5:M5)</f>
        <v>36455537</v>
      </c>
      <c r="O5" s="29"/>
    </row>
    <row r="6" spans="1:15" s="6" customFormat="1">
      <c r="A6" s="6" t="s">
        <v>29</v>
      </c>
      <c r="B6" s="53">
        <v>70448</v>
      </c>
      <c r="C6" s="53">
        <v>71234</v>
      </c>
      <c r="D6" s="53">
        <v>278603</v>
      </c>
      <c r="E6" s="53">
        <v>106870</v>
      </c>
      <c r="F6" s="53">
        <v>72743</v>
      </c>
      <c r="G6" s="53">
        <v>153728</v>
      </c>
      <c r="H6" s="53">
        <v>54728</v>
      </c>
      <c r="I6" s="53">
        <v>85911</v>
      </c>
      <c r="J6" s="53">
        <v>228813</v>
      </c>
      <c r="K6" s="53">
        <v>89970</v>
      </c>
      <c r="L6" s="53">
        <v>316808</v>
      </c>
      <c r="M6" s="53">
        <v>118439</v>
      </c>
      <c r="N6" s="7">
        <f>SUM(B6:M6)</f>
        <v>1648295</v>
      </c>
      <c r="O6" s="29"/>
    </row>
    <row r="7" spans="1:15" s="6" customFormat="1">
      <c r="B7" s="7"/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7">
        <f>SUM(B7:M7)</f>
        <v>0</v>
      </c>
      <c r="O7" s="29"/>
    </row>
    <row r="8" spans="1:15" s="6" customFormat="1">
      <c r="B8" s="15"/>
      <c r="C8" s="15"/>
      <c r="D8" s="15"/>
      <c r="E8" s="15"/>
      <c r="F8" s="15"/>
      <c r="G8" s="15"/>
      <c r="H8" s="15"/>
      <c r="I8" s="15"/>
      <c r="J8" s="15"/>
      <c r="K8" s="15"/>
      <c r="L8" s="15"/>
      <c r="M8" s="15"/>
      <c r="N8" s="15">
        <f>SUM(B8:M8)</f>
        <v>0</v>
      </c>
      <c r="O8" s="29"/>
    </row>
    <row r="9" spans="1:15" s="6" customFormat="1">
      <c r="A9" s="13" t="s">
        <v>30</v>
      </c>
      <c r="B9" s="12">
        <f t="shared" ref="B9:N9" si="0">SUM(B5:B8)</f>
        <v>1172484</v>
      </c>
      <c r="C9" s="12">
        <f t="shared" si="0"/>
        <v>2575209</v>
      </c>
      <c r="D9" s="12">
        <f t="shared" si="0"/>
        <v>5869839</v>
      </c>
      <c r="E9" s="12">
        <f t="shared" si="0"/>
        <v>3903182</v>
      </c>
      <c r="F9" s="12">
        <f t="shared" si="0"/>
        <v>2663177</v>
      </c>
      <c r="G9" s="12">
        <f t="shared" si="0"/>
        <v>2857978</v>
      </c>
      <c r="H9" s="12">
        <f t="shared" si="0"/>
        <v>3840139</v>
      </c>
      <c r="I9" s="12">
        <f t="shared" si="0"/>
        <v>3841736</v>
      </c>
      <c r="J9" s="12">
        <f t="shared" si="0"/>
        <v>3564598</v>
      </c>
      <c r="K9" s="12">
        <f t="shared" si="0"/>
        <v>3088326</v>
      </c>
      <c r="L9" s="12">
        <f t="shared" si="0"/>
        <v>3148319</v>
      </c>
      <c r="M9" s="12">
        <f t="shared" si="0"/>
        <v>1578845</v>
      </c>
      <c r="N9" s="12">
        <f t="shared" si="0"/>
        <v>38103832</v>
      </c>
      <c r="O9" s="29"/>
    </row>
    <row r="10" spans="1:15" s="6" customFormat="1" ht="6.75" customHeight="1"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29"/>
    </row>
    <row r="11" spans="1:15" s="6" customFormat="1">
      <c r="A11" s="13" t="s">
        <v>31</v>
      </c>
      <c r="B11" s="7">
        <f>99729+B56</f>
        <v>87140</v>
      </c>
      <c r="C11" s="7">
        <f>10280+C56</f>
        <v>-1332</v>
      </c>
      <c r="D11" s="7">
        <f>13117+D56</f>
        <v>926</v>
      </c>
      <c r="E11" s="7">
        <v>0</v>
      </c>
      <c r="F11" s="7">
        <v>0</v>
      </c>
      <c r="G11" s="7">
        <v>0</v>
      </c>
      <c r="H11" s="7">
        <v>0</v>
      </c>
      <c r="I11" s="7">
        <v>0</v>
      </c>
      <c r="J11" s="7">
        <v>0</v>
      </c>
      <c r="K11" s="7">
        <v>0</v>
      </c>
      <c r="L11" s="7">
        <v>0</v>
      </c>
      <c r="M11" s="7">
        <v>0</v>
      </c>
      <c r="N11" s="7">
        <f>SUM(B11:M11)</f>
        <v>86734</v>
      </c>
      <c r="O11" s="29"/>
    </row>
    <row r="12" spans="1:15" s="6" customFormat="1" ht="7.5" customHeight="1">
      <c r="B12" s="7"/>
      <c r="C12" s="7"/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  <c r="O12" s="29"/>
    </row>
    <row r="13" spans="1:15" s="6" customFormat="1" ht="13.5" thickBot="1">
      <c r="A13" s="13" t="s">
        <v>32</v>
      </c>
      <c r="B13" s="14">
        <f t="shared" ref="B13:N13" si="1">B9+B11</f>
        <v>1259624</v>
      </c>
      <c r="C13" s="14">
        <f>C9+C11</f>
        <v>2573877</v>
      </c>
      <c r="D13" s="14">
        <f t="shared" si="1"/>
        <v>5870765</v>
      </c>
      <c r="E13" s="14">
        <f t="shared" si="1"/>
        <v>3903182</v>
      </c>
      <c r="F13" s="14">
        <f t="shared" si="1"/>
        <v>2663177</v>
      </c>
      <c r="G13" s="14">
        <f t="shared" si="1"/>
        <v>2857978</v>
      </c>
      <c r="H13" s="14">
        <f t="shared" si="1"/>
        <v>3840139</v>
      </c>
      <c r="I13" s="14">
        <f t="shared" si="1"/>
        <v>3841736</v>
      </c>
      <c r="J13" s="14">
        <f t="shared" si="1"/>
        <v>3564598</v>
      </c>
      <c r="K13" s="14">
        <f t="shared" si="1"/>
        <v>3088326</v>
      </c>
      <c r="L13" s="14">
        <f t="shared" si="1"/>
        <v>3148319</v>
      </c>
      <c r="M13" s="14">
        <f t="shared" si="1"/>
        <v>1578845</v>
      </c>
      <c r="N13" s="14">
        <f t="shared" si="1"/>
        <v>38190566</v>
      </c>
      <c r="O13" s="29"/>
    </row>
    <row r="14" spans="1:15" s="6" customFormat="1" ht="13.5" thickTop="1">
      <c r="B14" s="7"/>
      <c r="C14" s="7"/>
      <c r="D14" s="7"/>
      <c r="E14" s="7"/>
      <c r="F14" s="7"/>
      <c r="G14" s="7"/>
      <c r="H14" s="7"/>
      <c r="I14" s="7"/>
      <c r="J14" s="7"/>
      <c r="K14" s="7"/>
      <c r="L14" s="7"/>
      <c r="M14" s="7"/>
    </row>
    <row r="15" spans="1:15" s="6" customFormat="1">
      <c r="A15" s="13" t="s">
        <v>33</v>
      </c>
      <c r="B15" s="7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</row>
    <row r="16" spans="1:15" s="6" customFormat="1">
      <c r="A16" s="6" t="s">
        <v>34</v>
      </c>
      <c r="B16" s="53">
        <v>444475</v>
      </c>
      <c r="C16" s="53">
        <v>1463048</v>
      </c>
      <c r="D16" s="53">
        <v>3023160</v>
      </c>
      <c r="E16" s="53">
        <v>1317514</v>
      </c>
      <c r="F16" s="53">
        <v>955424</v>
      </c>
      <c r="G16" s="53">
        <v>1054272</v>
      </c>
      <c r="H16" s="53">
        <v>2341142</v>
      </c>
      <c r="I16" s="53">
        <v>1611344</v>
      </c>
      <c r="J16" s="53">
        <v>1215922</v>
      </c>
      <c r="K16" s="53">
        <v>1090469</v>
      </c>
      <c r="L16" s="53">
        <v>1126126</v>
      </c>
      <c r="M16" s="53">
        <v>849456</v>
      </c>
      <c r="N16" s="7">
        <f>SUM(B16:M16)</f>
        <v>16492352</v>
      </c>
      <c r="O16" s="29"/>
    </row>
    <row r="17" spans="1:44" s="6" customFormat="1">
      <c r="B17" s="27"/>
      <c r="C17" s="27"/>
      <c r="D17" s="27"/>
      <c r="E17" s="27"/>
      <c r="F17" s="27"/>
      <c r="G17" s="27"/>
      <c r="H17" s="27"/>
      <c r="I17" s="27"/>
      <c r="J17" s="27"/>
      <c r="K17" s="27"/>
      <c r="L17" s="27"/>
      <c r="M17" s="27"/>
      <c r="N17" s="7">
        <f>SUM(B17:M17)</f>
        <v>0</v>
      </c>
    </row>
    <row r="18" spans="1:44" s="6" customFormat="1">
      <c r="B18" s="7"/>
      <c r="C18" s="7"/>
      <c r="D18" s="7"/>
      <c r="E18" s="7"/>
      <c r="F18" s="7"/>
      <c r="G18" s="7"/>
      <c r="H18" s="7"/>
      <c r="I18" s="7"/>
      <c r="J18" s="7"/>
      <c r="K18" s="7"/>
      <c r="L18" s="7"/>
      <c r="M18" s="7"/>
      <c r="N18" s="7">
        <v>0</v>
      </c>
    </row>
    <row r="19" spans="1:44" s="6" customFormat="1">
      <c r="B19" s="15"/>
      <c r="C19" s="15"/>
      <c r="D19" s="15"/>
      <c r="E19" s="15"/>
      <c r="F19" s="15"/>
      <c r="G19" s="15"/>
      <c r="H19" s="15"/>
      <c r="I19" s="15"/>
      <c r="J19" s="15"/>
      <c r="K19" s="15"/>
      <c r="L19" s="15"/>
      <c r="M19" s="15"/>
      <c r="N19" s="15">
        <f>SUM(B19:M19)</f>
        <v>0</v>
      </c>
    </row>
    <row r="20" spans="1:44" s="6" customFormat="1">
      <c r="A20" s="13" t="s">
        <v>35</v>
      </c>
      <c r="B20" s="12">
        <f t="shared" ref="B20:N20" si="2">SUM(B16:B19)</f>
        <v>444475</v>
      </c>
      <c r="C20" s="12">
        <f t="shared" si="2"/>
        <v>1463048</v>
      </c>
      <c r="D20" s="12">
        <f t="shared" si="2"/>
        <v>3023160</v>
      </c>
      <c r="E20" s="12">
        <f t="shared" si="2"/>
        <v>1317514</v>
      </c>
      <c r="F20" s="12">
        <f t="shared" si="2"/>
        <v>955424</v>
      </c>
      <c r="G20" s="12">
        <f t="shared" si="2"/>
        <v>1054272</v>
      </c>
      <c r="H20" s="12">
        <f t="shared" si="2"/>
        <v>2341142</v>
      </c>
      <c r="I20" s="12">
        <f t="shared" si="2"/>
        <v>1611344</v>
      </c>
      <c r="J20" s="12">
        <f t="shared" si="2"/>
        <v>1215922</v>
      </c>
      <c r="K20" s="12">
        <f t="shared" si="2"/>
        <v>1090469</v>
      </c>
      <c r="L20" s="12">
        <f t="shared" si="2"/>
        <v>1126126</v>
      </c>
      <c r="M20" s="12">
        <f t="shared" si="2"/>
        <v>849456</v>
      </c>
      <c r="N20" s="12">
        <f t="shared" si="2"/>
        <v>16492352</v>
      </c>
      <c r="O20" s="29"/>
    </row>
    <row r="21" spans="1:44" s="6" customFormat="1">
      <c r="B21" s="7"/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</row>
    <row r="22" spans="1:44" s="6" customFormat="1">
      <c r="A22" s="13" t="s">
        <v>36</v>
      </c>
      <c r="B22" s="7"/>
      <c r="C22" s="7"/>
      <c r="D22" s="7"/>
      <c r="E22" s="7"/>
      <c r="F22" s="7"/>
      <c r="G22" s="7"/>
      <c r="H22" s="7"/>
      <c r="I22" s="7"/>
      <c r="J22" s="7"/>
      <c r="K22" s="7"/>
      <c r="L22" s="7"/>
      <c r="M22" s="7"/>
    </row>
    <row r="23" spans="1:44" s="6" customFormat="1">
      <c r="A23" s="6" t="s">
        <v>37</v>
      </c>
      <c r="B23" s="7">
        <f t="shared" ref="B23:M26" si="3">+B5-B16</f>
        <v>657561</v>
      </c>
      <c r="C23" s="7">
        <f t="shared" si="3"/>
        <v>1040927</v>
      </c>
      <c r="D23" s="7">
        <f t="shared" si="3"/>
        <v>2568076</v>
      </c>
      <c r="E23" s="7">
        <f t="shared" si="3"/>
        <v>2478798</v>
      </c>
      <c r="F23" s="7">
        <f t="shared" si="3"/>
        <v>1635010</v>
      </c>
      <c r="G23" s="7">
        <f t="shared" si="3"/>
        <v>1649978</v>
      </c>
      <c r="H23" s="7">
        <f t="shared" si="3"/>
        <v>1444269</v>
      </c>
      <c r="I23" s="7">
        <f t="shared" si="3"/>
        <v>2144481</v>
      </c>
      <c r="J23" s="7">
        <f t="shared" si="3"/>
        <v>2119863</v>
      </c>
      <c r="K23" s="7">
        <f t="shared" si="3"/>
        <v>1907887</v>
      </c>
      <c r="L23" s="7">
        <f t="shared" si="3"/>
        <v>1705385</v>
      </c>
      <c r="M23" s="7">
        <f t="shared" si="3"/>
        <v>610950</v>
      </c>
      <c r="N23" s="7">
        <f>SUM(B23:M23)</f>
        <v>19963185</v>
      </c>
      <c r="O23" s="29"/>
    </row>
    <row r="24" spans="1:44" s="6" customFormat="1">
      <c r="A24" s="6" t="s">
        <v>37</v>
      </c>
      <c r="B24" s="7">
        <f t="shared" si="3"/>
        <v>70448</v>
      </c>
      <c r="C24" s="7">
        <f t="shared" si="3"/>
        <v>71234</v>
      </c>
      <c r="D24" s="7">
        <f t="shared" si="3"/>
        <v>278603</v>
      </c>
      <c r="E24" s="7">
        <f t="shared" si="3"/>
        <v>106870</v>
      </c>
      <c r="F24" s="7">
        <f t="shared" si="3"/>
        <v>72743</v>
      </c>
      <c r="G24" s="7">
        <f t="shared" si="3"/>
        <v>153728</v>
      </c>
      <c r="H24" s="7">
        <f t="shared" si="3"/>
        <v>54728</v>
      </c>
      <c r="I24" s="7">
        <f t="shared" si="3"/>
        <v>85911</v>
      </c>
      <c r="J24" s="7">
        <f t="shared" si="3"/>
        <v>228813</v>
      </c>
      <c r="K24" s="7">
        <f t="shared" si="3"/>
        <v>89970</v>
      </c>
      <c r="L24" s="7">
        <f t="shared" si="3"/>
        <v>316808</v>
      </c>
      <c r="M24" s="7">
        <f t="shared" si="3"/>
        <v>118439</v>
      </c>
      <c r="N24" s="7">
        <f>SUM(B24:M24)</f>
        <v>1648295</v>
      </c>
      <c r="O24" s="29"/>
    </row>
    <row r="25" spans="1:44" s="6" customFormat="1">
      <c r="A25" s="6" t="s">
        <v>38</v>
      </c>
      <c r="B25" s="7">
        <f t="shared" si="3"/>
        <v>0</v>
      </c>
      <c r="C25" s="7">
        <f t="shared" si="3"/>
        <v>0</v>
      </c>
      <c r="D25" s="7">
        <f t="shared" si="3"/>
        <v>0</v>
      </c>
      <c r="E25" s="7">
        <f t="shared" si="3"/>
        <v>0</v>
      </c>
      <c r="F25" s="7">
        <f t="shared" si="3"/>
        <v>0</v>
      </c>
      <c r="G25" s="7">
        <f t="shared" si="3"/>
        <v>0</v>
      </c>
      <c r="H25" s="7">
        <f t="shared" si="3"/>
        <v>0</v>
      </c>
      <c r="I25" s="7">
        <f t="shared" si="3"/>
        <v>0</v>
      </c>
      <c r="J25" s="7">
        <f t="shared" si="3"/>
        <v>0</v>
      </c>
      <c r="K25" s="7">
        <f t="shared" si="3"/>
        <v>0</v>
      </c>
      <c r="L25" s="7">
        <f t="shared" si="3"/>
        <v>0</v>
      </c>
      <c r="M25" s="7">
        <f t="shared" si="3"/>
        <v>0</v>
      </c>
      <c r="N25" s="7">
        <f>SUM(B25:M25)</f>
        <v>0</v>
      </c>
      <c r="O25" s="29"/>
    </row>
    <row r="26" spans="1:44" s="6" customFormat="1">
      <c r="A26" s="6" t="s">
        <v>38</v>
      </c>
      <c r="B26" s="15">
        <f t="shared" si="3"/>
        <v>0</v>
      </c>
      <c r="C26" s="15">
        <f t="shared" si="3"/>
        <v>0</v>
      </c>
      <c r="D26" s="15">
        <f t="shared" si="3"/>
        <v>0</v>
      </c>
      <c r="E26" s="15">
        <f t="shared" si="3"/>
        <v>0</v>
      </c>
      <c r="F26" s="15">
        <f t="shared" si="3"/>
        <v>0</v>
      </c>
      <c r="G26" s="15">
        <f t="shared" si="3"/>
        <v>0</v>
      </c>
      <c r="H26" s="15">
        <f t="shared" si="3"/>
        <v>0</v>
      </c>
      <c r="I26" s="15">
        <f t="shared" si="3"/>
        <v>0</v>
      </c>
      <c r="J26" s="15">
        <f t="shared" si="3"/>
        <v>0</v>
      </c>
      <c r="K26" s="15">
        <f t="shared" si="3"/>
        <v>0</v>
      </c>
      <c r="L26" s="15">
        <f t="shared" si="3"/>
        <v>0</v>
      </c>
      <c r="M26" s="15">
        <f t="shared" si="3"/>
        <v>0</v>
      </c>
      <c r="N26" s="15">
        <f>SUM(B26:M26)</f>
        <v>0</v>
      </c>
      <c r="O26" s="29"/>
    </row>
    <row r="27" spans="1:44" s="6" customFormat="1">
      <c r="A27" s="13" t="s">
        <v>39</v>
      </c>
      <c r="B27" s="12">
        <f t="shared" ref="B27:N27" si="4">SUM(B23:B26)</f>
        <v>728009</v>
      </c>
      <c r="C27" s="12">
        <f t="shared" si="4"/>
        <v>1112161</v>
      </c>
      <c r="D27" s="12">
        <f t="shared" si="4"/>
        <v>2846679</v>
      </c>
      <c r="E27" s="12">
        <f t="shared" si="4"/>
        <v>2585668</v>
      </c>
      <c r="F27" s="12">
        <f t="shared" si="4"/>
        <v>1707753</v>
      </c>
      <c r="G27" s="12">
        <f t="shared" si="4"/>
        <v>1803706</v>
      </c>
      <c r="H27" s="12">
        <f t="shared" si="4"/>
        <v>1498997</v>
      </c>
      <c r="I27" s="12">
        <f t="shared" si="4"/>
        <v>2230392</v>
      </c>
      <c r="J27" s="12">
        <f t="shared" si="4"/>
        <v>2348676</v>
      </c>
      <c r="K27" s="12">
        <f t="shared" si="4"/>
        <v>1997857</v>
      </c>
      <c r="L27" s="12">
        <f t="shared" si="4"/>
        <v>2022193</v>
      </c>
      <c r="M27" s="12">
        <f>SUM(M23:M26)</f>
        <v>729389</v>
      </c>
      <c r="N27" s="12">
        <f t="shared" si="4"/>
        <v>21611480</v>
      </c>
      <c r="O27" s="29"/>
    </row>
    <row r="28" spans="1:44" s="6" customFormat="1" ht="14.45" customHeight="1">
      <c r="B28" s="73">
        <f>+B27/B9</f>
        <v>0.620911671289331</v>
      </c>
      <c r="C28" s="73">
        <f t="shared" ref="C28:N28" si="5">+C27/C9</f>
        <v>0.43187213154349802</v>
      </c>
      <c r="D28" s="73">
        <f t="shared" si="5"/>
        <v>0.48496713453299145</v>
      </c>
      <c r="E28" s="73">
        <f t="shared" si="5"/>
        <v>0.66245130255263529</v>
      </c>
      <c r="F28" s="73">
        <f t="shared" si="5"/>
        <v>0.6412465262353948</v>
      </c>
      <c r="G28" s="73">
        <f t="shared" si="5"/>
        <v>0.63111262577948468</v>
      </c>
      <c r="H28" s="73">
        <f t="shared" si="5"/>
        <v>0.39034967223842676</v>
      </c>
      <c r="I28" s="73">
        <f t="shared" si="5"/>
        <v>0.58056878452866101</v>
      </c>
      <c r="J28" s="73">
        <f t="shared" si="5"/>
        <v>0.65888944559807305</v>
      </c>
      <c r="K28" s="73">
        <f t="shared" si="5"/>
        <v>0.64690612325253227</v>
      </c>
      <c r="L28" s="73">
        <f t="shared" si="5"/>
        <v>0.64230880034710591</v>
      </c>
      <c r="M28" s="73">
        <f t="shared" si="5"/>
        <v>0.4619763181312922</v>
      </c>
      <c r="N28" s="73">
        <f t="shared" si="5"/>
        <v>0.56717340135238892</v>
      </c>
    </row>
    <row r="29" spans="1:44" s="6" customFormat="1" hidden="1">
      <c r="A29" s="13" t="s">
        <v>40</v>
      </c>
      <c r="B29" s="7"/>
      <c r="C29" s="7"/>
      <c r="D29" s="7"/>
      <c r="E29" s="7"/>
      <c r="F29" s="7"/>
      <c r="G29" s="7"/>
      <c r="H29" s="7"/>
      <c r="I29" s="7"/>
      <c r="J29" s="7"/>
      <c r="K29" s="7"/>
      <c r="L29" s="7"/>
      <c r="M29" s="7"/>
    </row>
    <row r="30" spans="1:44" s="6" customFormat="1" hidden="1">
      <c r="A30" s="6" t="s">
        <v>93</v>
      </c>
      <c r="B30" s="53">
        <v>415779</v>
      </c>
      <c r="C30" s="53">
        <v>561495</v>
      </c>
      <c r="D30" s="53">
        <v>742338</v>
      </c>
      <c r="E30" s="53">
        <v>779433</v>
      </c>
      <c r="F30" s="53">
        <v>605087</v>
      </c>
      <c r="G30" s="53">
        <v>598355</v>
      </c>
      <c r="H30" s="53">
        <v>602418</v>
      </c>
      <c r="I30" s="53">
        <v>684805</v>
      </c>
      <c r="J30" s="53">
        <v>688935</v>
      </c>
      <c r="K30" s="53">
        <v>755862</v>
      </c>
      <c r="L30" s="53">
        <v>642868</v>
      </c>
      <c r="M30" s="53">
        <v>459430</v>
      </c>
      <c r="N30" s="7">
        <f>SUM(B30:M30)</f>
        <v>7536805</v>
      </c>
      <c r="O30" s="29"/>
    </row>
    <row r="31" spans="1:44" s="6" customFormat="1" hidden="1">
      <c r="A31" s="6" t="s">
        <v>42</v>
      </c>
      <c r="B31" s="53">
        <v>245383</v>
      </c>
      <c r="C31" s="53">
        <v>212042</v>
      </c>
      <c r="D31" s="53">
        <v>203129</v>
      </c>
      <c r="E31" s="53">
        <v>227112</v>
      </c>
      <c r="F31" s="53">
        <v>192649</v>
      </c>
      <c r="G31" s="53">
        <v>192611</v>
      </c>
      <c r="H31" s="53">
        <v>210145</v>
      </c>
      <c r="I31" s="53">
        <v>198285</v>
      </c>
      <c r="J31" s="53">
        <v>198545</v>
      </c>
      <c r="K31" s="53">
        <v>226530</v>
      </c>
      <c r="L31" s="53">
        <v>194439</v>
      </c>
      <c r="M31" s="53">
        <v>198004</v>
      </c>
      <c r="N31" s="7">
        <f>SUM(B31:M31)</f>
        <v>2498874</v>
      </c>
      <c r="O31" s="29"/>
    </row>
    <row r="32" spans="1:44" s="6" customFormat="1" ht="15" hidden="1">
      <c r="A32" s="6" t="s">
        <v>38</v>
      </c>
      <c r="B32" s="68"/>
      <c r="C32" s="68"/>
      <c r="D32" s="68"/>
      <c r="E32" s="68"/>
      <c r="F32" s="68"/>
      <c r="G32" s="68"/>
      <c r="H32" s="68"/>
      <c r="I32" s="68"/>
      <c r="J32" s="68"/>
      <c r="K32" s="68"/>
      <c r="L32" s="68"/>
      <c r="M32" s="68"/>
      <c r="N32" s="7">
        <f>SUM(B32:M32)</f>
        <v>0</v>
      </c>
      <c r="O32" s="29"/>
      <c r="P32" s="6">
        <f>+B32*-1</f>
        <v>0</v>
      </c>
      <c r="Q32" s="6">
        <f t="shared" ref="Q32:AF33" si="6">+C32*-1</f>
        <v>0</v>
      </c>
      <c r="R32" s="6">
        <f t="shared" si="6"/>
        <v>0</v>
      </c>
      <c r="S32" s="6">
        <f t="shared" si="6"/>
        <v>0</v>
      </c>
      <c r="T32" s="6">
        <f t="shared" si="6"/>
        <v>0</v>
      </c>
      <c r="U32" s="6">
        <f t="shared" si="6"/>
        <v>0</v>
      </c>
      <c r="V32" s="6">
        <f t="shared" si="6"/>
        <v>0</v>
      </c>
      <c r="W32" s="6">
        <f t="shared" si="6"/>
        <v>0</v>
      </c>
      <c r="X32" s="6">
        <f t="shared" si="6"/>
        <v>0</v>
      </c>
      <c r="Y32" s="6">
        <f t="shared" si="6"/>
        <v>0</v>
      </c>
      <c r="Z32" s="6">
        <f t="shared" si="6"/>
        <v>0</v>
      </c>
      <c r="AA32" s="6">
        <f t="shared" si="6"/>
        <v>0</v>
      </c>
      <c r="AB32" s="6">
        <f t="shared" si="6"/>
        <v>0</v>
      </c>
      <c r="AC32" s="6">
        <f t="shared" si="6"/>
        <v>0</v>
      </c>
      <c r="AD32" s="6">
        <f t="shared" si="6"/>
        <v>0</v>
      </c>
      <c r="AE32" s="6">
        <f t="shared" si="6"/>
        <v>0</v>
      </c>
      <c r="AF32" s="6">
        <f t="shared" si="6"/>
        <v>0</v>
      </c>
      <c r="AG32" s="6">
        <f t="shared" ref="AG32:AR33" si="7">+S32*-1</f>
        <v>0</v>
      </c>
      <c r="AH32" s="6">
        <f t="shared" si="7"/>
        <v>0</v>
      </c>
      <c r="AI32" s="6">
        <f t="shared" si="7"/>
        <v>0</v>
      </c>
      <c r="AJ32" s="6">
        <f t="shared" si="7"/>
        <v>0</v>
      </c>
      <c r="AK32" s="6">
        <f t="shared" si="7"/>
        <v>0</v>
      </c>
      <c r="AL32" s="6">
        <f t="shared" si="7"/>
        <v>0</v>
      </c>
      <c r="AM32" s="6">
        <f t="shared" si="7"/>
        <v>0</v>
      </c>
      <c r="AN32" s="6">
        <f t="shared" si="7"/>
        <v>0</v>
      </c>
      <c r="AO32" s="6">
        <f t="shared" si="7"/>
        <v>0</v>
      </c>
      <c r="AP32" s="6">
        <f t="shared" si="7"/>
        <v>0</v>
      </c>
      <c r="AQ32" s="6">
        <f t="shared" si="7"/>
        <v>0</v>
      </c>
      <c r="AR32" s="6">
        <f t="shared" si="7"/>
        <v>0</v>
      </c>
    </row>
    <row r="33" spans="1:44" s="6" customFormat="1" hidden="1">
      <c r="B33" s="15"/>
      <c r="C33" s="15"/>
      <c r="D33" s="15"/>
      <c r="E33" s="15"/>
      <c r="F33" s="15"/>
      <c r="G33" s="15"/>
      <c r="H33" s="15"/>
      <c r="I33" s="15"/>
      <c r="J33" s="15"/>
      <c r="K33" s="15"/>
      <c r="L33" s="15"/>
      <c r="M33" s="15"/>
      <c r="N33" s="15">
        <f>SUM(B33:M33)</f>
        <v>0</v>
      </c>
      <c r="O33" s="29"/>
      <c r="Q33" s="6">
        <f t="shared" si="6"/>
        <v>0</v>
      </c>
      <c r="R33" s="6">
        <f t="shared" si="6"/>
        <v>0</v>
      </c>
      <c r="S33" s="6">
        <f t="shared" si="6"/>
        <v>0</v>
      </c>
      <c r="T33" s="6">
        <f t="shared" si="6"/>
        <v>0</v>
      </c>
      <c r="U33" s="6">
        <f t="shared" si="6"/>
        <v>0</v>
      </c>
      <c r="V33" s="6">
        <f t="shared" si="6"/>
        <v>0</v>
      </c>
      <c r="W33" s="6">
        <f t="shared" si="6"/>
        <v>0</v>
      </c>
      <c r="X33" s="6">
        <f t="shared" si="6"/>
        <v>0</v>
      </c>
      <c r="Y33" s="6">
        <f t="shared" si="6"/>
        <v>0</v>
      </c>
      <c r="Z33" s="6">
        <f t="shared" si="6"/>
        <v>0</v>
      </c>
      <c r="AA33" s="6">
        <f t="shared" si="6"/>
        <v>0</v>
      </c>
      <c r="AB33" s="6">
        <f t="shared" si="6"/>
        <v>0</v>
      </c>
      <c r="AC33" s="6">
        <f t="shared" si="6"/>
        <v>0</v>
      </c>
      <c r="AD33" s="6">
        <f t="shared" si="6"/>
        <v>0</v>
      </c>
      <c r="AE33" s="6">
        <f t="shared" si="6"/>
        <v>0</v>
      </c>
      <c r="AF33" s="6">
        <f t="shared" si="6"/>
        <v>0</v>
      </c>
      <c r="AG33" s="6">
        <f t="shared" si="7"/>
        <v>0</v>
      </c>
      <c r="AH33" s="6">
        <f t="shared" si="7"/>
        <v>0</v>
      </c>
      <c r="AI33" s="6">
        <f t="shared" si="7"/>
        <v>0</v>
      </c>
      <c r="AJ33" s="6">
        <f t="shared" si="7"/>
        <v>0</v>
      </c>
      <c r="AK33" s="6">
        <f t="shared" si="7"/>
        <v>0</v>
      </c>
      <c r="AL33" s="6">
        <f t="shared" si="7"/>
        <v>0</v>
      </c>
      <c r="AM33" s="6">
        <f t="shared" si="7"/>
        <v>0</v>
      </c>
      <c r="AN33" s="6">
        <f t="shared" si="7"/>
        <v>0</v>
      </c>
      <c r="AO33" s="6">
        <f t="shared" si="7"/>
        <v>0</v>
      </c>
      <c r="AP33" s="6">
        <f t="shared" si="7"/>
        <v>0</v>
      </c>
      <c r="AQ33" s="6">
        <f t="shared" si="7"/>
        <v>0</v>
      </c>
      <c r="AR33" s="6">
        <f t="shared" si="7"/>
        <v>0</v>
      </c>
    </row>
    <row r="34" spans="1:44" s="6" customFormat="1">
      <c r="A34" s="13" t="s">
        <v>43</v>
      </c>
      <c r="B34" s="12">
        <f t="shared" ref="B34:N34" si="8">SUM(B30:B33)</f>
        <v>661162</v>
      </c>
      <c r="C34" s="12">
        <f t="shared" si="8"/>
        <v>773537</v>
      </c>
      <c r="D34" s="12">
        <f t="shared" si="8"/>
        <v>945467</v>
      </c>
      <c r="E34" s="12">
        <f t="shared" si="8"/>
        <v>1006545</v>
      </c>
      <c r="F34" s="12">
        <f t="shared" si="8"/>
        <v>797736</v>
      </c>
      <c r="G34" s="12">
        <f t="shared" si="8"/>
        <v>790966</v>
      </c>
      <c r="H34" s="12">
        <f t="shared" si="8"/>
        <v>812563</v>
      </c>
      <c r="I34" s="12">
        <f t="shared" si="8"/>
        <v>883090</v>
      </c>
      <c r="J34" s="12">
        <f t="shared" si="8"/>
        <v>887480</v>
      </c>
      <c r="K34" s="12">
        <f t="shared" si="8"/>
        <v>982392</v>
      </c>
      <c r="L34" s="12">
        <f t="shared" si="8"/>
        <v>837307</v>
      </c>
      <c r="M34" s="12">
        <f t="shared" si="8"/>
        <v>657434</v>
      </c>
      <c r="N34" s="12">
        <f t="shared" si="8"/>
        <v>10035679</v>
      </c>
      <c r="O34" s="29"/>
    </row>
    <row r="35" spans="1:44" s="6" customFormat="1">
      <c r="B35" s="7"/>
      <c r="C35" s="7"/>
      <c r="D35" s="7"/>
      <c r="E35" s="7"/>
      <c r="F35" s="7"/>
      <c r="G35" s="7"/>
      <c r="H35" s="7"/>
      <c r="I35" s="7"/>
      <c r="J35" s="7"/>
      <c r="K35" s="7"/>
      <c r="L35" s="7"/>
      <c r="M35" s="7"/>
    </row>
    <row r="36" spans="1:44" s="6" customFormat="1" hidden="1">
      <c r="A36" s="13" t="s">
        <v>44</v>
      </c>
      <c r="B36" s="7"/>
      <c r="C36" s="7"/>
      <c r="D36" s="7"/>
      <c r="E36" s="7"/>
      <c r="F36" s="7"/>
      <c r="G36" s="7"/>
      <c r="H36" s="7"/>
      <c r="I36" s="7"/>
      <c r="J36" s="7"/>
      <c r="K36" s="7"/>
      <c r="L36" s="7"/>
      <c r="M36" s="7"/>
    </row>
    <row r="37" spans="1:44" s="6" customFormat="1" hidden="1">
      <c r="A37" s="6" t="s">
        <v>45</v>
      </c>
      <c r="B37" s="53">
        <v>1168701</v>
      </c>
      <c r="C37" s="53">
        <v>1244422</v>
      </c>
      <c r="D37" s="53">
        <v>1461507</v>
      </c>
      <c r="E37" s="53">
        <v>1790911</v>
      </c>
      <c r="F37" s="53">
        <v>1394318</v>
      </c>
      <c r="G37" s="66">
        <v>1406377</v>
      </c>
      <c r="H37" s="66">
        <v>1275000</v>
      </c>
      <c r="I37" s="66">
        <v>1496169</v>
      </c>
      <c r="J37" s="66">
        <v>1531501</v>
      </c>
      <c r="K37" s="53">
        <v>1582030</v>
      </c>
      <c r="L37" s="53">
        <v>1425841</v>
      </c>
      <c r="M37" s="53">
        <v>1274220</v>
      </c>
      <c r="N37" s="7">
        <f>SUM(B37:M37)</f>
        <v>17050997</v>
      </c>
      <c r="O37" s="29"/>
      <c r="P37" s="69"/>
    </row>
    <row r="38" spans="1:44" s="6" customFormat="1" hidden="1">
      <c r="A38" s="6" t="s">
        <v>46</v>
      </c>
      <c r="B38" s="7">
        <f>-B34</f>
        <v>-661162</v>
      </c>
      <c r="C38" s="7">
        <f t="shared" ref="C38:M38" si="9">-C34</f>
        <v>-773537</v>
      </c>
      <c r="D38" s="7">
        <f t="shared" si="9"/>
        <v>-945467</v>
      </c>
      <c r="E38" s="7">
        <f t="shared" si="9"/>
        <v>-1006545</v>
      </c>
      <c r="F38" s="7">
        <f t="shared" si="9"/>
        <v>-797736</v>
      </c>
      <c r="G38" s="7">
        <f t="shared" si="9"/>
        <v>-790966</v>
      </c>
      <c r="H38" s="7">
        <f t="shared" si="9"/>
        <v>-812563</v>
      </c>
      <c r="I38" s="7">
        <f t="shared" si="9"/>
        <v>-883090</v>
      </c>
      <c r="J38" s="7">
        <f t="shared" si="9"/>
        <v>-887480</v>
      </c>
      <c r="K38" s="7">
        <f t="shared" si="9"/>
        <v>-982392</v>
      </c>
      <c r="L38" s="7">
        <f t="shared" si="9"/>
        <v>-837307</v>
      </c>
      <c r="M38" s="7">
        <f t="shared" si="9"/>
        <v>-657434</v>
      </c>
      <c r="N38" s="7">
        <f>SUM(B38:M38)</f>
        <v>-10035679</v>
      </c>
      <c r="O38" s="29"/>
    </row>
    <row r="39" spans="1:44" s="6" customFormat="1" hidden="1">
      <c r="A39" s="6" t="s">
        <v>47</v>
      </c>
      <c r="B39" s="72">
        <v>-77886</v>
      </c>
      <c r="C39" s="72">
        <v>-77317</v>
      </c>
      <c r="D39" s="72">
        <v>-76975</v>
      </c>
      <c r="E39" s="72">
        <v>-81090</v>
      </c>
      <c r="F39" s="72">
        <v>-81090</v>
      </c>
      <c r="G39" s="72">
        <v>-81079</v>
      </c>
      <c r="H39" s="72">
        <v>-89229</v>
      </c>
      <c r="I39" s="72">
        <v>-88964</v>
      </c>
      <c r="J39" s="72">
        <v>-88964</v>
      </c>
      <c r="K39" s="72">
        <v>-88563</v>
      </c>
      <c r="L39" s="72">
        <v>-97279</v>
      </c>
      <c r="M39" s="72">
        <v>-97277</v>
      </c>
      <c r="N39" s="7">
        <f>SUM(B39:M39)</f>
        <v>-1025713</v>
      </c>
      <c r="O39" s="29"/>
    </row>
    <row r="40" spans="1:44" s="6" customFormat="1" hidden="1">
      <c r="A40" s="6" t="s">
        <v>78</v>
      </c>
      <c r="B40" s="53"/>
      <c r="C40" s="53"/>
      <c r="D40" s="53"/>
      <c r="E40" s="53"/>
      <c r="F40" s="53"/>
      <c r="G40" s="53"/>
      <c r="H40" s="53"/>
      <c r="I40" s="53"/>
      <c r="J40" s="53"/>
      <c r="K40" s="53"/>
      <c r="L40" s="53"/>
      <c r="M40" s="53"/>
      <c r="N40" s="7">
        <f>SUM(B40:M40)</f>
        <v>0</v>
      </c>
      <c r="O40" s="29"/>
    </row>
    <row r="41" spans="1:44" s="6" customFormat="1" hidden="1">
      <c r="A41" s="6" t="s">
        <v>48</v>
      </c>
      <c r="B41" s="60">
        <v>-8350</v>
      </c>
      <c r="C41" s="60">
        <v>-8250</v>
      </c>
      <c r="D41" s="60">
        <v>-8350</v>
      </c>
      <c r="E41" s="60">
        <v>-8350</v>
      </c>
      <c r="F41" s="60">
        <v>-8350</v>
      </c>
      <c r="G41" s="60">
        <v>-8350</v>
      </c>
      <c r="H41" s="60">
        <v>-8350</v>
      </c>
      <c r="I41" s="60">
        <v>-8350</v>
      </c>
      <c r="J41" s="60">
        <v>-8350</v>
      </c>
      <c r="K41" s="60">
        <v>-8350</v>
      </c>
      <c r="L41" s="60">
        <v>-8350</v>
      </c>
      <c r="M41" s="60">
        <v>-30300</v>
      </c>
      <c r="N41" s="15">
        <f>SUM(B41:M41)</f>
        <v>-122050</v>
      </c>
      <c r="O41" s="29"/>
    </row>
    <row r="42" spans="1:44" s="6" customFormat="1">
      <c r="A42" s="13" t="s">
        <v>49</v>
      </c>
      <c r="B42" s="12">
        <f t="shared" ref="B42:N42" si="10">SUM(B37:B41)</f>
        <v>421303</v>
      </c>
      <c r="C42" s="12">
        <f t="shared" si="10"/>
        <v>385318</v>
      </c>
      <c r="D42" s="12">
        <f t="shared" si="10"/>
        <v>430715</v>
      </c>
      <c r="E42" s="12">
        <f t="shared" si="10"/>
        <v>694926</v>
      </c>
      <c r="F42" s="12">
        <f t="shared" si="10"/>
        <v>507142</v>
      </c>
      <c r="G42" s="12">
        <f t="shared" si="10"/>
        <v>525982</v>
      </c>
      <c r="H42" s="12">
        <f t="shared" si="10"/>
        <v>364858</v>
      </c>
      <c r="I42" s="12">
        <f t="shared" si="10"/>
        <v>515765</v>
      </c>
      <c r="J42" s="12">
        <f t="shared" si="10"/>
        <v>546707</v>
      </c>
      <c r="K42" s="12">
        <f t="shared" si="10"/>
        <v>502725</v>
      </c>
      <c r="L42" s="12">
        <f t="shared" si="10"/>
        <v>482905</v>
      </c>
      <c r="M42" s="12">
        <f t="shared" si="10"/>
        <v>489209</v>
      </c>
      <c r="N42" s="12">
        <f t="shared" si="10"/>
        <v>5867555</v>
      </c>
      <c r="O42" s="29"/>
    </row>
    <row r="43" spans="1:44">
      <c r="A43" s="1"/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2"/>
      <c r="N43" s="12"/>
      <c r="O43" s="6"/>
    </row>
    <row r="44" spans="1:44" hidden="1">
      <c r="A44" s="13" t="s">
        <v>50</v>
      </c>
      <c r="B44" s="53">
        <v>296581</v>
      </c>
      <c r="C44" s="53">
        <v>244043</v>
      </c>
      <c r="D44" s="53">
        <v>272075</v>
      </c>
      <c r="E44" s="53">
        <v>362175</v>
      </c>
      <c r="F44" s="53">
        <v>398914</v>
      </c>
      <c r="G44" s="53">
        <v>307622</v>
      </c>
      <c r="H44" s="53">
        <v>357356</v>
      </c>
      <c r="I44" s="53">
        <v>287747</v>
      </c>
      <c r="J44" s="53">
        <v>322520</v>
      </c>
      <c r="K44" s="53">
        <v>378879</v>
      </c>
      <c r="L44" s="53">
        <v>307614</v>
      </c>
      <c r="M44" s="53">
        <v>705082</v>
      </c>
      <c r="N44" s="12">
        <f>SUM(B44:M44)</f>
        <v>4240608</v>
      </c>
      <c r="O44" s="29"/>
    </row>
    <row r="45" spans="1:44" hidden="1">
      <c r="A45" s="6" t="s">
        <v>51</v>
      </c>
      <c r="B45" s="22"/>
      <c r="C45" s="22"/>
      <c r="D45" s="22"/>
      <c r="E45" s="22"/>
      <c r="F45" s="22"/>
      <c r="G45" s="22"/>
      <c r="H45" s="22"/>
      <c r="I45" s="22"/>
      <c r="J45" s="22"/>
      <c r="K45" s="22"/>
      <c r="L45" s="22"/>
      <c r="M45" s="22"/>
      <c r="N45" s="22">
        <f>SUM(B45:M45)</f>
        <v>0</v>
      </c>
      <c r="O45" s="29"/>
    </row>
    <row r="46" spans="1:44">
      <c r="A46" s="1" t="s">
        <v>50</v>
      </c>
      <c r="B46" s="12">
        <f>SUM(B44:B45)</f>
        <v>296581</v>
      </c>
      <c r="C46" s="12">
        <f>SUM(C44:C45)</f>
        <v>244043</v>
      </c>
      <c r="D46" s="12">
        <f t="shared" ref="D46:N46" si="11">SUM(D44:D45)</f>
        <v>272075</v>
      </c>
      <c r="E46" s="12">
        <f t="shared" si="11"/>
        <v>362175</v>
      </c>
      <c r="F46" s="12">
        <f t="shared" si="11"/>
        <v>398914</v>
      </c>
      <c r="G46" s="12">
        <f t="shared" si="11"/>
        <v>307622</v>
      </c>
      <c r="H46" s="12">
        <f t="shared" si="11"/>
        <v>357356</v>
      </c>
      <c r="I46" s="12">
        <f t="shared" si="11"/>
        <v>287747</v>
      </c>
      <c r="J46" s="12">
        <f t="shared" si="11"/>
        <v>322520</v>
      </c>
      <c r="K46" s="12">
        <f t="shared" si="11"/>
        <v>378879</v>
      </c>
      <c r="L46" s="12">
        <f t="shared" si="11"/>
        <v>307614</v>
      </c>
      <c r="M46" s="12">
        <f t="shared" si="11"/>
        <v>705082</v>
      </c>
      <c r="N46" s="12">
        <f t="shared" si="11"/>
        <v>4240608</v>
      </c>
      <c r="O46" s="29"/>
    </row>
    <row r="47" spans="1:44">
      <c r="B47" s="7"/>
      <c r="C47" s="7"/>
      <c r="D47" s="7"/>
      <c r="E47" s="7"/>
      <c r="F47" s="7"/>
      <c r="G47" s="7"/>
      <c r="H47" s="7"/>
      <c r="I47" s="7"/>
      <c r="J47" s="7"/>
      <c r="K47" s="6"/>
      <c r="L47" s="6"/>
      <c r="M47" s="6"/>
      <c r="N47" s="6"/>
      <c r="O47" s="6"/>
    </row>
    <row r="48" spans="1:44">
      <c r="A48" s="13" t="s">
        <v>52</v>
      </c>
      <c r="B48" s="19">
        <f t="shared" ref="B48:N48" si="12">+B20+B34+B42+B46</f>
        <v>1823521</v>
      </c>
      <c r="C48" s="19">
        <f t="shared" si="12"/>
        <v>2865946</v>
      </c>
      <c r="D48" s="19">
        <f t="shared" si="12"/>
        <v>4671417</v>
      </c>
      <c r="E48" s="19">
        <f t="shared" si="12"/>
        <v>3381160</v>
      </c>
      <c r="F48" s="19">
        <f t="shared" si="12"/>
        <v>2659216</v>
      </c>
      <c r="G48" s="19">
        <f t="shared" si="12"/>
        <v>2678842</v>
      </c>
      <c r="H48" s="19">
        <f t="shared" si="12"/>
        <v>3875919</v>
      </c>
      <c r="I48" s="19">
        <f t="shared" si="12"/>
        <v>3297946</v>
      </c>
      <c r="J48" s="19">
        <f t="shared" si="12"/>
        <v>2972629</v>
      </c>
      <c r="K48" s="19">
        <f t="shared" si="12"/>
        <v>2954465</v>
      </c>
      <c r="L48" s="19">
        <f t="shared" si="12"/>
        <v>2753952</v>
      </c>
      <c r="M48" s="19">
        <f t="shared" si="12"/>
        <v>2701181</v>
      </c>
      <c r="N48" s="19">
        <f t="shared" si="12"/>
        <v>36636194</v>
      </c>
      <c r="O48" s="29"/>
    </row>
    <row r="49" spans="1:17">
      <c r="B49" s="7"/>
      <c r="C49" s="7"/>
      <c r="D49" s="7"/>
      <c r="E49" s="7"/>
      <c r="F49" s="7"/>
      <c r="G49" s="7"/>
      <c r="H49" s="7"/>
      <c r="I49" s="7"/>
      <c r="J49" s="7"/>
      <c r="K49" s="6"/>
      <c r="L49" s="6"/>
      <c r="M49" s="6"/>
      <c r="N49" s="6"/>
      <c r="O49" s="6"/>
    </row>
    <row r="50" spans="1:17">
      <c r="A50" s="1" t="s">
        <v>53</v>
      </c>
      <c r="B50" s="12">
        <f t="shared" ref="B50:M50" si="13">+B13-B48</f>
        <v>-563897</v>
      </c>
      <c r="C50" s="12">
        <f t="shared" si="13"/>
        <v>-292069</v>
      </c>
      <c r="D50" s="12">
        <f t="shared" si="13"/>
        <v>1199348</v>
      </c>
      <c r="E50" s="12">
        <f t="shared" si="13"/>
        <v>522022</v>
      </c>
      <c r="F50" s="12">
        <f t="shared" si="13"/>
        <v>3961</v>
      </c>
      <c r="G50" s="12">
        <f t="shared" si="13"/>
        <v>179136</v>
      </c>
      <c r="H50" s="12">
        <f t="shared" si="13"/>
        <v>-35780</v>
      </c>
      <c r="I50" s="12">
        <f t="shared" si="13"/>
        <v>543790</v>
      </c>
      <c r="J50" s="12">
        <f t="shared" si="13"/>
        <v>591969</v>
      </c>
      <c r="K50" s="12">
        <f t="shared" si="13"/>
        <v>133861</v>
      </c>
      <c r="L50" s="12">
        <f t="shared" si="13"/>
        <v>394367</v>
      </c>
      <c r="M50" s="12">
        <f t="shared" si="13"/>
        <v>-1122336</v>
      </c>
      <c r="N50" s="12">
        <f>SUM(B50:M50)</f>
        <v>1554372</v>
      </c>
      <c r="O50" s="6"/>
      <c r="P50" s="25"/>
    </row>
    <row r="51" spans="1:17" ht="7.5" customHeight="1">
      <c r="B51" s="7"/>
      <c r="C51" s="7"/>
      <c r="D51" s="7"/>
      <c r="E51" s="7"/>
      <c r="F51" s="7"/>
      <c r="G51" s="7"/>
      <c r="H51" s="7"/>
      <c r="I51" s="7"/>
      <c r="J51" s="7"/>
      <c r="K51" s="6"/>
      <c r="L51" s="6"/>
      <c r="M51" s="6"/>
      <c r="N51" s="6"/>
      <c r="O51" s="6"/>
    </row>
    <row r="52" spans="1:17">
      <c r="A52" s="1" t="s">
        <v>54</v>
      </c>
      <c r="B52" s="7"/>
      <c r="C52" s="7"/>
      <c r="D52" s="7"/>
      <c r="E52" s="7"/>
      <c r="F52" s="7"/>
      <c r="G52" s="7"/>
      <c r="H52" s="7"/>
      <c r="I52" s="7"/>
      <c r="J52" s="7"/>
      <c r="K52" s="6"/>
      <c r="L52" s="6"/>
      <c r="M52" s="6"/>
      <c r="N52" s="6"/>
      <c r="O52" s="6"/>
    </row>
    <row r="53" spans="1:17" s="6" customFormat="1">
      <c r="A53" s="6" t="s">
        <v>55</v>
      </c>
      <c r="B53" s="10">
        <v>101289</v>
      </c>
      <c r="C53" s="10">
        <v>230379</v>
      </c>
      <c r="D53" s="10">
        <v>5347</v>
      </c>
      <c r="E53" s="10">
        <v>171500</v>
      </c>
      <c r="F53" s="10">
        <v>137500</v>
      </c>
      <c r="G53" s="10">
        <v>120200</v>
      </c>
      <c r="H53" s="23">
        <v>116000</v>
      </c>
      <c r="I53" s="10">
        <v>265000</v>
      </c>
      <c r="J53" s="10">
        <v>0</v>
      </c>
      <c r="K53" s="10">
        <v>192250</v>
      </c>
      <c r="L53" s="10">
        <v>243000</v>
      </c>
      <c r="M53" s="10">
        <v>275000</v>
      </c>
      <c r="N53" s="10">
        <f>SUM(B53:M53)</f>
        <v>1857465</v>
      </c>
      <c r="P53" s="40"/>
    </row>
    <row r="54" spans="1:17" s="6" customFormat="1">
      <c r="A54" s="6" t="s">
        <v>96</v>
      </c>
      <c r="B54" s="10"/>
      <c r="C54" s="10"/>
      <c r="D54" s="10"/>
      <c r="E54" s="10"/>
      <c r="F54" s="10">
        <v>95000</v>
      </c>
      <c r="G54" s="10"/>
      <c r="H54" s="10"/>
      <c r="I54" s="10"/>
      <c r="J54" s="10"/>
      <c r="K54" s="10"/>
      <c r="L54" s="10"/>
      <c r="M54" s="10"/>
      <c r="N54" s="10">
        <f>SUM(B54:M54)</f>
        <v>95000</v>
      </c>
      <c r="P54" s="7"/>
      <c r="Q54" s="6">
        <v>0</v>
      </c>
    </row>
    <row r="55" spans="1:17" s="6" customFormat="1">
      <c r="A55" s="6" t="s">
        <v>97</v>
      </c>
      <c r="B55" s="10">
        <f>276228+184</f>
        <v>276412</v>
      </c>
      <c r="C55" s="10"/>
      <c r="D55" s="10"/>
      <c r="E55" s="10"/>
      <c r="F55" s="10"/>
      <c r="G55" s="10"/>
      <c r="H55" s="10"/>
      <c r="I55" s="10"/>
      <c r="J55" s="10"/>
      <c r="K55" s="10"/>
      <c r="L55" s="10">
        <v>0</v>
      </c>
      <c r="M55" s="10">
        <v>0</v>
      </c>
      <c r="N55" s="10">
        <f>SUM(B55:M55)</f>
        <v>276412</v>
      </c>
      <c r="P55" s="7"/>
    </row>
    <row r="56" spans="1:17" s="6" customFormat="1">
      <c r="A56" s="37" t="s">
        <v>58</v>
      </c>
      <c r="B56" s="7">
        <v>-12589</v>
      </c>
      <c r="C56" s="7">
        <v>-11612</v>
      </c>
      <c r="D56" s="7">
        <v>-12191</v>
      </c>
      <c r="E56" s="7">
        <v>-12500</v>
      </c>
      <c r="F56" s="7">
        <v>-12500</v>
      </c>
      <c r="G56" s="7">
        <v>-12500</v>
      </c>
      <c r="H56" s="10">
        <v>-12500</v>
      </c>
      <c r="I56" s="7">
        <v>-12500</v>
      </c>
      <c r="J56" s="7">
        <v>-12500</v>
      </c>
      <c r="K56" s="7">
        <v>-12500</v>
      </c>
      <c r="L56" s="7">
        <v>-12500</v>
      </c>
      <c r="M56" s="7">
        <v>-12500</v>
      </c>
      <c r="N56" s="7">
        <f>SUM(B56:M56)</f>
        <v>-148892</v>
      </c>
      <c r="P56" s="56"/>
    </row>
    <row r="57" spans="1:17" s="6" customFormat="1">
      <c r="A57" s="6" t="s">
        <v>59</v>
      </c>
      <c r="B57" s="22">
        <v>-187388</v>
      </c>
      <c r="C57" s="22">
        <v>-40876</v>
      </c>
      <c r="D57" s="22">
        <v>-158851</v>
      </c>
      <c r="E57" s="22">
        <v>-25000</v>
      </c>
      <c r="F57" s="22">
        <v>-25000</v>
      </c>
      <c r="G57" s="22">
        <v>-25000</v>
      </c>
      <c r="H57" s="10">
        <v>-25000</v>
      </c>
      <c r="I57" s="22">
        <v>-25000</v>
      </c>
      <c r="J57" s="22">
        <v>-25000</v>
      </c>
      <c r="K57" s="22">
        <v>-25000</v>
      </c>
      <c r="L57" s="22">
        <v>-25000</v>
      </c>
      <c r="M57" s="22">
        <v>-25000</v>
      </c>
      <c r="N57" s="22">
        <f>SUM(B57:M57)</f>
        <v>-612115</v>
      </c>
      <c r="P57" s="7"/>
    </row>
    <row r="58" spans="1:17" s="6" customFormat="1">
      <c r="A58" s="13" t="s">
        <v>60</v>
      </c>
      <c r="B58" s="19">
        <f t="shared" ref="B58:N58" si="14">SUM(B53:B57)</f>
        <v>177724</v>
      </c>
      <c r="C58" s="19">
        <f t="shared" si="14"/>
        <v>177891</v>
      </c>
      <c r="D58" s="19">
        <f t="shared" si="14"/>
        <v>-165695</v>
      </c>
      <c r="E58" s="19">
        <f t="shared" si="14"/>
        <v>134000</v>
      </c>
      <c r="F58" s="19">
        <f t="shared" si="14"/>
        <v>195000</v>
      </c>
      <c r="G58" s="19">
        <f t="shared" si="14"/>
        <v>82700</v>
      </c>
      <c r="H58" s="19">
        <f>SUM(H53:H57)</f>
        <v>78500</v>
      </c>
      <c r="I58" s="19">
        <f t="shared" si="14"/>
        <v>227500</v>
      </c>
      <c r="J58" s="19">
        <f t="shared" si="14"/>
        <v>-37500</v>
      </c>
      <c r="K58" s="19">
        <f t="shared" si="14"/>
        <v>154750</v>
      </c>
      <c r="L58" s="19">
        <f t="shared" si="14"/>
        <v>205500</v>
      </c>
      <c r="M58" s="19">
        <f t="shared" si="14"/>
        <v>237500</v>
      </c>
      <c r="N58" s="19">
        <f t="shared" si="14"/>
        <v>1467870</v>
      </c>
      <c r="O58" s="29"/>
    </row>
    <row r="59" spans="1:17">
      <c r="B59" s="7"/>
      <c r="C59" s="7"/>
      <c r="D59" s="7"/>
      <c r="E59" s="7"/>
      <c r="F59" s="7"/>
      <c r="G59" s="7"/>
      <c r="H59" s="7"/>
      <c r="I59" s="7"/>
      <c r="J59" s="7"/>
      <c r="K59" s="7"/>
      <c r="L59" s="7"/>
      <c r="M59" s="7"/>
      <c r="N59" s="7"/>
      <c r="O59" s="6"/>
    </row>
    <row r="60" spans="1:17">
      <c r="A60" s="1" t="s">
        <v>61</v>
      </c>
      <c r="B60" s="12">
        <v>13373023</v>
      </c>
      <c r="C60" s="7"/>
      <c r="D60" s="7"/>
      <c r="E60" s="7"/>
      <c r="F60" s="7"/>
      <c r="G60" s="7"/>
      <c r="H60" s="7" t="s">
        <v>38</v>
      </c>
      <c r="I60" s="7"/>
      <c r="J60" s="7"/>
      <c r="K60" s="6"/>
      <c r="L60" s="6"/>
      <c r="M60" s="6"/>
      <c r="N60" s="6"/>
      <c r="O60" s="6"/>
    </row>
    <row r="61" spans="1:17">
      <c r="A61" s="13" t="s">
        <v>62</v>
      </c>
      <c r="B61" s="19">
        <f t="shared" ref="B61:N61" si="15">+B58+B48</f>
        <v>2001245</v>
      </c>
      <c r="C61" s="19">
        <f t="shared" si="15"/>
        <v>3043837</v>
      </c>
      <c r="D61" s="19">
        <f t="shared" si="15"/>
        <v>4505722</v>
      </c>
      <c r="E61" s="19">
        <f t="shared" si="15"/>
        <v>3515160</v>
      </c>
      <c r="F61" s="19">
        <f t="shared" si="15"/>
        <v>2854216</v>
      </c>
      <c r="G61" s="19">
        <f t="shared" si="15"/>
        <v>2761542</v>
      </c>
      <c r="H61" s="19">
        <f t="shared" si="15"/>
        <v>3954419</v>
      </c>
      <c r="I61" s="19">
        <f t="shared" si="15"/>
        <v>3525446</v>
      </c>
      <c r="J61" s="19">
        <f t="shared" si="15"/>
        <v>2935129</v>
      </c>
      <c r="K61" s="19">
        <f t="shared" si="15"/>
        <v>3109215</v>
      </c>
      <c r="L61" s="19">
        <f t="shared" si="15"/>
        <v>2959452</v>
      </c>
      <c r="M61" s="19">
        <f t="shared" si="15"/>
        <v>2938681</v>
      </c>
      <c r="N61" s="19">
        <f t="shared" si="15"/>
        <v>38104064</v>
      </c>
      <c r="O61" s="29"/>
      <c r="P61" s="25">
        <f>+N61-O61</f>
        <v>38104064</v>
      </c>
    </row>
    <row r="62" spans="1:17" ht="13.5" thickBot="1">
      <c r="A62" s="13" t="s">
        <v>63</v>
      </c>
      <c r="B62" s="30">
        <f t="shared" ref="B62:N62" si="16">+B13-B61</f>
        <v>-741621</v>
      </c>
      <c r="C62" s="30">
        <f t="shared" si="16"/>
        <v>-469960</v>
      </c>
      <c r="D62" s="30">
        <f t="shared" si="16"/>
        <v>1365043</v>
      </c>
      <c r="E62" s="14">
        <f t="shared" si="16"/>
        <v>388022</v>
      </c>
      <c r="F62" s="14">
        <f t="shared" si="16"/>
        <v>-191039</v>
      </c>
      <c r="G62" s="14">
        <f t="shared" si="16"/>
        <v>96436</v>
      </c>
      <c r="H62" s="14">
        <f t="shared" si="16"/>
        <v>-114280</v>
      </c>
      <c r="I62" s="14">
        <f t="shared" si="16"/>
        <v>316290</v>
      </c>
      <c r="J62" s="14">
        <f t="shared" si="16"/>
        <v>629469</v>
      </c>
      <c r="K62" s="14">
        <f t="shared" si="16"/>
        <v>-20889</v>
      </c>
      <c r="L62" s="14">
        <f t="shared" si="16"/>
        <v>188867</v>
      </c>
      <c r="M62" s="14">
        <f t="shared" si="16"/>
        <v>-1359836</v>
      </c>
      <c r="N62" s="14">
        <f t="shared" si="16"/>
        <v>86502</v>
      </c>
      <c r="O62" s="29"/>
      <c r="P62" s="25">
        <f>+N62-O62</f>
        <v>86502</v>
      </c>
    </row>
    <row r="63" spans="1:17" s="6" customFormat="1" ht="13.5" thickTop="1">
      <c r="A63" s="13" t="s">
        <v>64</v>
      </c>
      <c r="B63" s="32">
        <f>+B62</f>
        <v>-741621</v>
      </c>
      <c r="C63" s="32">
        <f t="shared" ref="C63:M63" si="17">B63+C62</f>
        <v>-1211581</v>
      </c>
      <c r="D63" s="32">
        <f t="shared" si="17"/>
        <v>153462</v>
      </c>
      <c r="E63" s="12">
        <f t="shared" si="17"/>
        <v>541484</v>
      </c>
      <c r="F63" s="12">
        <f t="shared" si="17"/>
        <v>350445</v>
      </c>
      <c r="G63" s="12">
        <f t="shared" si="17"/>
        <v>446881</v>
      </c>
      <c r="H63" s="12">
        <f t="shared" si="17"/>
        <v>332601</v>
      </c>
      <c r="I63" s="12">
        <f t="shared" si="17"/>
        <v>648891</v>
      </c>
      <c r="J63" s="12">
        <f t="shared" si="17"/>
        <v>1278360</v>
      </c>
      <c r="K63" s="12">
        <f t="shared" si="17"/>
        <v>1257471</v>
      </c>
      <c r="L63" s="12">
        <f t="shared" si="17"/>
        <v>1446338</v>
      </c>
      <c r="M63" s="12">
        <f t="shared" si="17"/>
        <v>86502</v>
      </c>
      <c r="N63" s="12"/>
    </row>
    <row r="64" spans="1:17">
      <c r="A64" s="13" t="s">
        <v>65</v>
      </c>
      <c r="B64" s="12">
        <f t="shared" ref="B64:M64" si="18">+$B$60+B63</f>
        <v>12631402</v>
      </c>
      <c r="C64" s="12">
        <f t="shared" si="18"/>
        <v>12161442</v>
      </c>
      <c r="D64" s="12">
        <f t="shared" si="18"/>
        <v>13526485</v>
      </c>
      <c r="E64" s="12">
        <f t="shared" si="18"/>
        <v>13914507</v>
      </c>
      <c r="F64" s="12">
        <f t="shared" si="18"/>
        <v>13723468</v>
      </c>
      <c r="G64" s="12">
        <f t="shared" si="18"/>
        <v>13819904</v>
      </c>
      <c r="H64" s="12">
        <f t="shared" si="18"/>
        <v>13705624</v>
      </c>
      <c r="I64" s="12">
        <f t="shared" si="18"/>
        <v>14021914</v>
      </c>
      <c r="J64" s="12">
        <f t="shared" si="18"/>
        <v>14651383</v>
      </c>
      <c r="K64" s="12">
        <f t="shared" si="18"/>
        <v>14630494</v>
      </c>
      <c r="L64" s="12">
        <f t="shared" si="18"/>
        <v>14819361</v>
      </c>
      <c r="M64" s="12">
        <f t="shared" si="18"/>
        <v>13459525</v>
      </c>
      <c r="N64" s="12"/>
      <c r="O64" s="6"/>
      <c r="P64" s="29"/>
    </row>
    <row r="65" spans="1:16">
      <c r="A65" s="6"/>
      <c r="B65" s="7"/>
      <c r="C65" s="7"/>
      <c r="D65" s="7"/>
      <c r="E65" s="7"/>
      <c r="F65" s="7"/>
      <c r="G65" s="7"/>
      <c r="H65" s="7"/>
      <c r="I65" s="7"/>
      <c r="J65" s="7"/>
      <c r="K65" s="6"/>
      <c r="L65" s="6"/>
      <c r="M65" s="6"/>
      <c r="N65" s="6"/>
      <c r="O65" s="6"/>
    </row>
    <row r="66" spans="1:16" s="6" customFormat="1">
      <c r="A66" s="17" t="s">
        <v>94</v>
      </c>
      <c r="B66" s="18"/>
      <c r="C66" s="18"/>
      <c r="D66" s="18"/>
      <c r="E66" s="18"/>
      <c r="F66" s="18"/>
      <c r="G66" s="18"/>
      <c r="H66" s="18"/>
      <c r="I66" s="18"/>
      <c r="J66" s="18"/>
      <c r="K66" s="18"/>
      <c r="L66" s="18"/>
      <c r="M66" s="18"/>
      <c r="N66" s="18"/>
    </row>
    <row r="67" spans="1:16" ht="13.5" thickBot="1">
      <c r="A67" s="13" t="s">
        <v>67</v>
      </c>
      <c r="B67" s="14">
        <v>-968259</v>
      </c>
      <c r="C67" s="14">
        <v>165657</v>
      </c>
      <c r="D67" s="14">
        <v>1175481</v>
      </c>
      <c r="E67" s="14">
        <v>388022</v>
      </c>
      <c r="F67" s="14">
        <v>-191039</v>
      </c>
      <c r="G67" s="14">
        <v>96436</v>
      </c>
      <c r="H67" s="14">
        <v>-114280</v>
      </c>
      <c r="I67" s="14">
        <v>316290</v>
      </c>
      <c r="J67" s="14">
        <v>629469</v>
      </c>
      <c r="K67" s="14">
        <v>-20889</v>
      </c>
      <c r="L67" s="14">
        <v>188867</v>
      </c>
      <c r="M67" s="14">
        <v>-1359836</v>
      </c>
      <c r="N67" s="16"/>
      <c r="O67" s="6"/>
    </row>
    <row r="68" spans="1:16" ht="13.5" thickTop="1">
      <c r="A68" s="13" t="s">
        <v>64</v>
      </c>
      <c r="B68" s="12">
        <f>+B67</f>
        <v>-968259</v>
      </c>
      <c r="C68" s="12">
        <f>+B68+C67</f>
        <v>-802602</v>
      </c>
      <c r="D68" s="12">
        <f t="shared" ref="D68:M68" si="19">+C68+D67</f>
        <v>372879</v>
      </c>
      <c r="E68" s="12">
        <f t="shared" si="19"/>
        <v>760901</v>
      </c>
      <c r="F68" s="12">
        <f t="shared" si="19"/>
        <v>569862</v>
      </c>
      <c r="G68" s="12">
        <f t="shared" si="19"/>
        <v>666298</v>
      </c>
      <c r="H68" s="12">
        <f t="shared" si="19"/>
        <v>552018</v>
      </c>
      <c r="I68" s="12">
        <f t="shared" si="19"/>
        <v>868308</v>
      </c>
      <c r="J68" s="12">
        <f t="shared" si="19"/>
        <v>1497777</v>
      </c>
      <c r="K68" s="12">
        <f t="shared" si="19"/>
        <v>1476888</v>
      </c>
      <c r="L68" s="12">
        <f t="shared" si="19"/>
        <v>1665755</v>
      </c>
      <c r="M68" s="12">
        <f t="shared" si="19"/>
        <v>305919</v>
      </c>
      <c r="N68" s="16"/>
      <c r="O68" s="6"/>
    </row>
    <row r="69" spans="1:16">
      <c r="A69" s="13" t="s">
        <v>65</v>
      </c>
      <c r="B69" s="12">
        <v>10066787.80069958</v>
      </c>
      <c r="C69" s="12">
        <v>10474885.82712047</v>
      </c>
      <c r="D69" s="12">
        <v>11546728.467384296</v>
      </c>
      <c r="E69" s="12">
        <v>11992721.928639133</v>
      </c>
      <c r="F69" s="12">
        <v>11726972.321587943</v>
      </c>
      <c r="G69" s="12">
        <v>11337269.706012141</v>
      </c>
      <c r="H69" s="12">
        <v>11322908.797641888</v>
      </c>
      <c r="I69" s="12">
        <v>11526789.393104676</v>
      </c>
      <c r="J69" s="12">
        <v>11837705.668475684</v>
      </c>
      <c r="K69" s="12">
        <v>12021264.778665379</v>
      </c>
      <c r="L69" s="12">
        <v>12475612.568366794</v>
      </c>
      <c r="M69" s="12">
        <v>11197948.23476476</v>
      </c>
      <c r="N69" s="12"/>
      <c r="O69" s="6"/>
    </row>
    <row r="70" spans="1:16">
      <c r="A70" s="6"/>
      <c r="B70" s="6"/>
      <c r="C70" s="6"/>
      <c r="D70" s="6"/>
      <c r="E70" s="6"/>
      <c r="F70" s="6"/>
      <c r="H70" s="6"/>
      <c r="I70" s="6"/>
      <c r="J70" s="6"/>
      <c r="K70" s="6"/>
      <c r="L70" s="6"/>
      <c r="M70" s="6"/>
      <c r="N70" s="6"/>
      <c r="O70" s="6"/>
    </row>
    <row r="71" spans="1:16">
      <c r="A71" s="24" t="s">
        <v>68</v>
      </c>
      <c r="B71" s="18"/>
      <c r="C71" s="18"/>
      <c r="D71" s="18"/>
      <c r="E71" s="18"/>
      <c r="F71" s="18"/>
      <c r="G71" s="18"/>
      <c r="H71" s="18"/>
      <c r="I71" s="18"/>
      <c r="J71" s="18"/>
      <c r="K71" s="18"/>
      <c r="L71" s="18"/>
      <c r="M71" s="18"/>
      <c r="N71" s="18"/>
      <c r="O71" s="6"/>
    </row>
    <row r="72" spans="1:16">
      <c r="A72" s="13" t="s">
        <v>63</v>
      </c>
      <c r="B72" s="31">
        <f t="shared" ref="B72:N74" si="20">+B62-B67</f>
        <v>226638</v>
      </c>
      <c r="C72" s="31">
        <f t="shared" si="20"/>
        <v>-635617</v>
      </c>
      <c r="D72" s="31">
        <f t="shared" si="20"/>
        <v>189562</v>
      </c>
      <c r="E72" s="16">
        <f t="shared" si="20"/>
        <v>0</v>
      </c>
      <c r="F72" s="16">
        <f t="shared" si="20"/>
        <v>0</v>
      </c>
      <c r="G72" s="16">
        <f t="shared" si="20"/>
        <v>0</v>
      </c>
      <c r="H72" s="16">
        <f t="shared" si="20"/>
        <v>0</v>
      </c>
      <c r="I72" s="16">
        <f t="shared" si="20"/>
        <v>0</v>
      </c>
      <c r="J72" s="16">
        <f t="shared" si="20"/>
        <v>0</v>
      </c>
      <c r="K72" s="16">
        <f t="shared" si="20"/>
        <v>0</v>
      </c>
      <c r="L72" s="16">
        <f t="shared" si="20"/>
        <v>0</v>
      </c>
      <c r="M72" s="16">
        <f t="shared" si="20"/>
        <v>0</v>
      </c>
      <c r="N72" s="6"/>
      <c r="O72" s="6"/>
      <c r="P72" s="16">
        <f>+N62-N67</f>
        <v>86502</v>
      </c>
    </row>
    <row r="73" spans="1:16" s="6" customFormat="1">
      <c r="A73" s="13" t="s">
        <v>64</v>
      </c>
      <c r="B73" s="31">
        <f t="shared" si="20"/>
        <v>226638</v>
      </c>
      <c r="C73" s="31">
        <f t="shared" si="20"/>
        <v>-408979</v>
      </c>
      <c r="D73" s="31">
        <f t="shared" si="20"/>
        <v>-219417</v>
      </c>
      <c r="E73" s="16">
        <f t="shared" si="20"/>
        <v>-219417</v>
      </c>
      <c r="F73" s="16">
        <f t="shared" si="20"/>
        <v>-219417</v>
      </c>
      <c r="G73" s="16">
        <f t="shared" si="20"/>
        <v>-219417</v>
      </c>
      <c r="H73" s="16">
        <f t="shared" si="20"/>
        <v>-219417</v>
      </c>
      <c r="I73" s="16">
        <f t="shared" si="20"/>
        <v>-219417</v>
      </c>
      <c r="J73" s="16">
        <f t="shared" si="20"/>
        <v>-219417</v>
      </c>
      <c r="K73" s="16">
        <f t="shared" si="20"/>
        <v>-219417</v>
      </c>
      <c r="L73" s="16">
        <f t="shared" si="20"/>
        <v>-219417</v>
      </c>
      <c r="M73" s="16">
        <f t="shared" si="20"/>
        <v>-219417</v>
      </c>
      <c r="N73" s="16">
        <f t="shared" si="20"/>
        <v>0</v>
      </c>
    </row>
    <row r="74" spans="1:16">
      <c r="A74" s="1" t="s">
        <v>65</v>
      </c>
      <c r="B74" s="16">
        <f t="shared" si="20"/>
        <v>2564614.1993004195</v>
      </c>
      <c r="C74" s="16">
        <f t="shared" si="20"/>
        <v>1686556.1728795301</v>
      </c>
      <c r="D74" s="16">
        <f t="shared" si="20"/>
        <v>1979756.5326157045</v>
      </c>
      <c r="E74" s="16">
        <f t="shared" si="20"/>
        <v>1921785.0713608675</v>
      </c>
      <c r="F74" s="16">
        <f t="shared" si="20"/>
        <v>1996495.6784120575</v>
      </c>
      <c r="G74" s="16">
        <f t="shared" si="20"/>
        <v>2482634.293987859</v>
      </c>
      <c r="H74" s="16">
        <f t="shared" si="20"/>
        <v>2382715.2023581117</v>
      </c>
      <c r="I74" s="16">
        <f t="shared" si="20"/>
        <v>2495124.6068953238</v>
      </c>
      <c r="J74" s="16">
        <f t="shared" si="20"/>
        <v>2813677.3315243162</v>
      </c>
      <c r="K74" s="16">
        <f t="shared" si="20"/>
        <v>2609229.2213346213</v>
      </c>
      <c r="L74" s="16">
        <f t="shared" si="20"/>
        <v>2343748.4316332061</v>
      </c>
      <c r="M74" s="16">
        <f t="shared" si="20"/>
        <v>2261576.7652352396</v>
      </c>
      <c r="N74" s="16"/>
      <c r="O74" s="6"/>
    </row>
    <row r="75" spans="1:16">
      <c r="B75" s="6"/>
      <c r="C75" s="6"/>
      <c r="D75" s="6"/>
      <c r="E75" s="6"/>
      <c r="F75" s="6"/>
      <c r="H75" s="6"/>
      <c r="I75" s="6"/>
      <c r="J75" s="6"/>
      <c r="K75" s="6"/>
      <c r="L75" s="6"/>
      <c r="M75" s="6"/>
      <c r="N75" s="6"/>
    </row>
    <row r="76" spans="1:16">
      <c r="A76" s="1"/>
      <c r="B76" s="4"/>
      <c r="C76" s="8"/>
      <c r="D76" s="8"/>
      <c r="E76" s="8"/>
      <c r="F76" s="8"/>
      <c r="H76" s="20"/>
      <c r="J76" s="6"/>
      <c r="K76" s="6"/>
    </row>
    <row r="77" spans="1:16">
      <c r="A77" s="1"/>
      <c r="B77" s="4"/>
      <c r="C77" s="8"/>
      <c r="D77" s="8"/>
      <c r="E77" s="8"/>
      <c r="F77" s="8"/>
      <c r="H77" s="20"/>
      <c r="J77" s="6"/>
    </row>
    <row r="78" spans="1:16">
      <c r="A78" s="1"/>
      <c r="B78" s="4"/>
      <c r="D78" s="8"/>
      <c r="E78" s="8"/>
      <c r="F78" s="8"/>
      <c r="H78" s="61"/>
      <c r="J78" s="6"/>
    </row>
    <row r="79" spans="1:16">
      <c r="E79" s="6"/>
      <c r="H79" s="20"/>
      <c r="J79" s="6"/>
      <c r="N79" s="25"/>
    </row>
    <row r="80" spans="1:16">
      <c r="A80" t="s">
        <v>69</v>
      </c>
      <c r="B80" t="s">
        <v>69</v>
      </c>
      <c r="C80" t="s">
        <v>69</v>
      </c>
      <c r="D80" t="s">
        <v>69</v>
      </c>
      <c r="E80" s="6" t="s">
        <v>69</v>
      </c>
      <c r="F80" t="s">
        <v>69</v>
      </c>
      <c r="G80" s="6" t="s">
        <v>69</v>
      </c>
      <c r="H80" t="s">
        <v>69</v>
      </c>
      <c r="I80" t="s">
        <v>69</v>
      </c>
      <c r="J80" s="6" t="s">
        <v>69</v>
      </c>
      <c r="K80" t="s">
        <v>69</v>
      </c>
      <c r="L80" t="s">
        <v>69</v>
      </c>
      <c r="M80" t="s">
        <v>69</v>
      </c>
      <c r="N80" t="s">
        <v>69</v>
      </c>
    </row>
    <row r="81" spans="1:14">
      <c r="E81" s="6"/>
      <c r="J81" s="6"/>
    </row>
    <row r="82" spans="1:14">
      <c r="A82" s="33" t="s">
        <v>70</v>
      </c>
      <c r="B82" s="47">
        <v>52000</v>
      </c>
      <c r="C82" s="47">
        <v>20000</v>
      </c>
      <c r="D82" s="47">
        <v>10000</v>
      </c>
      <c r="E82" s="47">
        <v>44355</v>
      </c>
      <c r="F82" s="47">
        <v>186840</v>
      </c>
      <c r="G82" s="10">
        <v>202000</v>
      </c>
      <c r="H82" s="54">
        <v>197000</v>
      </c>
      <c r="I82" s="47">
        <v>142000</v>
      </c>
      <c r="J82" s="47">
        <v>119000</v>
      </c>
      <c r="K82" s="47">
        <v>0</v>
      </c>
      <c r="L82" s="47">
        <v>0</v>
      </c>
      <c r="M82" s="47">
        <v>455000</v>
      </c>
      <c r="N82" s="7">
        <v>1428195</v>
      </c>
    </row>
    <row r="83" spans="1:14">
      <c r="A83" s="33" t="s">
        <v>71</v>
      </c>
      <c r="B83" s="2">
        <f>+B82</f>
        <v>52000</v>
      </c>
      <c r="C83" s="2">
        <f>+B83+C82</f>
        <v>72000</v>
      </c>
      <c r="D83" s="2">
        <f t="shared" ref="D83:M83" si="21">+C83+D82</f>
        <v>82000</v>
      </c>
      <c r="E83" s="7">
        <f t="shared" si="21"/>
        <v>126355</v>
      </c>
      <c r="F83" s="2">
        <f t="shared" si="21"/>
        <v>313195</v>
      </c>
      <c r="G83" s="7">
        <f t="shared" si="21"/>
        <v>515195</v>
      </c>
      <c r="H83" s="2">
        <f t="shared" si="21"/>
        <v>712195</v>
      </c>
      <c r="I83" s="2">
        <f t="shared" si="21"/>
        <v>854195</v>
      </c>
      <c r="J83" s="7">
        <f t="shared" si="21"/>
        <v>973195</v>
      </c>
      <c r="K83" s="2">
        <f t="shared" si="21"/>
        <v>973195</v>
      </c>
      <c r="L83" s="2">
        <f t="shared" si="21"/>
        <v>973195</v>
      </c>
      <c r="M83" s="2">
        <f t="shared" si="21"/>
        <v>1428195</v>
      </c>
    </row>
    <row r="84" spans="1:14">
      <c r="A84" s="33" t="s">
        <v>72</v>
      </c>
      <c r="B84" s="7">
        <f>+B53</f>
        <v>101289</v>
      </c>
      <c r="C84" s="7">
        <f>SUM($B53:C53)</f>
        <v>331668</v>
      </c>
      <c r="D84" s="7">
        <f>SUM($B53:D53)</f>
        <v>337015</v>
      </c>
      <c r="E84" s="7">
        <f>SUM($B53:E53)</f>
        <v>508515</v>
      </c>
      <c r="F84" s="7">
        <f>SUM($B53:F53)</f>
        <v>646015</v>
      </c>
      <c r="G84" s="7">
        <f>SUM($B53:G53)</f>
        <v>766215</v>
      </c>
      <c r="H84" s="7">
        <f>SUM(B53:H53)</f>
        <v>882215</v>
      </c>
      <c r="I84" s="7">
        <f>SUM(B53:I53)</f>
        <v>1147215</v>
      </c>
      <c r="J84" s="7">
        <f>SUM(B53:J53)</f>
        <v>1147215</v>
      </c>
      <c r="K84" s="7">
        <f>SUM(B53:K53)</f>
        <v>1339465</v>
      </c>
      <c r="L84" s="7">
        <f>SUM(B53:L53)</f>
        <v>1582465</v>
      </c>
      <c r="M84" s="7">
        <f>SUM(B53:M53)</f>
        <v>1857465</v>
      </c>
    </row>
    <row r="85" spans="1:14">
      <c r="A85" s="33" t="s">
        <v>73</v>
      </c>
      <c r="B85" s="7">
        <f t="shared" ref="B85:G85" si="22">+B83-B84</f>
        <v>-49289</v>
      </c>
      <c r="C85" s="7">
        <f t="shared" si="22"/>
        <v>-259668</v>
      </c>
      <c r="D85" s="7">
        <f t="shared" si="22"/>
        <v>-255015</v>
      </c>
      <c r="E85" s="7">
        <f t="shared" si="22"/>
        <v>-382160</v>
      </c>
      <c r="F85" s="7">
        <f t="shared" si="22"/>
        <v>-332820</v>
      </c>
      <c r="G85" s="7">
        <f t="shared" si="22"/>
        <v>-251020</v>
      </c>
      <c r="H85" s="7">
        <f t="shared" ref="H85:M85" si="23">+H83-H84</f>
        <v>-170020</v>
      </c>
      <c r="I85" s="7">
        <f t="shared" si="23"/>
        <v>-293020</v>
      </c>
      <c r="J85" s="7">
        <f t="shared" si="23"/>
        <v>-174020</v>
      </c>
      <c r="K85" s="7">
        <f t="shared" si="23"/>
        <v>-366270</v>
      </c>
      <c r="L85" s="7">
        <f t="shared" si="23"/>
        <v>-609270</v>
      </c>
      <c r="M85" s="7">
        <f t="shared" si="23"/>
        <v>-429270</v>
      </c>
    </row>
    <row r="86" spans="1:14">
      <c r="J86" s="6"/>
      <c r="K86" s="6"/>
    </row>
    <row r="87" spans="1:14">
      <c r="A87" t="s">
        <v>74</v>
      </c>
      <c r="B87" s="35">
        <f>-B56-B57</f>
        <v>199977</v>
      </c>
      <c r="C87" s="35">
        <f t="shared" ref="C87:N87" si="24">-C56-C57</f>
        <v>52488</v>
      </c>
      <c r="D87" s="35">
        <f t="shared" si="24"/>
        <v>171042</v>
      </c>
      <c r="E87" s="35">
        <f t="shared" si="24"/>
        <v>37500</v>
      </c>
      <c r="F87" s="35">
        <f t="shared" si="24"/>
        <v>37500</v>
      </c>
      <c r="G87" s="40">
        <f t="shared" si="24"/>
        <v>37500</v>
      </c>
      <c r="H87" s="40">
        <f t="shared" si="24"/>
        <v>37500</v>
      </c>
      <c r="I87" s="35">
        <f t="shared" si="24"/>
        <v>37500</v>
      </c>
      <c r="J87" s="35">
        <f t="shared" si="24"/>
        <v>37500</v>
      </c>
      <c r="K87" s="40">
        <f t="shared" si="24"/>
        <v>37500</v>
      </c>
      <c r="L87" s="35">
        <f t="shared" si="24"/>
        <v>37500</v>
      </c>
      <c r="M87" s="35">
        <f t="shared" si="24"/>
        <v>37500</v>
      </c>
      <c r="N87" s="35">
        <f t="shared" si="24"/>
        <v>761007</v>
      </c>
    </row>
    <row r="88" spans="1:14">
      <c r="C88" s="35">
        <f>+B87+C87</f>
        <v>252465</v>
      </c>
      <c r="D88" s="35">
        <f>+C88+D87</f>
        <v>423507</v>
      </c>
      <c r="E88" s="35">
        <f t="shared" ref="E88:M88" si="25">+D88+E87</f>
        <v>461007</v>
      </c>
      <c r="F88" s="35">
        <f t="shared" si="25"/>
        <v>498507</v>
      </c>
      <c r="G88" s="40">
        <f t="shared" si="25"/>
        <v>536007</v>
      </c>
      <c r="H88" s="35">
        <f t="shared" si="25"/>
        <v>573507</v>
      </c>
      <c r="I88" s="40">
        <f t="shared" si="25"/>
        <v>611007</v>
      </c>
      <c r="J88" s="40">
        <f t="shared" si="25"/>
        <v>648507</v>
      </c>
      <c r="K88" s="40">
        <f t="shared" si="25"/>
        <v>686007</v>
      </c>
      <c r="L88" s="35">
        <f t="shared" si="25"/>
        <v>723507</v>
      </c>
      <c r="M88" s="35">
        <f t="shared" si="25"/>
        <v>761007</v>
      </c>
    </row>
    <row r="89" spans="1:14">
      <c r="B89" s="6"/>
      <c r="C89" s="6"/>
      <c r="D89" s="6"/>
      <c r="E89" s="6"/>
    </row>
    <row r="90" spans="1:14">
      <c r="B90" s="6"/>
      <c r="C90" s="6"/>
      <c r="D90" s="21"/>
      <c r="E90" s="6"/>
    </row>
    <row r="91" spans="1:14">
      <c r="B91" s="6"/>
      <c r="C91" s="6"/>
      <c r="D91" s="6"/>
      <c r="E91" s="6"/>
    </row>
    <row r="92" spans="1:14">
      <c r="B92" s="70">
        <v>78554</v>
      </c>
      <c r="C92" s="70">
        <v>78293</v>
      </c>
      <c r="D92" s="70">
        <v>79025</v>
      </c>
      <c r="E92" s="70">
        <v>81090</v>
      </c>
      <c r="F92" s="71">
        <v>81090</v>
      </c>
      <c r="G92" s="70">
        <v>81079</v>
      </c>
      <c r="H92" s="71">
        <v>89229</v>
      </c>
      <c r="I92" s="71">
        <v>88964</v>
      </c>
      <c r="J92" s="71">
        <v>88964</v>
      </c>
      <c r="K92" s="71">
        <v>88563</v>
      </c>
      <c r="L92" s="71">
        <v>97279</v>
      </c>
      <c r="M92" s="71">
        <v>97277</v>
      </c>
    </row>
    <row r="93" spans="1:14">
      <c r="B93" s="6">
        <f>+B92*-1</f>
        <v>-78554</v>
      </c>
      <c r="C93" s="6">
        <f t="shared" ref="C93:M93" si="26">+C92*-1</f>
        <v>-78293</v>
      </c>
      <c r="D93" s="6">
        <f t="shared" si="26"/>
        <v>-79025</v>
      </c>
      <c r="E93" s="6">
        <f t="shared" si="26"/>
        <v>-81090</v>
      </c>
      <c r="F93" s="6">
        <f t="shared" si="26"/>
        <v>-81090</v>
      </c>
      <c r="G93" s="6">
        <f t="shared" si="26"/>
        <v>-81079</v>
      </c>
      <c r="H93" s="6">
        <f t="shared" si="26"/>
        <v>-89229</v>
      </c>
      <c r="I93" s="6">
        <f t="shared" si="26"/>
        <v>-88964</v>
      </c>
      <c r="J93" s="6">
        <f t="shared" si="26"/>
        <v>-88964</v>
      </c>
      <c r="K93" s="6">
        <f t="shared" si="26"/>
        <v>-88563</v>
      </c>
      <c r="L93" s="6">
        <f t="shared" si="26"/>
        <v>-97279</v>
      </c>
      <c r="M93" s="6">
        <f t="shared" si="26"/>
        <v>-97277</v>
      </c>
    </row>
    <row r="94" spans="1:14">
      <c r="B94" s="6"/>
      <c r="C94" s="6"/>
      <c r="D94" s="34"/>
      <c r="E94" s="6"/>
    </row>
    <row r="95" spans="1:14">
      <c r="B95" s="6"/>
      <c r="C95" s="6"/>
      <c r="D95" s="6"/>
      <c r="E95" s="6"/>
    </row>
    <row r="96" spans="1:14">
      <c r="B96" s="6"/>
      <c r="C96" s="6"/>
      <c r="D96" s="6"/>
      <c r="E96" s="6"/>
    </row>
  </sheetData>
  <pageMargins left="0.28000000000000003" right="0.25" top="0.99" bottom="0.75" header="0.63" footer="0.23"/>
  <pageSetup scale="67" orientation="landscape" r:id="rId1"/>
  <headerFooter alignWithMargins="0">
    <oddHeader xml:space="preserve">&amp;C&amp;"Arial,Bold"&amp;11 49ER SHOPS, INC.
&amp;UFY2017/2018 OPERATIONAL CASH FLOW </oddHeader>
    <oddFooter>&amp;CCash Flow - FY2017/2018
September 2017</oddFooter>
  </headerFooter>
  <legacy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FF00"/>
    <pageSetUpPr fitToPage="1"/>
  </sheetPr>
  <dimension ref="A1:AR96"/>
  <sheetViews>
    <sheetView showGridLines="0" zoomScale="90" zoomScaleNormal="90" workbookViewId="0">
      <pane xSplit="1" ySplit="3" topLeftCell="B66" activePane="bottomRight" state="frozen"/>
      <selection pane="topRight" activeCell="B72" sqref="B72"/>
      <selection pane="bottomLeft" activeCell="B72" sqref="B72"/>
      <selection pane="bottomRight" activeCell="A92" sqref="A92"/>
    </sheetView>
  </sheetViews>
  <sheetFormatPr defaultRowHeight="12.75"/>
  <cols>
    <col min="1" max="1" width="35.42578125" customWidth="1"/>
    <col min="2" max="2" width="14" customWidth="1"/>
    <col min="3" max="3" width="12.5703125" customWidth="1"/>
    <col min="4" max="4" width="12.140625" customWidth="1"/>
    <col min="5" max="5" width="13.5703125" customWidth="1"/>
    <col min="6" max="6" width="12.85546875" customWidth="1"/>
    <col min="7" max="7" width="12.5703125" style="6" customWidth="1"/>
    <col min="8" max="9" width="12.85546875" customWidth="1"/>
    <col min="10" max="11" width="12.140625" customWidth="1"/>
    <col min="12" max="13" width="12.85546875" customWidth="1"/>
    <col min="14" max="14" width="12.85546875" bestFit="1" customWidth="1"/>
    <col min="15" max="15" width="12.42578125" bestFit="1" customWidth="1"/>
    <col min="16" max="16" width="13.140625" bestFit="1" customWidth="1"/>
  </cols>
  <sheetData>
    <row r="1" spans="1:15" ht="13.5" thickBot="1">
      <c r="A1" s="46" t="s">
        <v>101</v>
      </c>
      <c r="E1" s="6"/>
      <c r="F1" s="6"/>
      <c r="J1" s="6"/>
      <c r="K1" s="6"/>
      <c r="N1" s="3"/>
    </row>
    <row r="2" spans="1:15">
      <c r="B2" s="45" t="s">
        <v>24</v>
      </c>
      <c r="C2" s="45" t="s">
        <v>24</v>
      </c>
      <c r="D2" s="45" t="s">
        <v>24</v>
      </c>
      <c r="E2" s="45" t="s">
        <v>24</v>
      </c>
      <c r="F2" s="48" t="s">
        <v>76</v>
      </c>
      <c r="G2" s="48" t="s">
        <v>76</v>
      </c>
      <c r="H2" s="48" t="s">
        <v>76</v>
      </c>
      <c r="I2" s="48" t="s">
        <v>76</v>
      </c>
      <c r="J2" s="48" t="s">
        <v>76</v>
      </c>
      <c r="K2" s="48" t="s">
        <v>76</v>
      </c>
      <c r="L2" s="48" t="s">
        <v>76</v>
      </c>
      <c r="M2" s="48" t="s">
        <v>76</v>
      </c>
      <c r="N2" s="28" t="s">
        <v>25</v>
      </c>
    </row>
    <row r="3" spans="1:15" s="5" customFormat="1">
      <c r="B3" s="11">
        <v>42918</v>
      </c>
      <c r="C3" s="11">
        <v>42949</v>
      </c>
      <c r="D3" s="11">
        <v>42980</v>
      </c>
      <c r="E3" s="11">
        <v>43010</v>
      </c>
      <c r="F3" s="11">
        <v>43041</v>
      </c>
      <c r="G3" s="11">
        <v>43071</v>
      </c>
      <c r="H3" s="11">
        <v>43102</v>
      </c>
      <c r="I3" s="11">
        <v>43133</v>
      </c>
      <c r="J3" s="11">
        <v>43161</v>
      </c>
      <c r="K3" s="11">
        <v>43192</v>
      </c>
      <c r="L3" s="11">
        <v>43222</v>
      </c>
      <c r="M3" s="11">
        <v>43253</v>
      </c>
      <c r="N3" s="57" t="s">
        <v>100</v>
      </c>
    </row>
    <row r="4" spans="1:15" hidden="1">
      <c r="A4" s="1" t="s">
        <v>27</v>
      </c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>
        <f>SUM(B4:M4)</f>
        <v>0</v>
      </c>
      <c r="O4" s="29"/>
    </row>
    <row r="5" spans="1:15" s="6" customFormat="1" hidden="1">
      <c r="A5" s="6" t="s">
        <v>28</v>
      </c>
      <c r="B5" s="53">
        <v>1102036</v>
      </c>
      <c r="C5" s="53">
        <v>2503975</v>
      </c>
      <c r="D5" s="53">
        <v>5591236</v>
      </c>
      <c r="E5" s="53">
        <v>3997731</v>
      </c>
      <c r="F5" s="53">
        <v>2590434</v>
      </c>
      <c r="G5" s="53">
        <v>2704250</v>
      </c>
      <c r="H5" s="53">
        <v>3785411</v>
      </c>
      <c r="I5" s="53">
        <v>3755825</v>
      </c>
      <c r="J5" s="53">
        <v>3335785</v>
      </c>
      <c r="K5" s="53">
        <v>2998356</v>
      </c>
      <c r="L5" s="53">
        <v>2831511</v>
      </c>
      <c r="M5" s="53">
        <v>1460406</v>
      </c>
      <c r="N5" s="12">
        <f>SUM(B5:M5)</f>
        <v>36656956</v>
      </c>
      <c r="O5" s="29"/>
    </row>
    <row r="6" spans="1:15" s="6" customFormat="1" hidden="1">
      <c r="A6" s="6" t="s">
        <v>29</v>
      </c>
      <c r="B6" s="53">
        <v>70448</v>
      </c>
      <c r="C6" s="53">
        <v>71234</v>
      </c>
      <c r="D6" s="53">
        <v>278603</v>
      </c>
      <c r="E6" s="53">
        <v>67286</v>
      </c>
      <c r="F6" s="53">
        <v>72743</v>
      </c>
      <c r="G6" s="53">
        <v>153728</v>
      </c>
      <c r="H6" s="53">
        <v>54728</v>
      </c>
      <c r="I6" s="53">
        <v>85911</v>
      </c>
      <c r="J6" s="53">
        <v>228813</v>
      </c>
      <c r="K6" s="53">
        <v>89970</v>
      </c>
      <c r="L6" s="53">
        <v>316808</v>
      </c>
      <c r="M6" s="53">
        <v>118439</v>
      </c>
      <c r="N6" s="7">
        <f>SUM(B6:M6)</f>
        <v>1608711</v>
      </c>
      <c r="O6" s="29"/>
    </row>
    <row r="7" spans="1:15" s="6" customFormat="1" hidden="1">
      <c r="B7" s="7"/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7">
        <f>SUM(B7:M7)</f>
        <v>0</v>
      </c>
      <c r="O7" s="29"/>
    </row>
    <row r="8" spans="1:15" s="6" customFormat="1" hidden="1">
      <c r="B8" s="15"/>
      <c r="C8" s="15"/>
      <c r="D8" s="15"/>
      <c r="E8" s="15"/>
      <c r="F8" s="15"/>
      <c r="G8" s="15"/>
      <c r="H8" s="15"/>
      <c r="I8" s="15"/>
      <c r="J8" s="15"/>
      <c r="K8" s="15"/>
      <c r="L8" s="15"/>
      <c r="M8" s="15"/>
      <c r="N8" s="15">
        <f>SUM(B8:M8)</f>
        <v>0</v>
      </c>
      <c r="O8" s="29"/>
    </row>
    <row r="9" spans="1:15" s="6" customFormat="1">
      <c r="A9" s="13" t="s">
        <v>30</v>
      </c>
      <c r="B9" s="12">
        <f t="shared" ref="B9:N9" si="0">SUM(B5:B8)</f>
        <v>1172484</v>
      </c>
      <c r="C9" s="12">
        <f t="shared" si="0"/>
        <v>2575209</v>
      </c>
      <c r="D9" s="12">
        <f t="shared" si="0"/>
        <v>5869839</v>
      </c>
      <c r="E9" s="12">
        <f t="shared" si="0"/>
        <v>4065017</v>
      </c>
      <c r="F9" s="12">
        <f t="shared" si="0"/>
        <v>2663177</v>
      </c>
      <c r="G9" s="12">
        <f t="shared" si="0"/>
        <v>2857978</v>
      </c>
      <c r="H9" s="12">
        <f t="shared" si="0"/>
        <v>3840139</v>
      </c>
      <c r="I9" s="12">
        <f t="shared" si="0"/>
        <v>3841736</v>
      </c>
      <c r="J9" s="12">
        <f t="shared" si="0"/>
        <v>3564598</v>
      </c>
      <c r="K9" s="12">
        <f t="shared" si="0"/>
        <v>3088326</v>
      </c>
      <c r="L9" s="12">
        <f t="shared" si="0"/>
        <v>3148319</v>
      </c>
      <c r="M9" s="12">
        <f t="shared" si="0"/>
        <v>1578845</v>
      </c>
      <c r="N9" s="12">
        <f t="shared" si="0"/>
        <v>38265667</v>
      </c>
      <c r="O9" s="29"/>
    </row>
    <row r="10" spans="1:15" s="6" customFormat="1" ht="6.75" customHeight="1"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29"/>
    </row>
    <row r="11" spans="1:15" s="6" customFormat="1">
      <c r="A11" s="13" t="s">
        <v>31</v>
      </c>
      <c r="B11" s="7">
        <f>99729+B56</f>
        <v>87140</v>
      </c>
      <c r="C11" s="7">
        <f>10280+C56</f>
        <v>-1332</v>
      </c>
      <c r="D11" s="7">
        <f>13117+D56</f>
        <v>926</v>
      </c>
      <c r="E11" s="7">
        <f>31849+E56</f>
        <v>21931</v>
      </c>
      <c r="F11" s="7">
        <v>0</v>
      </c>
      <c r="G11" s="7">
        <v>0</v>
      </c>
      <c r="H11" s="7">
        <v>0</v>
      </c>
      <c r="I11" s="7">
        <v>0</v>
      </c>
      <c r="J11" s="7">
        <v>0</v>
      </c>
      <c r="K11" s="7">
        <v>0</v>
      </c>
      <c r="L11" s="7">
        <v>0</v>
      </c>
      <c r="M11" s="7">
        <v>0</v>
      </c>
      <c r="N11" s="7">
        <f>SUM(B11:M11)</f>
        <v>108665</v>
      </c>
      <c r="O11" s="29"/>
    </row>
    <row r="12" spans="1:15" s="6" customFormat="1" ht="7.5" customHeight="1">
      <c r="B12" s="7"/>
      <c r="C12" s="7"/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  <c r="O12" s="29"/>
    </row>
    <row r="13" spans="1:15" s="6" customFormat="1" ht="13.5" thickBot="1">
      <c r="A13" s="13" t="s">
        <v>32</v>
      </c>
      <c r="B13" s="14">
        <f t="shared" ref="B13:N13" si="1">B9+B11</f>
        <v>1259624</v>
      </c>
      <c r="C13" s="14">
        <f>C9+C11</f>
        <v>2573877</v>
      </c>
      <c r="D13" s="14">
        <f t="shared" si="1"/>
        <v>5870765</v>
      </c>
      <c r="E13" s="14">
        <f t="shared" si="1"/>
        <v>4086948</v>
      </c>
      <c r="F13" s="14">
        <f t="shared" si="1"/>
        <v>2663177</v>
      </c>
      <c r="G13" s="14">
        <f t="shared" si="1"/>
        <v>2857978</v>
      </c>
      <c r="H13" s="14">
        <f t="shared" si="1"/>
        <v>3840139</v>
      </c>
      <c r="I13" s="14">
        <f t="shared" si="1"/>
        <v>3841736</v>
      </c>
      <c r="J13" s="14">
        <f t="shared" si="1"/>
        <v>3564598</v>
      </c>
      <c r="K13" s="14">
        <f t="shared" si="1"/>
        <v>3088326</v>
      </c>
      <c r="L13" s="14">
        <f t="shared" si="1"/>
        <v>3148319</v>
      </c>
      <c r="M13" s="14">
        <f t="shared" si="1"/>
        <v>1578845</v>
      </c>
      <c r="N13" s="14">
        <f t="shared" si="1"/>
        <v>38374332</v>
      </c>
      <c r="O13" s="29"/>
    </row>
    <row r="14" spans="1:15" s="6" customFormat="1" ht="13.5" thickTop="1">
      <c r="B14" s="7"/>
      <c r="C14" s="7"/>
      <c r="D14" s="7"/>
      <c r="E14" s="7"/>
      <c r="F14" s="7"/>
      <c r="G14" s="7"/>
      <c r="H14" s="7"/>
      <c r="I14" s="7"/>
      <c r="J14" s="7"/>
      <c r="K14" s="7"/>
      <c r="L14" s="7"/>
      <c r="M14" s="7"/>
    </row>
    <row r="15" spans="1:15" s="6" customFormat="1" hidden="1">
      <c r="A15" s="13" t="s">
        <v>33</v>
      </c>
      <c r="B15" s="7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</row>
    <row r="16" spans="1:15" s="6" customFormat="1" hidden="1">
      <c r="A16" s="6" t="s">
        <v>34</v>
      </c>
      <c r="B16" s="53">
        <v>444475</v>
      </c>
      <c r="C16" s="53">
        <v>1463048</v>
      </c>
      <c r="D16" s="53">
        <v>3023160</v>
      </c>
      <c r="E16" s="53">
        <v>1465276</v>
      </c>
      <c r="F16" s="53">
        <v>955424</v>
      </c>
      <c r="G16" s="53">
        <v>1054272</v>
      </c>
      <c r="H16" s="53">
        <v>2341142</v>
      </c>
      <c r="I16" s="53">
        <v>1611344</v>
      </c>
      <c r="J16" s="53">
        <v>1215922</v>
      </c>
      <c r="K16" s="53">
        <v>1090469</v>
      </c>
      <c r="L16" s="53">
        <v>1126126</v>
      </c>
      <c r="M16" s="53">
        <v>849456</v>
      </c>
      <c r="N16" s="7">
        <f>SUM(B16:M16)</f>
        <v>16640114</v>
      </c>
      <c r="O16" s="29"/>
    </row>
    <row r="17" spans="1:44" s="6" customFormat="1" hidden="1">
      <c r="B17" s="27"/>
      <c r="C17" s="27"/>
      <c r="D17" s="27"/>
      <c r="E17" s="27"/>
      <c r="F17" s="27"/>
      <c r="G17" s="27"/>
      <c r="H17" s="27"/>
      <c r="I17" s="27"/>
      <c r="J17" s="27"/>
      <c r="K17" s="27"/>
      <c r="L17" s="27"/>
      <c r="M17" s="27"/>
      <c r="N17" s="7">
        <f>SUM(B17:M17)</f>
        <v>0</v>
      </c>
    </row>
    <row r="18" spans="1:44" s="6" customFormat="1" hidden="1">
      <c r="B18" s="7"/>
      <c r="C18" s="7"/>
      <c r="D18" s="7"/>
      <c r="E18" s="7"/>
      <c r="F18" s="7"/>
      <c r="G18" s="7"/>
      <c r="H18" s="7"/>
      <c r="I18" s="7"/>
      <c r="J18" s="7"/>
      <c r="K18" s="7"/>
      <c r="L18" s="7"/>
      <c r="M18" s="7"/>
      <c r="N18" s="7">
        <v>0</v>
      </c>
    </row>
    <row r="19" spans="1:44" s="6" customFormat="1" hidden="1">
      <c r="B19" s="15"/>
      <c r="C19" s="15"/>
      <c r="D19" s="15"/>
      <c r="E19" s="15"/>
      <c r="F19" s="15"/>
      <c r="G19" s="15"/>
      <c r="H19" s="15"/>
      <c r="I19" s="15"/>
      <c r="J19" s="15"/>
      <c r="K19" s="15"/>
      <c r="L19" s="15"/>
      <c r="M19" s="15"/>
      <c r="N19" s="15">
        <f>SUM(B19:M19)</f>
        <v>0</v>
      </c>
    </row>
    <row r="20" spans="1:44" s="6" customFormat="1">
      <c r="A20" s="13" t="s">
        <v>35</v>
      </c>
      <c r="B20" s="12">
        <f t="shared" ref="B20:N20" si="2">SUM(B16:B19)</f>
        <v>444475</v>
      </c>
      <c r="C20" s="12">
        <f t="shared" si="2"/>
        <v>1463048</v>
      </c>
      <c r="D20" s="12">
        <f t="shared" si="2"/>
        <v>3023160</v>
      </c>
      <c r="E20" s="12">
        <f t="shared" si="2"/>
        <v>1465276</v>
      </c>
      <c r="F20" s="12">
        <f t="shared" si="2"/>
        <v>955424</v>
      </c>
      <c r="G20" s="12">
        <f t="shared" si="2"/>
        <v>1054272</v>
      </c>
      <c r="H20" s="12">
        <f t="shared" si="2"/>
        <v>2341142</v>
      </c>
      <c r="I20" s="12">
        <f t="shared" si="2"/>
        <v>1611344</v>
      </c>
      <c r="J20" s="12">
        <f t="shared" si="2"/>
        <v>1215922</v>
      </c>
      <c r="K20" s="12">
        <f t="shared" si="2"/>
        <v>1090469</v>
      </c>
      <c r="L20" s="12">
        <f t="shared" si="2"/>
        <v>1126126</v>
      </c>
      <c r="M20" s="12">
        <f t="shared" si="2"/>
        <v>849456</v>
      </c>
      <c r="N20" s="12">
        <f t="shared" si="2"/>
        <v>16640114</v>
      </c>
      <c r="O20" s="29"/>
    </row>
    <row r="21" spans="1:44" s="6" customFormat="1">
      <c r="B21" s="7"/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</row>
    <row r="22" spans="1:44" s="6" customFormat="1" hidden="1">
      <c r="A22" s="13" t="s">
        <v>36</v>
      </c>
      <c r="B22" s="7"/>
      <c r="C22" s="7"/>
      <c r="D22" s="7"/>
      <c r="E22" s="7"/>
      <c r="F22" s="7"/>
      <c r="G22" s="7"/>
      <c r="H22" s="7"/>
      <c r="I22" s="7"/>
      <c r="J22" s="7"/>
      <c r="K22" s="7"/>
      <c r="L22" s="7"/>
      <c r="M22" s="7"/>
    </row>
    <row r="23" spans="1:44" s="6" customFormat="1" hidden="1">
      <c r="A23" s="6" t="s">
        <v>37</v>
      </c>
      <c r="B23" s="7">
        <f t="shared" ref="B23:M26" si="3">+B5-B16</f>
        <v>657561</v>
      </c>
      <c r="C23" s="7">
        <f t="shared" si="3"/>
        <v>1040927</v>
      </c>
      <c r="D23" s="7">
        <f t="shared" si="3"/>
        <v>2568076</v>
      </c>
      <c r="E23" s="7">
        <f t="shared" si="3"/>
        <v>2532455</v>
      </c>
      <c r="F23" s="7">
        <f t="shared" si="3"/>
        <v>1635010</v>
      </c>
      <c r="G23" s="7">
        <f t="shared" si="3"/>
        <v>1649978</v>
      </c>
      <c r="H23" s="7">
        <f t="shared" si="3"/>
        <v>1444269</v>
      </c>
      <c r="I23" s="7">
        <f t="shared" si="3"/>
        <v>2144481</v>
      </c>
      <c r="J23" s="7">
        <f t="shared" si="3"/>
        <v>2119863</v>
      </c>
      <c r="K23" s="7">
        <f t="shared" si="3"/>
        <v>1907887</v>
      </c>
      <c r="L23" s="7">
        <f t="shared" si="3"/>
        <v>1705385</v>
      </c>
      <c r="M23" s="7">
        <f t="shared" si="3"/>
        <v>610950</v>
      </c>
      <c r="N23" s="7">
        <f>SUM(B23:M23)</f>
        <v>20016842</v>
      </c>
      <c r="O23" s="29"/>
    </row>
    <row r="24" spans="1:44" s="6" customFormat="1" hidden="1">
      <c r="A24" s="6" t="s">
        <v>37</v>
      </c>
      <c r="B24" s="7">
        <f t="shared" si="3"/>
        <v>70448</v>
      </c>
      <c r="C24" s="7">
        <f t="shared" si="3"/>
        <v>71234</v>
      </c>
      <c r="D24" s="7">
        <f t="shared" si="3"/>
        <v>278603</v>
      </c>
      <c r="E24" s="7">
        <f t="shared" si="3"/>
        <v>67286</v>
      </c>
      <c r="F24" s="7">
        <f t="shared" si="3"/>
        <v>72743</v>
      </c>
      <c r="G24" s="7">
        <f t="shared" si="3"/>
        <v>153728</v>
      </c>
      <c r="H24" s="7">
        <f t="shared" si="3"/>
        <v>54728</v>
      </c>
      <c r="I24" s="7">
        <f t="shared" si="3"/>
        <v>85911</v>
      </c>
      <c r="J24" s="7">
        <f t="shared" si="3"/>
        <v>228813</v>
      </c>
      <c r="K24" s="7">
        <f t="shared" si="3"/>
        <v>89970</v>
      </c>
      <c r="L24" s="7">
        <f t="shared" si="3"/>
        <v>316808</v>
      </c>
      <c r="M24" s="7">
        <f t="shared" si="3"/>
        <v>118439</v>
      </c>
      <c r="N24" s="7">
        <f>SUM(B24:M24)</f>
        <v>1608711</v>
      </c>
      <c r="O24" s="29"/>
    </row>
    <row r="25" spans="1:44" s="6" customFormat="1" hidden="1">
      <c r="A25" s="6" t="s">
        <v>38</v>
      </c>
      <c r="B25" s="7">
        <f t="shared" si="3"/>
        <v>0</v>
      </c>
      <c r="C25" s="7">
        <f t="shared" si="3"/>
        <v>0</v>
      </c>
      <c r="D25" s="7">
        <f t="shared" si="3"/>
        <v>0</v>
      </c>
      <c r="E25" s="7">
        <f t="shared" si="3"/>
        <v>0</v>
      </c>
      <c r="F25" s="7">
        <f t="shared" si="3"/>
        <v>0</v>
      </c>
      <c r="G25" s="7">
        <f t="shared" si="3"/>
        <v>0</v>
      </c>
      <c r="H25" s="7">
        <f t="shared" si="3"/>
        <v>0</v>
      </c>
      <c r="I25" s="7">
        <f t="shared" si="3"/>
        <v>0</v>
      </c>
      <c r="J25" s="7">
        <f t="shared" si="3"/>
        <v>0</v>
      </c>
      <c r="K25" s="7">
        <f t="shared" si="3"/>
        <v>0</v>
      </c>
      <c r="L25" s="7">
        <f t="shared" si="3"/>
        <v>0</v>
      </c>
      <c r="M25" s="7">
        <f t="shared" si="3"/>
        <v>0</v>
      </c>
      <c r="N25" s="7">
        <f>SUM(B25:M25)</f>
        <v>0</v>
      </c>
      <c r="O25" s="29"/>
    </row>
    <row r="26" spans="1:44" s="6" customFormat="1" hidden="1">
      <c r="A26" s="6" t="s">
        <v>38</v>
      </c>
      <c r="B26" s="15">
        <f t="shared" si="3"/>
        <v>0</v>
      </c>
      <c r="C26" s="15">
        <f t="shared" si="3"/>
        <v>0</v>
      </c>
      <c r="D26" s="15">
        <f t="shared" si="3"/>
        <v>0</v>
      </c>
      <c r="E26" s="15">
        <f t="shared" si="3"/>
        <v>0</v>
      </c>
      <c r="F26" s="15">
        <f t="shared" si="3"/>
        <v>0</v>
      </c>
      <c r="G26" s="15">
        <f t="shared" si="3"/>
        <v>0</v>
      </c>
      <c r="H26" s="15">
        <f t="shared" si="3"/>
        <v>0</v>
      </c>
      <c r="I26" s="15">
        <f t="shared" si="3"/>
        <v>0</v>
      </c>
      <c r="J26" s="15">
        <f t="shared" si="3"/>
        <v>0</v>
      </c>
      <c r="K26" s="15">
        <f t="shared" si="3"/>
        <v>0</v>
      </c>
      <c r="L26" s="15">
        <f t="shared" si="3"/>
        <v>0</v>
      </c>
      <c r="M26" s="15">
        <f t="shared" si="3"/>
        <v>0</v>
      </c>
      <c r="N26" s="15">
        <f>SUM(B26:M26)</f>
        <v>0</v>
      </c>
      <c r="O26" s="29"/>
    </row>
    <row r="27" spans="1:44" s="6" customFormat="1">
      <c r="A27" s="13" t="s">
        <v>39</v>
      </c>
      <c r="B27" s="12">
        <f t="shared" ref="B27:N27" si="4">SUM(B23:B26)</f>
        <v>728009</v>
      </c>
      <c r="C27" s="12">
        <f t="shared" si="4"/>
        <v>1112161</v>
      </c>
      <c r="D27" s="12">
        <f t="shared" si="4"/>
        <v>2846679</v>
      </c>
      <c r="E27" s="12">
        <f t="shared" si="4"/>
        <v>2599741</v>
      </c>
      <c r="F27" s="12">
        <f t="shared" si="4"/>
        <v>1707753</v>
      </c>
      <c r="G27" s="12">
        <f t="shared" si="4"/>
        <v>1803706</v>
      </c>
      <c r="H27" s="12">
        <f t="shared" si="4"/>
        <v>1498997</v>
      </c>
      <c r="I27" s="12">
        <f t="shared" si="4"/>
        <v>2230392</v>
      </c>
      <c r="J27" s="12">
        <f t="shared" si="4"/>
        <v>2348676</v>
      </c>
      <c r="K27" s="12">
        <f t="shared" si="4"/>
        <v>1997857</v>
      </c>
      <c r="L27" s="12">
        <f t="shared" si="4"/>
        <v>2022193</v>
      </c>
      <c r="M27" s="12">
        <f>SUM(M23:M26)</f>
        <v>729389</v>
      </c>
      <c r="N27" s="12">
        <f t="shared" si="4"/>
        <v>21625553</v>
      </c>
      <c r="O27" s="29"/>
    </row>
    <row r="28" spans="1:44" s="6" customFormat="1" ht="14.45" customHeight="1">
      <c r="B28" s="73">
        <f>+B27/B9</f>
        <v>0.620911671289331</v>
      </c>
      <c r="C28" s="73">
        <f t="shared" ref="C28:N28" si="5">+C27/C9</f>
        <v>0.43187213154349802</v>
      </c>
      <c r="D28" s="73">
        <f t="shared" si="5"/>
        <v>0.48496713453299145</v>
      </c>
      <c r="E28" s="73">
        <f t="shared" si="5"/>
        <v>0.63954000684375978</v>
      </c>
      <c r="F28" s="73">
        <f t="shared" si="5"/>
        <v>0.6412465262353948</v>
      </c>
      <c r="G28" s="73">
        <f t="shared" si="5"/>
        <v>0.63111262577948468</v>
      </c>
      <c r="H28" s="73">
        <f t="shared" si="5"/>
        <v>0.39034967223842676</v>
      </c>
      <c r="I28" s="73">
        <f t="shared" si="5"/>
        <v>0.58056878452866101</v>
      </c>
      <c r="J28" s="73">
        <f t="shared" si="5"/>
        <v>0.65888944559807305</v>
      </c>
      <c r="K28" s="73">
        <f t="shared" si="5"/>
        <v>0.64690612325253227</v>
      </c>
      <c r="L28" s="73">
        <f t="shared" si="5"/>
        <v>0.64230880034710591</v>
      </c>
      <c r="M28" s="73">
        <f t="shared" si="5"/>
        <v>0.4619763181312922</v>
      </c>
      <c r="N28" s="73">
        <f t="shared" si="5"/>
        <v>0.56514245524584739</v>
      </c>
    </row>
    <row r="29" spans="1:44" s="6" customFormat="1" hidden="1">
      <c r="A29" s="13" t="s">
        <v>40</v>
      </c>
      <c r="B29" s="7"/>
      <c r="C29" s="7"/>
      <c r="D29" s="7"/>
      <c r="E29" s="7"/>
      <c r="F29" s="7"/>
      <c r="G29" s="7"/>
      <c r="H29" s="7"/>
      <c r="I29" s="7"/>
      <c r="J29" s="7"/>
      <c r="K29" s="7"/>
      <c r="L29" s="7"/>
      <c r="M29" s="7"/>
    </row>
    <row r="30" spans="1:44" s="6" customFormat="1" hidden="1">
      <c r="A30" s="6" t="s">
        <v>93</v>
      </c>
      <c r="B30" s="53">
        <v>415779</v>
      </c>
      <c r="C30" s="53">
        <v>561495</v>
      </c>
      <c r="D30" s="53">
        <v>742338</v>
      </c>
      <c r="E30" s="53">
        <v>829683</v>
      </c>
      <c r="F30" s="53">
        <v>605087</v>
      </c>
      <c r="G30" s="53">
        <v>598355</v>
      </c>
      <c r="H30" s="53">
        <v>602418</v>
      </c>
      <c r="I30" s="53">
        <v>684805</v>
      </c>
      <c r="J30" s="53">
        <v>688935</v>
      </c>
      <c r="K30" s="53">
        <v>755862</v>
      </c>
      <c r="L30" s="53">
        <v>642868</v>
      </c>
      <c r="M30" s="53">
        <v>459430</v>
      </c>
      <c r="N30" s="7">
        <f>SUM(B30:M30)</f>
        <v>7587055</v>
      </c>
      <c r="O30" s="29"/>
    </row>
    <row r="31" spans="1:44" s="6" customFormat="1" hidden="1">
      <c r="A31" s="6" t="s">
        <v>42</v>
      </c>
      <c r="B31" s="53">
        <v>245383</v>
      </c>
      <c r="C31" s="53">
        <v>212042</v>
      </c>
      <c r="D31" s="53">
        <v>203129</v>
      </c>
      <c r="E31" s="53">
        <v>235434</v>
      </c>
      <c r="F31" s="53">
        <v>192649</v>
      </c>
      <c r="G31" s="53">
        <v>192611</v>
      </c>
      <c r="H31" s="53">
        <v>210145</v>
      </c>
      <c r="I31" s="53">
        <v>198285</v>
      </c>
      <c r="J31" s="53">
        <v>198545</v>
      </c>
      <c r="K31" s="53">
        <v>226530</v>
      </c>
      <c r="L31" s="53">
        <v>194439</v>
      </c>
      <c r="M31" s="53">
        <v>198004</v>
      </c>
      <c r="N31" s="7">
        <f>SUM(B31:M31)</f>
        <v>2507196</v>
      </c>
      <c r="O31" s="29"/>
    </row>
    <row r="32" spans="1:44" s="6" customFormat="1" ht="15" hidden="1">
      <c r="A32" s="6" t="s">
        <v>38</v>
      </c>
      <c r="B32" s="68"/>
      <c r="C32" s="68"/>
      <c r="D32" s="68"/>
      <c r="E32" s="68"/>
      <c r="F32" s="68"/>
      <c r="G32" s="68"/>
      <c r="H32" s="68"/>
      <c r="I32" s="68"/>
      <c r="J32" s="68"/>
      <c r="K32" s="68"/>
      <c r="L32" s="68"/>
      <c r="M32" s="68"/>
      <c r="N32" s="7">
        <f>SUM(B32:M32)</f>
        <v>0</v>
      </c>
      <c r="O32" s="29"/>
      <c r="P32" s="6">
        <f>+B32*-1</f>
        <v>0</v>
      </c>
      <c r="Q32" s="6">
        <f t="shared" ref="Q32:AF33" si="6">+C32*-1</f>
        <v>0</v>
      </c>
      <c r="R32" s="6">
        <f t="shared" si="6"/>
        <v>0</v>
      </c>
      <c r="S32" s="6">
        <f t="shared" si="6"/>
        <v>0</v>
      </c>
      <c r="T32" s="6">
        <f t="shared" si="6"/>
        <v>0</v>
      </c>
      <c r="U32" s="6">
        <f t="shared" si="6"/>
        <v>0</v>
      </c>
      <c r="V32" s="6">
        <f t="shared" si="6"/>
        <v>0</v>
      </c>
      <c r="W32" s="6">
        <f t="shared" si="6"/>
        <v>0</v>
      </c>
      <c r="X32" s="6">
        <f t="shared" si="6"/>
        <v>0</v>
      </c>
      <c r="Y32" s="6">
        <f t="shared" si="6"/>
        <v>0</v>
      </c>
      <c r="Z32" s="6">
        <f t="shared" si="6"/>
        <v>0</v>
      </c>
      <c r="AA32" s="6">
        <f t="shared" si="6"/>
        <v>0</v>
      </c>
      <c r="AB32" s="6">
        <f t="shared" si="6"/>
        <v>0</v>
      </c>
      <c r="AC32" s="6">
        <f t="shared" si="6"/>
        <v>0</v>
      </c>
      <c r="AD32" s="6">
        <f t="shared" si="6"/>
        <v>0</v>
      </c>
      <c r="AE32" s="6">
        <f t="shared" si="6"/>
        <v>0</v>
      </c>
      <c r="AF32" s="6">
        <f t="shared" si="6"/>
        <v>0</v>
      </c>
      <c r="AG32" s="6">
        <f t="shared" ref="AG32:AR33" si="7">+S32*-1</f>
        <v>0</v>
      </c>
      <c r="AH32" s="6">
        <f t="shared" si="7"/>
        <v>0</v>
      </c>
      <c r="AI32" s="6">
        <f t="shared" si="7"/>
        <v>0</v>
      </c>
      <c r="AJ32" s="6">
        <f t="shared" si="7"/>
        <v>0</v>
      </c>
      <c r="AK32" s="6">
        <f t="shared" si="7"/>
        <v>0</v>
      </c>
      <c r="AL32" s="6">
        <f t="shared" si="7"/>
        <v>0</v>
      </c>
      <c r="AM32" s="6">
        <f t="shared" si="7"/>
        <v>0</v>
      </c>
      <c r="AN32" s="6">
        <f t="shared" si="7"/>
        <v>0</v>
      </c>
      <c r="AO32" s="6">
        <f t="shared" si="7"/>
        <v>0</v>
      </c>
      <c r="AP32" s="6">
        <f t="shared" si="7"/>
        <v>0</v>
      </c>
      <c r="AQ32" s="6">
        <f t="shared" si="7"/>
        <v>0</v>
      </c>
      <c r="AR32" s="6">
        <f t="shared" si="7"/>
        <v>0</v>
      </c>
    </row>
    <row r="33" spans="1:44" s="6" customFormat="1" hidden="1">
      <c r="B33" s="15"/>
      <c r="C33" s="15"/>
      <c r="D33" s="15"/>
      <c r="E33" s="15"/>
      <c r="F33" s="15"/>
      <c r="G33" s="15"/>
      <c r="H33" s="15"/>
      <c r="I33" s="15"/>
      <c r="J33" s="15"/>
      <c r="K33" s="15"/>
      <c r="L33" s="15"/>
      <c r="M33" s="15"/>
      <c r="N33" s="15">
        <f>SUM(B33:M33)</f>
        <v>0</v>
      </c>
      <c r="O33" s="29"/>
      <c r="Q33" s="6">
        <f t="shared" si="6"/>
        <v>0</v>
      </c>
      <c r="R33" s="6">
        <f t="shared" si="6"/>
        <v>0</v>
      </c>
      <c r="S33" s="6">
        <f t="shared" si="6"/>
        <v>0</v>
      </c>
      <c r="T33" s="6">
        <f t="shared" si="6"/>
        <v>0</v>
      </c>
      <c r="U33" s="6">
        <f t="shared" si="6"/>
        <v>0</v>
      </c>
      <c r="V33" s="6">
        <f t="shared" si="6"/>
        <v>0</v>
      </c>
      <c r="W33" s="6">
        <f t="shared" si="6"/>
        <v>0</v>
      </c>
      <c r="X33" s="6">
        <f t="shared" si="6"/>
        <v>0</v>
      </c>
      <c r="Y33" s="6">
        <f t="shared" si="6"/>
        <v>0</v>
      </c>
      <c r="Z33" s="6">
        <f t="shared" si="6"/>
        <v>0</v>
      </c>
      <c r="AA33" s="6">
        <f t="shared" si="6"/>
        <v>0</v>
      </c>
      <c r="AB33" s="6">
        <f t="shared" si="6"/>
        <v>0</v>
      </c>
      <c r="AC33" s="6">
        <f t="shared" si="6"/>
        <v>0</v>
      </c>
      <c r="AD33" s="6">
        <f t="shared" si="6"/>
        <v>0</v>
      </c>
      <c r="AE33" s="6">
        <f t="shared" si="6"/>
        <v>0</v>
      </c>
      <c r="AF33" s="6">
        <f t="shared" si="6"/>
        <v>0</v>
      </c>
      <c r="AG33" s="6">
        <f t="shared" si="7"/>
        <v>0</v>
      </c>
      <c r="AH33" s="6">
        <f t="shared" si="7"/>
        <v>0</v>
      </c>
      <c r="AI33" s="6">
        <f t="shared" si="7"/>
        <v>0</v>
      </c>
      <c r="AJ33" s="6">
        <f t="shared" si="7"/>
        <v>0</v>
      </c>
      <c r="AK33" s="6">
        <f t="shared" si="7"/>
        <v>0</v>
      </c>
      <c r="AL33" s="6">
        <f t="shared" si="7"/>
        <v>0</v>
      </c>
      <c r="AM33" s="6">
        <f t="shared" si="7"/>
        <v>0</v>
      </c>
      <c r="AN33" s="6">
        <f t="shared" si="7"/>
        <v>0</v>
      </c>
      <c r="AO33" s="6">
        <f t="shared" si="7"/>
        <v>0</v>
      </c>
      <c r="AP33" s="6">
        <f t="shared" si="7"/>
        <v>0</v>
      </c>
      <c r="AQ33" s="6">
        <f t="shared" si="7"/>
        <v>0</v>
      </c>
      <c r="AR33" s="6">
        <f t="shared" si="7"/>
        <v>0</v>
      </c>
    </row>
    <row r="34" spans="1:44" s="6" customFormat="1">
      <c r="A34" s="13" t="s">
        <v>43</v>
      </c>
      <c r="B34" s="12">
        <f t="shared" ref="B34:N34" si="8">SUM(B30:B33)</f>
        <v>661162</v>
      </c>
      <c r="C34" s="12">
        <f t="shared" si="8"/>
        <v>773537</v>
      </c>
      <c r="D34" s="12">
        <f t="shared" si="8"/>
        <v>945467</v>
      </c>
      <c r="E34" s="12">
        <f t="shared" si="8"/>
        <v>1065117</v>
      </c>
      <c r="F34" s="12">
        <f t="shared" si="8"/>
        <v>797736</v>
      </c>
      <c r="G34" s="12">
        <f t="shared" si="8"/>
        <v>790966</v>
      </c>
      <c r="H34" s="12">
        <f t="shared" si="8"/>
        <v>812563</v>
      </c>
      <c r="I34" s="12">
        <f t="shared" si="8"/>
        <v>883090</v>
      </c>
      <c r="J34" s="12">
        <f t="shared" si="8"/>
        <v>887480</v>
      </c>
      <c r="K34" s="12">
        <f t="shared" si="8"/>
        <v>982392</v>
      </c>
      <c r="L34" s="12">
        <f t="shared" si="8"/>
        <v>837307</v>
      </c>
      <c r="M34" s="12">
        <f t="shared" si="8"/>
        <v>657434</v>
      </c>
      <c r="N34" s="12">
        <f t="shared" si="8"/>
        <v>10094251</v>
      </c>
      <c r="O34" s="29"/>
    </row>
    <row r="35" spans="1:44" s="6" customFormat="1">
      <c r="B35" s="7"/>
      <c r="C35" s="7"/>
      <c r="D35" s="7"/>
      <c r="E35" s="7"/>
      <c r="F35" s="7"/>
      <c r="G35" s="7"/>
      <c r="H35" s="7"/>
      <c r="I35" s="7"/>
      <c r="J35" s="7"/>
      <c r="K35" s="7"/>
      <c r="L35" s="7"/>
      <c r="M35" s="7"/>
    </row>
    <row r="36" spans="1:44" s="6" customFormat="1" hidden="1">
      <c r="A36" s="13" t="s">
        <v>44</v>
      </c>
      <c r="B36" s="7"/>
      <c r="C36" s="7"/>
      <c r="D36" s="7"/>
      <c r="E36" s="7"/>
      <c r="F36" s="7"/>
      <c r="G36" s="7"/>
      <c r="H36" s="7"/>
      <c r="I36" s="7"/>
      <c r="J36" s="7"/>
      <c r="K36" s="7"/>
      <c r="L36" s="7"/>
      <c r="M36" s="7"/>
    </row>
    <row r="37" spans="1:44" s="6" customFormat="1" hidden="1">
      <c r="A37" s="6" t="s">
        <v>45</v>
      </c>
      <c r="B37" s="53">
        <v>1168701</v>
      </c>
      <c r="C37" s="53">
        <v>1244422</v>
      </c>
      <c r="D37" s="53">
        <v>1461507</v>
      </c>
      <c r="E37" s="53">
        <v>1790911</v>
      </c>
      <c r="F37" s="53">
        <v>1394318</v>
      </c>
      <c r="G37" s="66">
        <v>1406377</v>
      </c>
      <c r="H37" s="66">
        <v>1275000</v>
      </c>
      <c r="I37" s="66">
        <v>1496169</v>
      </c>
      <c r="J37" s="66">
        <v>1531501</v>
      </c>
      <c r="K37" s="53">
        <v>1582030</v>
      </c>
      <c r="L37" s="53">
        <v>1425841</v>
      </c>
      <c r="M37" s="53">
        <v>1274220</v>
      </c>
      <c r="N37" s="7">
        <f>SUM(B37:M37)</f>
        <v>17050997</v>
      </c>
      <c r="O37" s="29"/>
      <c r="P37" s="69"/>
    </row>
    <row r="38" spans="1:44" s="6" customFormat="1" hidden="1">
      <c r="A38" s="6" t="s">
        <v>46</v>
      </c>
      <c r="B38" s="7">
        <f>-B34</f>
        <v>-661162</v>
      </c>
      <c r="C38" s="7">
        <f t="shared" ref="C38:M38" si="9">-C34</f>
        <v>-773537</v>
      </c>
      <c r="D38" s="7">
        <f t="shared" si="9"/>
        <v>-945467</v>
      </c>
      <c r="E38" s="7">
        <f t="shared" si="9"/>
        <v>-1065117</v>
      </c>
      <c r="F38" s="7">
        <f t="shared" si="9"/>
        <v>-797736</v>
      </c>
      <c r="G38" s="7">
        <f t="shared" si="9"/>
        <v>-790966</v>
      </c>
      <c r="H38" s="7">
        <f t="shared" si="9"/>
        <v>-812563</v>
      </c>
      <c r="I38" s="7">
        <f t="shared" si="9"/>
        <v>-883090</v>
      </c>
      <c r="J38" s="7">
        <f t="shared" si="9"/>
        <v>-887480</v>
      </c>
      <c r="K38" s="7">
        <f t="shared" si="9"/>
        <v>-982392</v>
      </c>
      <c r="L38" s="7">
        <f t="shared" si="9"/>
        <v>-837307</v>
      </c>
      <c r="M38" s="7">
        <f t="shared" si="9"/>
        <v>-657434</v>
      </c>
      <c r="N38" s="7">
        <f>SUM(B38:M38)</f>
        <v>-10094251</v>
      </c>
      <c r="O38" s="29"/>
    </row>
    <row r="39" spans="1:44" s="6" customFormat="1" hidden="1">
      <c r="A39" s="6" t="s">
        <v>47</v>
      </c>
      <c r="B39" s="72">
        <v>-77886</v>
      </c>
      <c r="C39" s="72">
        <v>-77317</v>
      </c>
      <c r="D39" s="72">
        <v>-76975</v>
      </c>
      <c r="E39" s="72">
        <v>-75957</v>
      </c>
      <c r="F39" s="72">
        <v>-81090</v>
      </c>
      <c r="G39" s="72">
        <v>-81079</v>
      </c>
      <c r="H39" s="72">
        <v>-89229</v>
      </c>
      <c r="I39" s="72">
        <v>-88964</v>
      </c>
      <c r="J39" s="72">
        <v>-88964</v>
      </c>
      <c r="K39" s="72">
        <v>-88563</v>
      </c>
      <c r="L39" s="72">
        <v>-97279</v>
      </c>
      <c r="M39" s="72">
        <v>-97277</v>
      </c>
      <c r="N39" s="7">
        <f>SUM(B39:M39)</f>
        <v>-1020580</v>
      </c>
      <c r="O39" s="29"/>
    </row>
    <row r="40" spans="1:44" s="6" customFormat="1" hidden="1">
      <c r="A40" s="6" t="s">
        <v>78</v>
      </c>
      <c r="B40" s="53"/>
      <c r="C40" s="53"/>
      <c r="D40" s="53"/>
      <c r="E40" s="53"/>
      <c r="F40" s="53"/>
      <c r="G40" s="53"/>
      <c r="H40" s="53"/>
      <c r="I40" s="53"/>
      <c r="J40" s="53"/>
      <c r="K40" s="53"/>
      <c r="L40" s="53"/>
      <c r="M40" s="53"/>
      <c r="N40" s="7">
        <f>SUM(B40:M40)</f>
        <v>0</v>
      </c>
      <c r="O40" s="29"/>
    </row>
    <row r="41" spans="1:44" s="6" customFormat="1" hidden="1">
      <c r="A41" s="6" t="s">
        <v>48</v>
      </c>
      <c r="B41" s="60">
        <v>-8350</v>
      </c>
      <c r="C41" s="60">
        <v>-8250</v>
      </c>
      <c r="D41" s="60">
        <v>-8350</v>
      </c>
      <c r="E41" s="60">
        <v>-8350</v>
      </c>
      <c r="F41" s="60">
        <v>-8350</v>
      </c>
      <c r="G41" s="60">
        <v>-8350</v>
      </c>
      <c r="H41" s="60">
        <v>-8350</v>
      </c>
      <c r="I41" s="60">
        <v>-8350</v>
      </c>
      <c r="J41" s="60">
        <v>-8350</v>
      </c>
      <c r="K41" s="60">
        <v>-8350</v>
      </c>
      <c r="L41" s="60">
        <v>-8350</v>
      </c>
      <c r="M41" s="60">
        <v>-30300</v>
      </c>
      <c r="N41" s="15">
        <f>SUM(B41:M41)</f>
        <v>-122050</v>
      </c>
      <c r="O41" s="29"/>
    </row>
    <row r="42" spans="1:44" s="6" customFormat="1">
      <c r="A42" s="13" t="s">
        <v>49</v>
      </c>
      <c r="B42" s="12">
        <f t="shared" ref="B42:N42" si="10">SUM(B37:B41)</f>
        <v>421303</v>
      </c>
      <c r="C42" s="12">
        <f t="shared" si="10"/>
        <v>385318</v>
      </c>
      <c r="D42" s="12">
        <f t="shared" si="10"/>
        <v>430715</v>
      </c>
      <c r="E42" s="12">
        <f t="shared" si="10"/>
        <v>641487</v>
      </c>
      <c r="F42" s="12">
        <f t="shared" si="10"/>
        <v>507142</v>
      </c>
      <c r="G42" s="12">
        <f t="shared" si="10"/>
        <v>525982</v>
      </c>
      <c r="H42" s="12">
        <f t="shared" si="10"/>
        <v>364858</v>
      </c>
      <c r="I42" s="12">
        <f t="shared" si="10"/>
        <v>515765</v>
      </c>
      <c r="J42" s="12">
        <f t="shared" si="10"/>
        <v>546707</v>
      </c>
      <c r="K42" s="12">
        <f t="shared" si="10"/>
        <v>502725</v>
      </c>
      <c r="L42" s="12">
        <f t="shared" si="10"/>
        <v>482905</v>
      </c>
      <c r="M42" s="12">
        <f t="shared" si="10"/>
        <v>489209</v>
      </c>
      <c r="N42" s="12">
        <f t="shared" si="10"/>
        <v>5814116</v>
      </c>
      <c r="O42" s="29"/>
    </row>
    <row r="43" spans="1:44">
      <c r="A43" s="1"/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2"/>
      <c r="N43" s="12"/>
      <c r="O43" s="6"/>
    </row>
    <row r="44" spans="1:44" hidden="1">
      <c r="A44" s="13" t="s">
        <v>50</v>
      </c>
      <c r="B44" s="53">
        <v>296581</v>
      </c>
      <c r="C44" s="53">
        <v>244043</v>
      </c>
      <c r="D44" s="53">
        <v>272075</v>
      </c>
      <c r="E44" s="53">
        <v>331396</v>
      </c>
      <c r="F44" s="53">
        <v>398914</v>
      </c>
      <c r="G44" s="53">
        <v>307622</v>
      </c>
      <c r="H44" s="53">
        <v>357356</v>
      </c>
      <c r="I44" s="53">
        <v>287747</v>
      </c>
      <c r="J44" s="53">
        <v>322520</v>
      </c>
      <c r="K44" s="53">
        <v>378879</v>
      </c>
      <c r="L44" s="53">
        <v>307614</v>
      </c>
      <c r="M44" s="53">
        <v>705082</v>
      </c>
      <c r="N44" s="12">
        <f>SUM(B44:M44)</f>
        <v>4209829</v>
      </c>
      <c r="O44" s="29"/>
    </row>
    <row r="45" spans="1:44" hidden="1">
      <c r="A45" s="6" t="s">
        <v>51</v>
      </c>
      <c r="B45" s="22"/>
      <c r="C45" s="22"/>
      <c r="D45" s="22"/>
      <c r="E45" s="22"/>
      <c r="F45" s="22"/>
      <c r="G45" s="22"/>
      <c r="H45" s="22"/>
      <c r="I45" s="22"/>
      <c r="J45" s="22"/>
      <c r="K45" s="22"/>
      <c r="L45" s="22"/>
      <c r="M45" s="22"/>
      <c r="N45" s="22">
        <f>SUM(B45:M45)</f>
        <v>0</v>
      </c>
      <c r="O45" s="29"/>
    </row>
    <row r="46" spans="1:44">
      <c r="A46" s="1" t="s">
        <v>50</v>
      </c>
      <c r="B46" s="12">
        <f>SUM(B44:B45)</f>
        <v>296581</v>
      </c>
      <c r="C46" s="12">
        <f>SUM(C44:C45)</f>
        <v>244043</v>
      </c>
      <c r="D46" s="12">
        <f t="shared" ref="D46:N46" si="11">SUM(D44:D45)</f>
        <v>272075</v>
      </c>
      <c r="E46" s="12">
        <f t="shared" si="11"/>
        <v>331396</v>
      </c>
      <c r="F46" s="12">
        <f t="shared" si="11"/>
        <v>398914</v>
      </c>
      <c r="G46" s="12">
        <f t="shared" si="11"/>
        <v>307622</v>
      </c>
      <c r="H46" s="12">
        <f t="shared" si="11"/>
        <v>357356</v>
      </c>
      <c r="I46" s="12">
        <f t="shared" si="11"/>
        <v>287747</v>
      </c>
      <c r="J46" s="12">
        <f t="shared" si="11"/>
        <v>322520</v>
      </c>
      <c r="K46" s="12">
        <f t="shared" si="11"/>
        <v>378879</v>
      </c>
      <c r="L46" s="12">
        <f t="shared" si="11"/>
        <v>307614</v>
      </c>
      <c r="M46" s="12">
        <f t="shared" si="11"/>
        <v>705082</v>
      </c>
      <c r="N46" s="12">
        <f t="shared" si="11"/>
        <v>4209829</v>
      </c>
      <c r="O46" s="29"/>
    </row>
    <row r="47" spans="1:44">
      <c r="B47" s="7"/>
      <c r="C47" s="7"/>
      <c r="D47" s="7"/>
      <c r="E47" s="7"/>
      <c r="F47" s="7"/>
      <c r="G47" s="7"/>
      <c r="H47" s="7"/>
      <c r="I47" s="7"/>
      <c r="J47" s="7"/>
      <c r="K47" s="6"/>
      <c r="L47" s="6"/>
      <c r="M47" s="6"/>
      <c r="N47" s="6"/>
      <c r="O47" s="6"/>
    </row>
    <row r="48" spans="1:44">
      <c r="A48" s="13" t="s">
        <v>52</v>
      </c>
      <c r="B48" s="19">
        <f t="shared" ref="B48:N48" si="12">+B20+B34+B42+B46</f>
        <v>1823521</v>
      </c>
      <c r="C48" s="19">
        <f t="shared" si="12"/>
        <v>2865946</v>
      </c>
      <c r="D48" s="19">
        <f t="shared" si="12"/>
        <v>4671417</v>
      </c>
      <c r="E48" s="19">
        <f t="shared" si="12"/>
        <v>3503276</v>
      </c>
      <c r="F48" s="19">
        <f t="shared" si="12"/>
        <v>2659216</v>
      </c>
      <c r="G48" s="19">
        <f t="shared" si="12"/>
        <v>2678842</v>
      </c>
      <c r="H48" s="19">
        <f t="shared" si="12"/>
        <v>3875919</v>
      </c>
      <c r="I48" s="19">
        <f t="shared" si="12"/>
        <v>3297946</v>
      </c>
      <c r="J48" s="19">
        <f t="shared" si="12"/>
        <v>2972629</v>
      </c>
      <c r="K48" s="19">
        <f t="shared" si="12"/>
        <v>2954465</v>
      </c>
      <c r="L48" s="19">
        <f t="shared" si="12"/>
        <v>2753952</v>
      </c>
      <c r="M48" s="19">
        <f t="shared" si="12"/>
        <v>2701181</v>
      </c>
      <c r="N48" s="19">
        <f t="shared" si="12"/>
        <v>36758310</v>
      </c>
      <c r="O48" s="29"/>
    </row>
    <row r="49" spans="1:17">
      <c r="B49" s="7"/>
      <c r="C49" s="7"/>
      <c r="D49" s="7"/>
      <c r="E49" s="7"/>
      <c r="F49" s="7"/>
      <c r="G49" s="7"/>
      <c r="H49" s="7"/>
      <c r="I49" s="7"/>
      <c r="J49" s="7"/>
      <c r="K49" s="6"/>
      <c r="L49" s="6"/>
      <c r="M49" s="6"/>
      <c r="N49" s="6"/>
      <c r="O49" s="6"/>
    </row>
    <row r="50" spans="1:17">
      <c r="A50" s="1" t="s">
        <v>53</v>
      </c>
      <c r="B50" s="12">
        <f t="shared" ref="B50:M50" si="13">+B13-B48</f>
        <v>-563897</v>
      </c>
      <c r="C50" s="12">
        <f t="shared" si="13"/>
        <v>-292069</v>
      </c>
      <c r="D50" s="12">
        <f t="shared" si="13"/>
        <v>1199348</v>
      </c>
      <c r="E50" s="12">
        <f t="shared" si="13"/>
        <v>583672</v>
      </c>
      <c r="F50" s="12">
        <f t="shared" si="13"/>
        <v>3961</v>
      </c>
      <c r="G50" s="12">
        <f t="shared" si="13"/>
        <v>179136</v>
      </c>
      <c r="H50" s="12">
        <f t="shared" si="13"/>
        <v>-35780</v>
      </c>
      <c r="I50" s="12">
        <f t="shared" si="13"/>
        <v>543790</v>
      </c>
      <c r="J50" s="12">
        <f t="shared" si="13"/>
        <v>591969</v>
      </c>
      <c r="K50" s="12">
        <f t="shared" si="13"/>
        <v>133861</v>
      </c>
      <c r="L50" s="12">
        <f t="shared" si="13"/>
        <v>394367</v>
      </c>
      <c r="M50" s="12">
        <f t="shared" si="13"/>
        <v>-1122336</v>
      </c>
      <c r="N50" s="12">
        <f>SUM(B50:M50)</f>
        <v>1616022</v>
      </c>
      <c r="O50" s="6"/>
      <c r="P50" s="25"/>
    </row>
    <row r="51" spans="1:17" ht="7.5" customHeight="1">
      <c r="B51" s="7"/>
      <c r="C51" s="7"/>
      <c r="D51" s="7"/>
      <c r="E51" s="7"/>
      <c r="F51" s="7"/>
      <c r="G51" s="7"/>
      <c r="H51" s="7"/>
      <c r="I51" s="7"/>
      <c r="J51" s="7"/>
      <c r="K51" s="6"/>
      <c r="L51" s="6"/>
      <c r="M51" s="6"/>
      <c r="N51" s="6"/>
      <c r="O51" s="6"/>
    </row>
    <row r="52" spans="1:17">
      <c r="A52" s="1" t="s">
        <v>54</v>
      </c>
      <c r="B52" s="7"/>
      <c r="C52" s="7"/>
      <c r="D52" s="7"/>
      <c r="E52" s="7"/>
      <c r="F52" s="7"/>
      <c r="G52" s="7"/>
      <c r="H52" s="7"/>
      <c r="I52" s="7"/>
      <c r="J52" s="7"/>
      <c r="K52" s="6"/>
      <c r="L52" s="6"/>
      <c r="M52" s="6"/>
      <c r="N52" s="6"/>
      <c r="O52" s="6"/>
    </row>
    <row r="53" spans="1:17" s="6" customFormat="1">
      <c r="A53" s="6" t="s">
        <v>55</v>
      </c>
      <c r="B53" s="10">
        <v>101289</v>
      </c>
      <c r="C53" s="10">
        <v>230379</v>
      </c>
      <c r="D53" s="10">
        <v>5347</v>
      </c>
      <c r="E53" s="10">
        <f>740+15090+2192.65</f>
        <v>18022.650000000001</v>
      </c>
      <c r="F53" s="10">
        <v>137500</v>
      </c>
      <c r="G53" s="10">
        <v>120200</v>
      </c>
      <c r="H53" s="23">
        <v>116000</v>
      </c>
      <c r="I53" s="10">
        <v>265000</v>
      </c>
      <c r="J53" s="10">
        <v>0</v>
      </c>
      <c r="K53" s="10">
        <v>192250</v>
      </c>
      <c r="L53" s="10">
        <v>243000</v>
      </c>
      <c r="M53" s="10">
        <v>275000</v>
      </c>
      <c r="N53" s="10">
        <f>SUM(B53:M53)</f>
        <v>1703987.65</v>
      </c>
      <c r="P53" s="40"/>
    </row>
    <row r="54" spans="1:17" s="6" customFormat="1">
      <c r="A54" s="6" t="s">
        <v>96</v>
      </c>
      <c r="B54" s="10"/>
      <c r="C54" s="10"/>
      <c r="D54" s="10"/>
      <c r="E54" s="10"/>
      <c r="F54" s="10">
        <v>95000</v>
      </c>
      <c r="G54" s="10"/>
      <c r="H54" s="10"/>
      <c r="I54" s="10"/>
      <c r="J54" s="10"/>
      <c r="K54" s="10"/>
      <c r="L54" s="10"/>
      <c r="M54" s="10"/>
      <c r="N54" s="10">
        <f>SUM(B54:M54)</f>
        <v>95000</v>
      </c>
      <c r="P54" s="7"/>
      <c r="Q54" s="6">
        <v>0</v>
      </c>
    </row>
    <row r="55" spans="1:17" s="6" customFormat="1">
      <c r="A55" s="6" t="s">
        <v>97</v>
      </c>
      <c r="B55" s="10">
        <f>276228+184</f>
        <v>276412</v>
      </c>
      <c r="C55" s="10"/>
      <c r="D55" s="10"/>
      <c r="E55" s="10"/>
      <c r="F55" s="10"/>
      <c r="G55" s="10"/>
      <c r="H55" s="10"/>
      <c r="I55" s="10"/>
      <c r="J55" s="10"/>
      <c r="K55" s="10"/>
      <c r="L55" s="10">
        <v>0</v>
      </c>
      <c r="M55" s="10">
        <v>0</v>
      </c>
      <c r="N55" s="10">
        <f>SUM(B55:M55)</f>
        <v>276412</v>
      </c>
      <c r="P55" s="7"/>
    </row>
    <row r="56" spans="1:17" s="6" customFormat="1">
      <c r="A56" s="37" t="s">
        <v>58</v>
      </c>
      <c r="B56" s="7">
        <v>-12589</v>
      </c>
      <c r="C56" s="7">
        <v>-11612</v>
      </c>
      <c r="D56" s="7">
        <v>-12191</v>
      </c>
      <c r="E56" s="7">
        <v>-9918</v>
      </c>
      <c r="F56" s="7">
        <v>-12500</v>
      </c>
      <c r="G56" s="7">
        <v>-12500</v>
      </c>
      <c r="H56" s="10">
        <v>-12500</v>
      </c>
      <c r="I56" s="7">
        <v>-12500</v>
      </c>
      <c r="J56" s="7">
        <v>-12500</v>
      </c>
      <c r="K56" s="7">
        <v>-12500</v>
      </c>
      <c r="L56" s="7">
        <v>-12500</v>
      </c>
      <c r="M56" s="7">
        <v>-12500</v>
      </c>
      <c r="N56" s="7">
        <f>SUM(B56:M56)</f>
        <v>-146310</v>
      </c>
      <c r="P56" s="56"/>
    </row>
    <row r="57" spans="1:17" s="6" customFormat="1">
      <c r="A57" s="6" t="s">
        <v>59</v>
      </c>
      <c r="B57" s="22">
        <v>-187388</v>
      </c>
      <c r="C57" s="22">
        <v>-40876</v>
      </c>
      <c r="D57" s="22">
        <v>-158851</v>
      </c>
      <c r="E57" s="22">
        <v>-155108</v>
      </c>
      <c r="F57" s="22">
        <v>-25000</v>
      </c>
      <c r="G57" s="22">
        <v>-25000</v>
      </c>
      <c r="H57" s="10">
        <v>-25000</v>
      </c>
      <c r="I57" s="22">
        <v>-25000</v>
      </c>
      <c r="J57" s="22">
        <v>-25000</v>
      </c>
      <c r="K57" s="22">
        <v>-25000</v>
      </c>
      <c r="L57" s="22">
        <v>-25000</v>
      </c>
      <c r="M57" s="22">
        <v>-25000</v>
      </c>
      <c r="N57" s="22">
        <f>SUM(B57:M57)</f>
        <v>-742223</v>
      </c>
      <c r="P57" s="7"/>
    </row>
    <row r="58" spans="1:17" s="6" customFormat="1">
      <c r="A58" s="13" t="s">
        <v>60</v>
      </c>
      <c r="B58" s="19">
        <f t="shared" ref="B58:N58" si="14">SUM(B53:B57)</f>
        <v>177724</v>
      </c>
      <c r="C58" s="19">
        <f t="shared" si="14"/>
        <v>177891</v>
      </c>
      <c r="D58" s="19">
        <f t="shared" si="14"/>
        <v>-165695</v>
      </c>
      <c r="E58" s="19">
        <f t="shared" si="14"/>
        <v>-147003.35</v>
      </c>
      <c r="F58" s="19">
        <f t="shared" si="14"/>
        <v>195000</v>
      </c>
      <c r="G58" s="19">
        <f t="shared" si="14"/>
        <v>82700</v>
      </c>
      <c r="H58" s="19">
        <f>SUM(H53:H57)</f>
        <v>78500</v>
      </c>
      <c r="I58" s="19">
        <f t="shared" si="14"/>
        <v>227500</v>
      </c>
      <c r="J58" s="19">
        <f t="shared" si="14"/>
        <v>-37500</v>
      </c>
      <c r="K58" s="19">
        <f t="shared" si="14"/>
        <v>154750</v>
      </c>
      <c r="L58" s="19">
        <f t="shared" si="14"/>
        <v>205500</v>
      </c>
      <c r="M58" s="19">
        <f t="shared" si="14"/>
        <v>237500</v>
      </c>
      <c r="N58" s="19">
        <f t="shared" si="14"/>
        <v>1186866.6499999999</v>
      </c>
      <c r="O58" s="29"/>
    </row>
    <row r="59" spans="1:17">
      <c r="B59" s="7"/>
      <c r="C59" s="7"/>
      <c r="D59" s="7"/>
      <c r="E59" s="7"/>
      <c r="F59" s="7"/>
      <c r="G59" s="7"/>
      <c r="H59" s="7"/>
      <c r="I59" s="7"/>
      <c r="J59" s="7"/>
      <c r="K59" s="7"/>
      <c r="L59" s="7"/>
      <c r="M59" s="7"/>
      <c r="N59" s="7"/>
      <c r="O59" s="6"/>
    </row>
    <row r="60" spans="1:17">
      <c r="A60" s="1" t="s">
        <v>61</v>
      </c>
      <c r="B60" s="12">
        <v>13373023</v>
      </c>
      <c r="C60" s="7"/>
      <c r="D60" s="7"/>
      <c r="E60" s="7"/>
      <c r="F60" s="7"/>
      <c r="G60" s="7"/>
      <c r="H60" s="7" t="s">
        <v>38</v>
      </c>
      <c r="I60" s="7"/>
      <c r="J60" s="7"/>
      <c r="K60" s="6"/>
      <c r="L60" s="6"/>
      <c r="M60" s="6"/>
      <c r="N60" s="6"/>
      <c r="O60" s="6"/>
    </row>
    <row r="61" spans="1:17">
      <c r="A61" s="13" t="s">
        <v>62</v>
      </c>
      <c r="B61" s="19">
        <f t="shared" ref="B61:N61" si="15">+B58+B48</f>
        <v>2001245</v>
      </c>
      <c r="C61" s="19">
        <f t="shared" si="15"/>
        <v>3043837</v>
      </c>
      <c r="D61" s="19">
        <f t="shared" si="15"/>
        <v>4505722</v>
      </c>
      <c r="E61" s="19">
        <f t="shared" si="15"/>
        <v>3356272.65</v>
      </c>
      <c r="F61" s="19">
        <f t="shared" si="15"/>
        <v>2854216</v>
      </c>
      <c r="G61" s="19">
        <f t="shared" si="15"/>
        <v>2761542</v>
      </c>
      <c r="H61" s="19">
        <f t="shared" si="15"/>
        <v>3954419</v>
      </c>
      <c r="I61" s="19">
        <f t="shared" si="15"/>
        <v>3525446</v>
      </c>
      <c r="J61" s="19">
        <f t="shared" si="15"/>
        <v>2935129</v>
      </c>
      <c r="K61" s="19">
        <f t="shared" si="15"/>
        <v>3109215</v>
      </c>
      <c r="L61" s="19">
        <f t="shared" si="15"/>
        <v>2959452</v>
      </c>
      <c r="M61" s="19">
        <f t="shared" si="15"/>
        <v>2938681</v>
      </c>
      <c r="N61" s="19">
        <f t="shared" si="15"/>
        <v>37945176.649999999</v>
      </c>
      <c r="O61" s="29"/>
      <c r="P61" s="25">
        <f>+N61-O61</f>
        <v>37945176.649999999</v>
      </c>
    </row>
    <row r="62" spans="1:17" ht="13.5" thickBot="1">
      <c r="A62" s="13" t="s">
        <v>63</v>
      </c>
      <c r="B62" s="30">
        <f t="shared" ref="B62:N62" si="16">+B13-B61</f>
        <v>-741621</v>
      </c>
      <c r="C62" s="30">
        <f t="shared" si="16"/>
        <v>-469960</v>
      </c>
      <c r="D62" s="30">
        <f t="shared" si="16"/>
        <v>1365043</v>
      </c>
      <c r="E62" s="30">
        <f t="shared" si="16"/>
        <v>730675.35000000009</v>
      </c>
      <c r="F62" s="14">
        <f t="shared" si="16"/>
        <v>-191039</v>
      </c>
      <c r="G62" s="14">
        <f t="shared" si="16"/>
        <v>96436</v>
      </c>
      <c r="H62" s="14">
        <f t="shared" si="16"/>
        <v>-114280</v>
      </c>
      <c r="I62" s="14">
        <f t="shared" si="16"/>
        <v>316290</v>
      </c>
      <c r="J62" s="14">
        <f t="shared" si="16"/>
        <v>629469</v>
      </c>
      <c r="K62" s="14">
        <f t="shared" si="16"/>
        <v>-20889</v>
      </c>
      <c r="L62" s="14">
        <f t="shared" si="16"/>
        <v>188867</v>
      </c>
      <c r="M62" s="14">
        <f t="shared" si="16"/>
        <v>-1359836</v>
      </c>
      <c r="N62" s="14">
        <f t="shared" si="16"/>
        <v>429155.35000000149</v>
      </c>
      <c r="O62" s="29"/>
      <c r="P62" s="25">
        <f>+N62-O62</f>
        <v>429155.35000000149</v>
      </c>
    </row>
    <row r="63" spans="1:17" s="6" customFormat="1" ht="13.5" thickTop="1">
      <c r="A63" s="13" t="s">
        <v>64</v>
      </c>
      <c r="B63" s="32">
        <f>+B62</f>
        <v>-741621</v>
      </c>
      <c r="C63" s="32">
        <f t="shared" ref="C63:M63" si="17">B63+C62</f>
        <v>-1211581</v>
      </c>
      <c r="D63" s="32">
        <f t="shared" si="17"/>
        <v>153462</v>
      </c>
      <c r="E63" s="32">
        <f t="shared" si="17"/>
        <v>884137.35000000009</v>
      </c>
      <c r="F63" s="12">
        <f t="shared" si="17"/>
        <v>693098.35000000009</v>
      </c>
      <c r="G63" s="12">
        <f t="shared" si="17"/>
        <v>789534.35000000009</v>
      </c>
      <c r="H63" s="12">
        <f t="shared" si="17"/>
        <v>675254.35000000009</v>
      </c>
      <c r="I63" s="12">
        <f t="shared" si="17"/>
        <v>991544.35000000009</v>
      </c>
      <c r="J63" s="12">
        <f t="shared" si="17"/>
        <v>1621013.35</v>
      </c>
      <c r="K63" s="12">
        <f t="shared" si="17"/>
        <v>1600124.35</v>
      </c>
      <c r="L63" s="12">
        <f t="shared" si="17"/>
        <v>1788991.35</v>
      </c>
      <c r="M63" s="12">
        <f t="shared" si="17"/>
        <v>429155.35000000009</v>
      </c>
      <c r="N63" s="12"/>
    </row>
    <row r="64" spans="1:17">
      <c r="A64" s="13" t="s">
        <v>65</v>
      </c>
      <c r="B64" s="12">
        <f t="shared" ref="B64:M64" si="18">+$B$60+B63</f>
        <v>12631402</v>
      </c>
      <c r="C64" s="12">
        <f t="shared" si="18"/>
        <v>12161442</v>
      </c>
      <c r="D64" s="12">
        <f t="shared" si="18"/>
        <v>13526485</v>
      </c>
      <c r="E64" s="12">
        <f t="shared" si="18"/>
        <v>14257160.35</v>
      </c>
      <c r="F64" s="12">
        <f t="shared" si="18"/>
        <v>14066121.35</v>
      </c>
      <c r="G64" s="12">
        <f t="shared" si="18"/>
        <v>14162557.35</v>
      </c>
      <c r="H64" s="12">
        <f t="shared" si="18"/>
        <v>14048277.35</v>
      </c>
      <c r="I64" s="12">
        <f t="shared" si="18"/>
        <v>14364567.35</v>
      </c>
      <c r="J64" s="12">
        <f t="shared" si="18"/>
        <v>14994036.35</v>
      </c>
      <c r="K64" s="12">
        <f t="shared" si="18"/>
        <v>14973147.35</v>
      </c>
      <c r="L64" s="12">
        <f t="shared" si="18"/>
        <v>15162014.35</v>
      </c>
      <c r="M64" s="12">
        <f t="shared" si="18"/>
        <v>13802178.35</v>
      </c>
      <c r="N64" s="12"/>
      <c r="O64" s="6"/>
      <c r="P64" s="29"/>
    </row>
    <row r="65" spans="1:16">
      <c r="A65" s="6"/>
      <c r="B65" s="7"/>
      <c r="C65" s="7"/>
      <c r="D65" s="7"/>
      <c r="E65" s="7"/>
      <c r="F65" s="7"/>
      <c r="G65" s="7"/>
      <c r="H65" s="7"/>
      <c r="I65" s="7"/>
      <c r="J65" s="7"/>
      <c r="K65" s="6"/>
      <c r="L65" s="6"/>
      <c r="M65" s="6"/>
      <c r="N65" s="6"/>
      <c r="O65" s="6"/>
    </row>
    <row r="66" spans="1:16" s="6" customFormat="1">
      <c r="A66" s="17" t="s">
        <v>94</v>
      </c>
      <c r="B66" s="18"/>
      <c r="C66" s="18"/>
      <c r="D66" s="18"/>
      <c r="E66" s="18"/>
      <c r="F66" s="18"/>
      <c r="G66" s="18"/>
      <c r="H66" s="18"/>
      <c r="I66" s="18"/>
      <c r="J66" s="18"/>
      <c r="K66" s="18"/>
      <c r="L66" s="18"/>
      <c r="M66" s="18"/>
      <c r="N66" s="18"/>
    </row>
    <row r="67" spans="1:16" ht="13.5" thickBot="1">
      <c r="A67" s="13" t="s">
        <v>67</v>
      </c>
      <c r="B67" s="14">
        <v>-968259</v>
      </c>
      <c r="C67" s="14">
        <v>165657</v>
      </c>
      <c r="D67" s="14">
        <v>1175481</v>
      </c>
      <c r="E67" s="14">
        <v>388022</v>
      </c>
      <c r="F67" s="14">
        <v>-191039</v>
      </c>
      <c r="G67" s="14">
        <v>96436</v>
      </c>
      <c r="H67" s="14">
        <v>-114280</v>
      </c>
      <c r="I67" s="14">
        <v>316290</v>
      </c>
      <c r="J67" s="14">
        <v>629469</v>
      </c>
      <c r="K67" s="14">
        <v>-20889</v>
      </c>
      <c r="L67" s="14">
        <v>188867</v>
      </c>
      <c r="M67" s="14">
        <v>-1359836</v>
      </c>
      <c r="N67" s="16"/>
      <c r="O67" s="6"/>
    </row>
    <row r="68" spans="1:16" ht="13.5" thickTop="1">
      <c r="A68" s="13" t="s">
        <v>64</v>
      </c>
      <c r="B68" s="12">
        <f>+B67</f>
        <v>-968259</v>
      </c>
      <c r="C68" s="12">
        <f>+B68+C67</f>
        <v>-802602</v>
      </c>
      <c r="D68" s="12">
        <f t="shared" ref="D68:M68" si="19">+C68+D67</f>
        <v>372879</v>
      </c>
      <c r="E68" s="12">
        <f t="shared" si="19"/>
        <v>760901</v>
      </c>
      <c r="F68" s="12">
        <f t="shared" si="19"/>
        <v>569862</v>
      </c>
      <c r="G68" s="12">
        <f t="shared" si="19"/>
        <v>666298</v>
      </c>
      <c r="H68" s="12">
        <f t="shared" si="19"/>
        <v>552018</v>
      </c>
      <c r="I68" s="12">
        <f t="shared" si="19"/>
        <v>868308</v>
      </c>
      <c r="J68" s="12">
        <f t="shared" si="19"/>
        <v>1497777</v>
      </c>
      <c r="K68" s="12">
        <f t="shared" si="19"/>
        <v>1476888</v>
      </c>
      <c r="L68" s="12">
        <f t="shared" si="19"/>
        <v>1665755</v>
      </c>
      <c r="M68" s="12">
        <f t="shared" si="19"/>
        <v>305919</v>
      </c>
      <c r="N68" s="16"/>
      <c r="O68" s="6"/>
    </row>
    <row r="69" spans="1:16">
      <c r="A69" s="13" t="s">
        <v>65</v>
      </c>
      <c r="B69" s="12">
        <v>10066787.80069958</v>
      </c>
      <c r="C69" s="12">
        <v>10474885.82712047</v>
      </c>
      <c r="D69" s="12">
        <v>11546728.467384296</v>
      </c>
      <c r="E69" s="12">
        <v>11992721.928639133</v>
      </c>
      <c r="F69" s="12">
        <v>11726972.321587943</v>
      </c>
      <c r="G69" s="12">
        <v>11337269.706012141</v>
      </c>
      <c r="H69" s="12">
        <v>11322908.797641888</v>
      </c>
      <c r="I69" s="12">
        <v>11526789.393104676</v>
      </c>
      <c r="J69" s="12">
        <v>11837705.668475684</v>
      </c>
      <c r="K69" s="12">
        <v>12021264.778665379</v>
      </c>
      <c r="L69" s="12">
        <v>12475612.568366794</v>
      </c>
      <c r="M69" s="12">
        <v>11197948.23476476</v>
      </c>
      <c r="N69" s="12"/>
      <c r="O69" s="6"/>
    </row>
    <row r="70" spans="1:16">
      <c r="A70" s="6"/>
      <c r="B70" s="6"/>
      <c r="C70" s="6"/>
      <c r="D70" s="6"/>
      <c r="E70" s="6"/>
      <c r="F70" s="6"/>
      <c r="H70" s="6"/>
      <c r="I70" s="6"/>
      <c r="J70" s="6"/>
      <c r="K70" s="6"/>
      <c r="L70" s="6"/>
      <c r="M70" s="6"/>
      <c r="N70" s="6"/>
      <c r="O70" s="6"/>
    </row>
    <row r="71" spans="1:16">
      <c r="A71" s="24" t="s">
        <v>68</v>
      </c>
      <c r="B71" s="18"/>
      <c r="C71" s="18"/>
      <c r="D71" s="18"/>
      <c r="E71" s="18"/>
      <c r="F71" s="18"/>
      <c r="G71" s="18"/>
      <c r="H71" s="18"/>
      <c r="I71" s="18"/>
      <c r="J71" s="18"/>
      <c r="K71" s="18"/>
      <c r="L71" s="18"/>
      <c r="M71" s="18"/>
      <c r="N71" s="18"/>
      <c r="O71" s="6"/>
    </row>
    <row r="72" spans="1:16">
      <c r="A72" s="13" t="s">
        <v>63</v>
      </c>
      <c r="B72" s="31">
        <f t="shared" ref="B72:N74" si="20">+B62-B67</f>
        <v>226638</v>
      </c>
      <c r="C72" s="31">
        <f t="shared" si="20"/>
        <v>-635617</v>
      </c>
      <c r="D72" s="31">
        <f t="shared" si="20"/>
        <v>189562</v>
      </c>
      <c r="E72" s="31">
        <f t="shared" si="20"/>
        <v>342653.35000000009</v>
      </c>
      <c r="F72" s="16">
        <f t="shared" si="20"/>
        <v>0</v>
      </c>
      <c r="G72" s="16">
        <f t="shared" si="20"/>
        <v>0</v>
      </c>
      <c r="H72" s="16">
        <f t="shared" si="20"/>
        <v>0</v>
      </c>
      <c r="I72" s="16">
        <f t="shared" si="20"/>
        <v>0</v>
      </c>
      <c r="J72" s="16">
        <f t="shared" si="20"/>
        <v>0</v>
      </c>
      <c r="K72" s="16">
        <f t="shared" si="20"/>
        <v>0</v>
      </c>
      <c r="L72" s="16">
        <f t="shared" si="20"/>
        <v>0</v>
      </c>
      <c r="M72" s="16">
        <f t="shared" si="20"/>
        <v>0</v>
      </c>
      <c r="N72" s="6"/>
      <c r="O72" s="6"/>
      <c r="P72" s="16">
        <f>+N62-N67</f>
        <v>429155.35000000149</v>
      </c>
    </row>
    <row r="73" spans="1:16" s="6" customFormat="1">
      <c r="A73" s="13" t="s">
        <v>64</v>
      </c>
      <c r="B73" s="31">
        <f t="shared" si="20"/>
        <v>226638</v>
      </c>
      <c r="C73" s="31">
        <f t="shared" si="20"/>
        <v>-408979</v>
      </c>
      <c r="D73" s="31">
        <f t="shared" si="20"/>
        <v>-219417</v>
      </c>
      <c r="E73" s="31">
        <f t="shared" si="20"/>
        <v>123236.35000000009</v>
      </c>
      <c r="F73" s="16">
        <f t="shared" si="20"/>
        <v>123236.35000000009</v>
      </c>
      <c r="G73" s="16">
        <f t="shared" si="20"/>
        <v>123236.35000000009</v>
      </c>
      <c r="H73" s="16">
        <f t="shared" si="20"/>
        <v>123236.35000000009</v>
      </c>
      <c r="I73" s="16">
        <f t="shared" si="20"/>
        <v>123236.35000000009</v>
      </c>
      <c r="J73" s="16">
        <f t="shared" si="20"/>
        <v>123236.35000000009</v>
      </c>
      <c r="K73" s="16">
        <f t="shared" si="20"/>
        <v>123236.35000000009</v>
      </c>
      <c r="L73" s="16">
        <f t="shared" si="20"/>
        <v>123236.35000000009</v>
      </c>
      <c r="M73" s="16">
        <f t="shared" si="20"/>
        <v>123236.35000000009</v>
      </c>
      <c r="N73" s="16">
        <f t="shared" si="20"/>
        <v>0</v>
      </c>
    </row>
    <row r="74" spans="1:16">
      <c r="A74" s="1" t="s">
        <v>65</v>
      </c>
      <c r="B74" s="16">
        <f t="shared" si="20"/>
        <v>2564614.1993004195</v>
      </c>
      <c r="C74" s="16">
        <f t="shared" si="20"/>
        <v>1686556.1728795301</v>
      </c>
      <c r="D74" s="16">
        <f t="shared" si="20"/>
        <v>1979756.5326157045</v>
      </c>
      <c r="E74" s="16">
        <f t="shared" si="20"/>
        <v>2264438.4213608671</v>
      </c>
      <c r="F74" s="16">
        <f t="shared" si="20"/>
        <v>2339149.0284120571</v>
      </c>
      <c r="G74" s="16">
        <f t="shared" si="20"/>
        <v>2825287.6439878587</v>
      </c>
      <c r="H74" s="16">
        <f t="shared" si="20"/>
        <v>2725368.5523581114</v>
      </c>
      <c r="I74" s="16">
        <f t="shared" si="20"/>
        <v>2837777.9568953235</v>
      </c>
      <c r="J74" s="16">
        <f t="shared" si="20"/>
        <v>3156330.6815243158</v>
      </c>
      <c r="K74" s="16">
        <f t="shared" si="20"/>
        <v>2951882.5713346209</v>
      </c>
      <c r="L74" s="16">
        <f t="shared" si="20"/>
        <v>2686401.7816332057</v>
      </c>
      <c r="M74" s="16">
        <f t="shared" si="20"/>
        <v>2604230.1152352393</v>
      </c>
      <c r="N74" s="16"/>
      <c r="O74" s="6"/>
    </row>
    <row r="75" spans="1:16">
      <c r="B75" s="6"/>
      <c r="C75" s="6"/>
      <c r="D75" s="6"/>
      <c r="E75" s="6"/>
      <c r="F75" s="6"/>
      <c r="H75" s="6"/>
      <c r="I75" s="6"/>
      <c r="J75" s="6"/>
      <c r="K75" s="6"/>
      <c r="L75" s="6"/>
      <c r="M75" s="6"/>
      <c r="N75" s="6"/>
    </row>
    <row r="76" spans="1:16">
      <c r="A76" s="1"/>
      <c r="B76" s="4"/>
      <c r="C76" s="8"/>
      <c r="D76" s="8"/>
      <c r="E76" s="8"/>
      <c r="F76" s="8"/>
      <c r="H76" s="20"/>
      <c r="J76" s="6"/>
      <c r="K76" s="6"/>
    </row>
    <row r="77" spans="1:16">
      <c r="A77" s="1"/>
      <c r="B77" s="4"/>
      <c r="C77" s="8"/>
      <c r="D77" s="8"/>
      <c r="E77" s="8"/>
      <c r="F77" s="8"/>
      <c r="H77" s="20"/>
      <c r="J77" s="6"/>
    </row>
    <row r="78" spans="1:16">
      <c r="A78" s="1"/>
      <c r="B78" s="4"/>
      <c r="D78" s="8"/>
      <c r="E78" s="8"/>
      <c r="F78" s="8"/>
      <c r="H78" s="61"/>
      <c r="J78" s="6"/>
    </row>
    <row r="79" spans="1:16">
      <c r="E79" s="6"/>
      <c r="H79" s="20"/>
      <c r="J79" s="6"/>
      <c r="N79" s="25"/>
    </row>
    <row r="80" spans="1:16">
      <c r="A80" t="s">
        <v>69</v>
      </c>
      <c r="B80" t="s">
        <v>69</v>
      </c>
      <c r="C80" t="s">
        <v>69</v>
      </c>
      <c r="D80" t="s">
        <v>69</v>
      </c>
      <c r="E80" s="6" t="s">
        <v>69</v>
      </c>
      <c r="F80" t="s">
        <v>69</v>
      </c>
      <c r="G80" s="6" t="s">
        <v>69</v>
      </c>
      <c r="H80" t="s">
        <v>69</v>
      </c>
      <c r="I80" t="s">
        <v>69</v>
      </c>
      <c r="J80" s="6" t="s">
        <v>69</v>
      </c>
      <c r="K80" t="s">
        <v>69</v>
      </c>
      <c r="L80" t="s">
        <v>69</v>
      </c>
      <c r="M80" t="s">
        <v>69</v>
      </c>
      <c r="N80" t="s">
        <v>69</v>
      </c>
    </row>
    <row r="81" spans="1:14">
      <c r="E81" s="6"/>
      <c r="J81" s="6"/>
    </row>
    <row r="82" spans="1:14">
      <c r="A82" s="33" t="s">
        <v>70</v>
      </c>
      <c r="B82" s="47">
        <v>52000</v>
      </c>
      <c r="C82" s="47">
        <v>20000</v>
      </c>
      <c r="D82" s="47">
        <v>10000</v>
      </c>
      <c r="E82" s="47">
        <v>44355</v>
      </c>
      <c r="F82" s="47">
        <v>186840</v>
      </c>
      <c r="G82" s="10">
        <v>202000</v>
      </c>
      <c r="H82" s="54">
        <v>197000</v>
      </c>
      <c r="I82" s="47">
        <v>142000</v>
      </c>
      <c r="J82" s="47">
        <v>119000</v>
      </c>
      <c r="K82" s="47">
        <v>0</v>
      </c>
      <c r="L82" s="47">
        <v>0</v>
      </c>
      <c r="M82" s="47">
        <v>455000</v>
      </c>
      <c r="N82" s="7">
        <v>1428195</v>
      </c>
    </row>
    <row r="83" spans="1:14">
      <c r="A83" s="33" t="s">
        <v>71</v>
      </c>
      <c r="B83" s="2">
        <f>+B82</f>
        <v>52000</v>
      </c>
      <c r="C83" s="2">
        <f>+B83+C82</f>
        <v>72000</v>
      </c>
      <c r="D83" s="2">
        <f t="shared" ref="D83:M83" si="21">+C83+D82</f>
        <v>82000</v>
      </c>
      <c r="E83" s="7">
        <f t="shared" si="21"/>
        <v>126355</v>
      </c>
      <c r="F83" s="2">
        <f t="shared" si="21"/>
        <v>313195</v>
      </c>
      <c r="G83" s="7">
        <f t="shared" si="21"/>
        <v>515195</v>
      </c>
      <c r="H83" s="2">
        <f t="shared" si="21"/>
        <v>712195</v>
      </c>
      <c r="I83" s="2">
        <f t="shared" si="21"/>
        <v>854195</v>
      </c>
      <c r="J83" s="7">
        <f t="shared" si="21"/>
        <v>973195</v>
      </c>
      <c r="K83" s="2">
        <f t="shared" si="21"/>
        <v>973195</v>
      </c>
      <c r="L83" s="2">
        <f t="shared" si="21"/>
        <v>973195</v>
      </c>
      <c r="M83" s="2">
        <f t="shared" si="21"/>
        <v>1428195</v>
      </c>
    </row>
    <row r="84" spans="1:14">
      <c r="A84" s="33" t="s">
        <v>72</v>
      </c>
      <c r="B84" s="7">
        <f>+B53</f>
        <v>101289</v>
      </c>
      <c r="C84" s="7">
        <f>SUM($B53:C53)</f>
        <v>331668</v>
      </c>
      <c r="D84" s="7">
        <f>SUM($B53:D53)</f>
        <v>337015</v>
      </c>
      <c r="E84" s="7">
        <f>SUM($B53:E53)</f>
        <v>355037.65</v>
      </c>
      <c r="F84" s="7">
        <f>SUM($B53:F53)</f>
        <v>492537.65</v>
      </c>
      <c r="G84" s="7">
        <f>SUM($B53:G53)</f>
        <v>612737.65</v>
      </c>
      <c r="H84" s="7">
        <f>SUM(B53:H53)</f>
        <v>728737.65</v>
      </c>
      <c r="I84" s="7">
        <f>SUM(B53:I53)</f>
        <v>993737.65</v>
      </c>
      <c r="J84" s="7">
        <f>SUM(B53:J53)</f>
        <v>993737.65</v>
      </c>
      <c r="K84" s="7">
        <f>SUM(B53:K53)</f>
        <v>1185987.6499999999</v>
      </c>
      <c r="L84" s="7">
        <f>SUM(B53:L53)</f>
        <v>1428987.65</v>
      </c>
      <c r="M84" s="7">
        <f>SUM(B53:M53)</f>
        <v>1703987.65</v>
      </c>
    </row>
    <row r="85" spans="1:14">
      <c r="A85" s="33" t="s">
        <v>73</v>
      </c>
      <c r="B85" s="7">
        <f t="shared" ref="B85:G85" si="22">+B83-B84</f>
        <v>-49289</v>
      </c>
      <c r="C85" s="7">
        <f t="shared" si="22"/>
        <v>-259668</v>
      </c>
      <c r="D85" s="7">
        <f t="shared" si="22"/>
        <v>-255015</v>
      </c>
      <c r="E85" s="7">
        <f t="shared" si="22"/>
        <v>-228682.65000000002</v>
      </c>
      <c r="F85" s="7">
        <f t="shared" si="22"/>
        <v>-179342.65000000002</v>
      </c>
      <c r="G85" s="7">
        <f t="shared" si="22"/>
        <v>-97542.650000000023</v>
      </c>
      <c r="H85" s="7">
        <f t="shared" ref="H85:M85" si="23">+H83-H84</f>
        <v>-16542.650000000023</v>
      </c>
      <c r="I85" s="7">
        <f t="shared" si="23"/>
        <v>-139542.65000000002</v>
      </c>
      <c r="J85" s="7">
        <f t="shared" si="23"/>
        <v>-20542.650000000023</v>
      </c>
      <c r="K85" s="7">
        <f t="shared" si="23"/>
        <v>-212792.64999999991</v>
      </c>
      <c r="L85" s="7">
        <f t="shared" si="23"/>
        <v>-455792.64999999991</v>
      </c>
      <c r="M85" s="7">
        <f t="shared" si="23"/>
        <v>-275792.64999999991</v>
      </c>
    </row>
    <row r="86" spans="1:14">
      <c r="J86" s="6"/>
      <c r="K86" s="6"/>
    </row>
    <row r="87" spans="1:14">
      <c r="A87" t="s">
        <v>74</v>
      </c>
      <c r="B87" s="35">
        <f>-B56-B57</f>
        <v>199977</v>
      </c>
      <c r="C87" s="35">
        <f t="shared" ref="C87:N87" si="24">-C56-C57</f>
        <v>52488</v>
      </c>
      <c r="D87" s="35">
        <f t="shared" si="24"/>
        <v>171042</v>
      </c>
      <c r="E87" s="35">
        <f t="shared" si="24"/>
        <v>165026</v>
      </c>
      <c r="F87" s="35">
        <f t="shared" si="24"/>
        <v>37500</v>
      </c>
      <c r="G87" s="40">
        <f t="shared" si="24"/>
        <v>37500</v>
      </c>
      <c r="H87" s="40">
        <f t="shared" si="24"/>
        <v>37500</v>
      </c>
      <c r="I87" s="35">
        <f t="shared" si="24"/>
        <v>37500</v>
      </c>
      <c r="J87" s="35">
        <f t="shared" si="24"/>
        <v>37500</v>
      </c>
      <c r="K87" s="40">
        <f t="shared" si="24"/>
        <v>37500</v>
      </c>
      <c r="L87" s="35">
        <f t="shared" si="24"/>
        <v>37500</v>
      </c>
      <c r="M87" s="35">
        <f t="shared" si="24"/>
        <v>37500</v>
      </c>
      <c r="N87" s="35">
        <f t="shared" si="24"/>
        <v>888533</v>
      </c>
    </row>
    <row r="88" spans="1:14">
      <c r="C88" s="35">
        <f>+B87+C87</f>
        <v>252465</v>
      </c>
      <c r="D88" s="35">
        <f>+C88+D87</f>
        <v>423507</v>
      </c>
      <c r="E88" s="35">
        <f t="shared" ref="E88:M88" si="25">+D88+E87</f>
        <v>588533</v>
      </c>
      <c r="F88" s="35">
        <f t="shared" si="25"/>
        <v>626033</v>
      </c>
      <c r="G88" s="40">
        <f t="shared" si="25"/>
        <v>663533</v>
      </c>
      <c r="H88" s="35">
        <f t="shared" si="25"/>
        <v>701033</v>
      </c>
      <c r="I88" s="40">
        <f t="shared" si="25"/>
        <v>738533</v>
      </c>
      <c r="J88" s="40">
        <f t="shared" si="25"/>
        <v>776033</v>
      </c>
      <c r="K88" s="40">
        <f t="shared" si="25"/>
        <v>813533</v>
      </c>
      <c r="L88" s="35">
        <f t="shared" si="25"/>
        <v>851033</v>
      </c>
      <c r="M88" s="35">
        <f t="shared" si="25"/>
        <v>888533</v>
      </c>
    </row>
    <row r="89" spans="1:14">
      <c r="B89" s="6"/>
      <c r="C89" s="6"/>
      <c r="D89" s="6"/>
      <c r="E89" s="6"/>
    </row>
    <row r="90" spans="1:14">
      <c r="B90" s="6"/>
      <c r="C90" s="6"/>
      <c r="D90" s="21"/>
      <c r="E90" s="6"/>
    </row>
    <row r="91" spans="1:14">
      <c r="B91" s="6"/>
      <c r="C91" s="6"/>
      <c r="D91" s="6"/>
      <c r="E91" s="6"/>
    </row>
    <row r="92" spans="1:14">
      <c r="B92" s="70">
        <v>78554</v>
      </c>
      <c r="C92" s="70">
        <v>78293</v>
      </c>
      <c r="D92" s="70">
        <v>79025</v>
      </c>
      <c r="E92" s="70">
        <v>81090</v>
      </c>
      <c r="F92" s="71">
        <v>81090</v>
      </c>
      <c r="G92" s="70">
        <v>81079</v>
      </c>
      <c r="H92" s="71">
        <v>89229</v>
      </c>
      <c r="I92" s="71">
        <v>88964</v>
      </c>
      <c r="J92" s="71">
        <v>88964</v>
      </c>
      <c r="K92" s="71">
        <v>88563</v>
      </c>
      <c r="L92" s="71">
        <v>97279</v>
      </c>
      <c r="M92" s="71">
        <v>97277</v>
      </c>
    </row>
    <row r="93" spans="1:14">
      <c r="B93" s="6">
        <f>+B92*-1</f>
        <v>-78554</v>
      </c>
      <c r="C93" s="6">
        <f t="shared" ref="C93:M93" si="26">+C92*-1</f>
        <v>-78293</v>
      </c>
      <c r="D93" s="6">
        <f t="shared" si="26"/>
        <v>-79025</v>
      </c>
      <c r="E93" s="6">
        <f t="shared" si="26"/>
        <v>-81090</v>
      </c>
      <c r="F93" s="6">
        <f t="shared" si="26"/>
        <v>-81090</v>
      </c>
      <c r="G93" s="6">
        <f t="shared" si="26"/>
        <v>-81079</v>
      </c>
      <c r="H93" s="6">
        <f t="shared" si="26"/>
        <v>-89229</v>
      </c>
      <c r="I93" s="6">
        <f t="shared" si="26"/>
        <v>-88964</v>
      </c>
      <c r="J93" s="6">
        <f t="shared" si="26"/>
        <v>-88964</v>
      </c>
      <c r="K93" s="6">
        <f t="shared" si="26"/>
        <v>-88563</v>
      </c>
      <c r="L93" s="6">
        <f t="shared" si="26"/>
        <v>-97279</v>
      </c>
      <c r="M93" s="6">
        <f t="shared" si="26"/>
        <v>-97277</v>
      </c>
    </row>
    <row r="94" spans="1:14">
      <c r="B94" s="6"/>
      <c r="C94" s="6"/>
      <c r="D94" s="34"/>
      <c r="E94" s="6"/>
    </row>
    <row r="95" spans="1:14">
      <c r="B95" s="6"/>
      <c r="C95" s="6"/>
      <c r="D95" s="6"/>
      <c r="E95" s="6"/>
    </row>
    <row r="96" spans="1:14">
      <c r="B96" s="6"/>
      <c r="C96" s="6"/>
      <c r="D96" s="6"/>
      <c r="E96" s="6"/>
    </row>
  </sheetData>
  <pageMargins left="0.28000000000000003" right="0.25" top="0.99" bottom="0.75" header="0.63" footer="0.23"/>
  <pageSetup scale="67" orientation="landscape" r:id="rId1"/>
  <headerFooter alignWithMargins="0">
    <oddHeader xml:space="preserve">&amp;C&amp;"Arial,Bold"&amp;11 49ER SHOPS, INC.
&amp;UFY2017/2018 OPERATIONAL CASH FLOW </oddHeader>
    <oddFooter>&amp;CCash Flow - FY2017/2018
October 2017</oddFooter>
  </headerFooter>
  <legacy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FF00"/>
    <pageSetUpPr fitToPage="1"/>
  </sheetPr>
  <dimension ref="A1:AR96"/>
  <sheetViews>
    <sheetView showGridLines="0" zoomScale="90" zoomScaleNormal="90" workbookViewId="0">
      <pane xSplit="1" ySplit="3" topLeftCell="C4" activePane="bottomRight" state="frozen"/>
      <selection pane="topRight" activeCell="B72" sqref="B72"/>
      <selection pane="bottomLeft" activeCell="B72" sqref="B72"/>
      <selection pane="bottomRight" activeCell="G2" sqref="G2"/>
    </sheetView>
  </sheetViews>
  <sheetFormatPr defaultRowHeight="12.75"/>
  <cols>
    <col min="1" max="1" width="35.42578125" customWidth="1"/>
    <col min="2" max="2" width="14" customWidth="1"/>
    <col min="3" max="3" width="12.5703125" customWidth="1"/>
    <col min="4" max="4" width="12.140625" customWidth="1"/>
    <col min="5" max="5" width="13.5703125" customWidth="1"/>
    <col min="6" max="6" width="12.85546875" customWidth="1"/>
    <col min="7" max="7" width="12.5703125" style="6" customWidth="1"/>
    <col min="8" max="9" width="12.85546875" customWidth="1"/>
    <col min="10" max="11" width="12.140625" customWidth="1"/>
    <col min="12" max="13" width="12.85546875" customWidth="1"/>
    <col min="14" max="14" width="12.85546875" bestFit="1" customWidth="1"/>
    <col min="15" max="15" width="12.42578125" bestFit="1" customWidth="1"/>
    <col min="16" max="16" width="13.140625" bestFit="1" customWidth="1"/>
  </cols>
  <sheetData>
    <row r="1" spans="1:15" ht="13.5" thickBot="1">
      <c r="A1" s="46" t="s">
        <v>102</v>
      </c>
      <c r="E1" s="6"/>
      <c r="F1" s="6"/>
      <c r="J1" s="6"/>
      <c r="K1" s="6"/>
      <c r="N1" s="3"/>
    </row>
    <row r="2" spans="1:15">
      <c r="B2" s="45" t="s">
        <v>24</v>
      </c>
      <c r="C2" s="45" t="s">
        <v>24</v>
      </c>
      <c r="D2" s="45" t="s">
        <v>24</v>
      </c>
      <c r="E2" s="45" t="s">
        <v>24</v>
      </c>
      <c r="F2" s="45" t="s">
        <v>24</v>
      </c>
      <c r="G2" s="48" t="s">
        <v>76</v>
      </c>
      <c r="H2" s="48" t="s">
        <v>76</v>
      </c>
      <c r="I2" s="48" t="s">
        <v>76</v>
      </c>
      <c r="J2" s="48" t="s">
        <v>76</v>
      </c>
      <c r="K2" s="48" t="s">
        <v>76</v>
      </c>
      <c r="L2" s="48" t="s">
        <v>76</v>
      </c>
      <c r="M2" s="48" t="s">
        <v>76</v>
      </c>
      <c r="N2" s="28" t="s">
        <v>25</v>
      </c>
    </row>
    <row r="3" spans="1:15" s="5" customFormat="1">
      <c r="B3" s="11">
        <v>42918</v>
      </c>
      <c r="C3" s="11">
        <v>42949</v>
      </c>
      <c r="D3" s="11">
        <v>42980</v>
      </c>
      <c r="E3" s="11">
        <v>43010</v>
      </c>
      <c r="F3" s="11">
        <v>43041</v>
      </c>
      <c r="G3" s="11">
        <v>43071</v>
      </c>
      <c r="H3" s="11">
        <v>43102</v>
      </c>
      <c r="I3" s="11">
        <v>43133</v>
      </c>
      <c r="J3" s="11">
        <v>43161</v>
      </c>
      <c r="K3" s="11">
        <v>43192</v>
      </c>
      <c r="L3" s="11">
        <v>43222</v>
      </c>
      <c r="M3" s="11">
        <v>43253</v>
      </c>
      <c r="N3" s="57" t="s">
        <v>100</v>
      </c>
    </row>
    <row r="4" spans="1:15">
      <c r="A4" s="1" t="s">
        <v>27</v>
      </c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>
        <f>SUM(B4:M4)</f>
        <v>0</v>
      </c>
      <c r="O4" s="29"/>
    </row>
    <row r="5" spans="1:15" s="6" customFormat="1">
      <c r="A5" s="6" t="s">
        <v>28</v>
      </c>
      <c r="B5" s="53">
        <v>1102036</v>
      </c>
      <c r="C5" s="53">
        <v>2503975</v>
      </c>
      <c r="D5" s="53">
        <v>5591236</v>
      </c>
      <c r="E5" s="53">
        <v>3997731</v>
      </c>
      <c r="F5" s="64">
        <v>2408043</v>
      </c>
      <c r="G5" s="53">
        <v>2704250</v>
      </c>
      <c r="H5" s="53">
        <v>3785411</v>
      </c>
      <c r="I5" s="53">
        <v>3755825</v>
      </c>
      <c r="J5" s="53">
        <v>3335785</v>
      </c>
      <c r="K5" s="53">
        <v>2998356</v>
      </c>
      <c r="L5" s="53">
        <v>2831511</v>
      </c>
      <c r="M5" s="53">
        <v>1460406</v>
      </c>
      <c r="N5" s="12">
        <f>SUM(B5:M5)</f>
        <v>36474565</v>
      </c>
      <c r="O5" s="29"/>
    </row>
    <row r="6" spans="1:15" s="6" customFormat="1">
      <c r="A6" s="6" t="s">
        <v>29</v>
      </c>
      <c r="B6" s="53">
        <v>70448</v>
      </c>
      <c r="C6" s="53">
        <v>71234</v>
      </c>
      <c r="D6" s="53">
        <v>278603</v>
      </c>
      <c r="E6" s="53">
        <v>67286</v>
      </c>
      <c r="F6" s="64">
        <v>128754</v>
      </c>
      <c r="G6" s="53">
        <v>153728</v>
      </c>
      <c r="H6" s="53">
        <v>54728</v>
      </c>
      <c r="I6" s="53">
        <v>85911</v>
      </c>
      <c r="J6" s="53">
        <v>228813</v>
      </c>
      <c r="K6" s="53">
        <v>89970</v>
      </c>
      <c r="L6" s="53">
        <v>316808</v>
      </c>
      <c r="M6" s="53">
        <v>118439</v>
      </c>
      <c r="N6" s="7">
        <f>SUM(B6:M6)</f>
        <v>1664722</v>
      </c>
      <c r="O6" s="29"/>
    </row>
    <row r="7" spans="1:15" s="6" customFormat="1">
      <c r="B7" s="7"/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7">
        <f>SUM(B7:M7)</f>
        <v>0</v>
      </c>
      <c r="O7" s="29"/>
    </row>
    <row r="8" spans="1:15" s="6" customFormat="1">
      <c r="B8" s="15"/>
      <c r="C8" s="15"/>
      <c r="D8" s="15"/>
      <c r="E8" s="15"/>
      <c r="F8" s="15"/>
      <c r="G8" s="15"/>
      <c r="H8" s="15"/>
      <c r="I8" s="15"/>
      <c r="J8" s="15"/>
      <c r="K8" s="15"/>
      <c r="L8" s="15"/>
      <c r="M8" s="15"/>
      <c r="N8" s="15">
        <f>SUM(B8:M8)</f>
        <v>0</v>
      </c>
      <c r="O8" s="29"/>
    </row>
    <row r="9" spans="1:15" s="6" customFormat="1">
      <c r="A9" s="13" t="s">
        <v>30</v>
      </c>
      <c r="B9" s="12">
        <f t="shared" ref="B9:N9" si="0">SUM(B5:B8)</f>
        <v>1172484</v>
      </c>
      <c r="C9" s="12">
        <f t="shared" si="0"/>
        <v>2575209</v>
      </c>
      <c r="D9" s="12">
        <f t="shared" si="0"/>
        <v>5869839</v>
      </c>
      <c r="E9" s="12">
        <f t="shared" si="0"/>
        <v>4065017</v>
      </c>
      <c r="F9" s="12">
        <f t="shared" si="0"/>
        <v>2536797</v>
      </c>
      <c r="G9" s="12">
        <f t="shared" si="0"/>
        <v>2857978</v>
      </c>
      <c r="H9" s="12">
        <f t="shared" si="0"/>
        <v>3840139</v>
      </c>
      <c r="I9" s="12">
        <f t="shared" si="0"/>
        <v>3841736</v>
      </c>
      <c r="J9" s="12">
        <f t="shared" si="0"/>
        <v>3564598</v>
      </c>
      <c r="K9" s="12">
        <f t="shared" si="0"/>
        <v>3088326</v>
      </c>
      <c r="L9" s="12">
        <f t="shared" si="0"/>
        <v>3148319</v>
      </c>
      <c r="M9" s="12">
        <f t="shared" si="0"/>
        <v>1578845</v>
      </c>
      <c r="N9" s="12">
        <f t="shared" si="0"/>
        <v>38139287</v>
      </c>
      <c r="O9" s="29"/>
    </row>
    <row r="10" spans="1:15" s="6" customFormat="1" ht="6.75" customHeight="1"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29"/>
    </row>
    <row r="11" spans="1:15" s="6" customFormat="1">
      <c r="A11" s="13" t="s">
        <v>31</v>
      </c>
      <c r="B11" s="7">
        <f>99729+B56</f>
        <v>87140</v>
      </c>
      <c r="C11" s="7">
        <f>10280+C56</f>
        <v>-1332</v>
      </c>
      <c r="D11" s="7">
        <f>13117+D56</f>
        <v>926</v>
      </c>
      <c r="E11" s="7">
        <f>31849+E56</f>
        <v>21931</v>
      </c>
      <c r="F11" s="42">
        <f>9121+F56</f>
        <v>964</v>
      </c>
      <c r="G11" s="7">
        <v>0</v>
      </c>
      <c r="H11" s="7">
        <v>0</v>
      </c>
      <c r="I11" s="7">
        <v>0</v>
      </c>
      <c r="J11" s="7">
        <v>0</v>
      </c>
      <c r="K11" s="7">
        <v>0</v>
      </c>
      <c r="L11" s="7">
        <v>0</v>
      </c>
      <c r="M11" s="7">
        <v>0</v>
      </c>
      <c r="N11" s="7">
        <f>SUM(B11:M11)</f>
        <v>109629</v>
      </c>
      <c r="O11" s="29"/>
    </row>
    <row r="12" spans="1:15" s="6" customFormat="1" ht="7.5" customHeight="1">
      <c r="B12" s="7"/>
      <c r="C12" s="7"/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  <c r="O12" s="29"/>
    </row>
    <row r="13" spans="1:15" s="6" customFormat="1" ht="13.5" thickBot="1">
      <c r="A13" s="13" t="s">
        <v>32</v>
      </c>
      <c r="B13" s="14">
        <f t="shared" ref="B13:N13" si="1">B9+B11</f>
        <v>1259624</v>
      </c>
      <c r="C13" s="14">
        <f>C9+C11</f>
        <v>2573877</v>
      </c>
      <c r="D13" s="14">
        <f t="shared" si="1"/>
        <v>5870765</v>
      </c>
      <c r="E13" s="14">
        <f t="shared" si="1"/>
        <v>4086948</v>
      </c>
      <c r="F13" s="14">
        <f t="shared" si="1"/>
        <v>2537761</v>
      </c>
      <c r="G13" s="14">
        <f t="shared" si="1"/>
        <v>2857978</v>
      </c>
      <c r="H13" s="14">
        <f t="shared" si="1"/>
        <v>3840139</v>
      </c>
      <c r="I13" s="14">
        <f t="shared" si="1"/>
        <v>3841736</v>
      </c>
      <c r="J13" s="14">
        <f t="shared" si="1"/>
        <v>3564598</v>
      </c>
      <c r="K13" s="14">
        <f t="shared" si="1"/>
        <v>3088326</v>
      </c>
      <c r="L13" s="14">
        <f t="shared" si="1"/>
        <v>3148319</v>
      </c>
      <c r="M13" s="14">
        <f t="shared" si="1"/>
        <v>1578845</v>
      </c>
      <c r="N13" s="14">
        <f t="shared" si="1"/>
        <v>38248916</v>
      </c>
      <c r="O13" s="29"/>
    </row>
    <row r="14" spans="1:15" s="6" customFormat="1" ht="13.5" thickTop="1">
      <c r="B14" s="7"/>
      <c r="C14" s="7"/>
      <c r="D14" s="7"/>
      <c r="E14" s="7"/>
      <c r="F14" s="7"/>
      <c r="G14" s="7"/>
      <c r="H14" s="7"/>
      <c r="I14" s="7"/>
      <c r="J14" s="7"/>
      <c r="K14" s="7"/>
      <c r="L14" s="7"/>
      <c r="M14" s="7"/>
    </row>
    <row r="15" spans="1:15" s="6" customFormat="1">
      <c r="A15" s="13" t="s">
        <v>33</v>
      </c>
      <c r="B15" s="7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</row>
    <row r="16" spans="1:15" s="6" customFormat="1">
      <c r="A16" s="6" t="s">
        <v>34</v>
      </c>
      <c r="B16" s="53">
        <v>444475</v>
      </c>
      <c r="C16" s="53">
        <v>1463048</v>
      </c>
      <c r="D16" s="53">
        <v>3023160</v>
      </c>
      <c r="E16" s="53">
        <v>1465276</v>
      </c>
      <c r="F16" s="64">
        <v>847496</v>
      </c>
      <c r="G16" s="53">
        <v>1054272</v>
      </c>
      <c r="H16" s="53">
        <v>2341142</v>
      </c>
      <c r="I16" s="53">
        <v>1611344</v>
      </c>
      <c r="J16" s="53">
        <v>1215922</v>
      </c>
      <c r="K16" s="53">
        <v>1090469</v>
      </c>
      <c r="L16" s="53">
        <v>1126126</v>
      </c>
      <c r="M16" s="53">
        <v>849456</v>
      </c>
      <c r="N16" s="7">
        <f>SUM(B16:M16)</f>
        <v>16532186</v>
      </c>
      <c r="O16" s="29"/>
    </row>
    <row r="17" spans="1:44" s="6" customFormat="1">
      <c r="B17" s="27"/>
      <c r="C17" s="27"/>
      <c r="D17" s="27"/>
      <c r="E17" s="27"/>
      <c r="F17" s="27"/>
      <c r="G17" s="27"/>
      <c r="H17" s="27"/>
      <c r="I17" s="27"/>
      <c r="J17" s="27"/>
      <c r="K17" s="27"/>
      <c r="L17" s="27"/>
      <c r="M17" s="27"/>
      <c r="N17" s="7">
        <f>SUM(B17:M17)</f>
        <v>0</v>
      </c>
    </row>
    <row r="18" spans="1:44" s="6" customFormat="1">
      <c r="B18" s="7"/>
      <c r="C18" s="7"/>
      <c r="D18" s="7"/>
      <c r="E18" s="7"/>
      <c r="F18" s="7"/>
      <c r="G18" s="7"/>
      <c r="H18" s="7"/>
      <c r="I18" s="7"/>
      <c r="J18" s="7"/>
      <c r="K18" s="7"/>
      <c r="L18" s="7"/>
      <c r="M18" s="7"/>
      <c r="N18" s="7">
        <v>0</v>
      </c>
    </row>
    <row r="19" spans="1:44" s="6" customFormat="1">
      <c r="B19" s="15"/>
      <c r="C19" s="15"/>
      <c r="D19" s="15"/>
      <c r="E19" s="15"/>
      <c r="F19" s="15"/>
      <c r="G19" s="15"/>
      <c r="H19" s="15"/>
      <c r="I19" s="15"/>
      <c r="J19" s="15"/>
      <c r="K19" s="15"/>
      <c r="L19" s="15"/>
      <c r="M19" s="15"/>
      <c r="N19" s="15">
        <f>SUM(B19:M19)</f>
        <v>0</v>
      </c>
    </row>
    <row r="20" spans="1:44" s="6" customFormat="1">
      <c r="A20" s="13" t="s">
        <v>35</v>
      </c>
      <c r="B20" s="12">
        <f t="shared" ref="B20:N20" si="2">SUM(B16:B19)</f>
        <v>444475</v>
      </c>
      <c r="C20" s="12">
        <f t="shared" si="2"/>
        <v>1463048</v>
      </c>
      <c r="D20" s="12">
        <f t="shared" si="2"/>
        <v>3023160</v>
      </c>
      <c r="E20" s="12">
        <f t="shared" si="2"/>
        <v>1465276</v>
      </c>
      <c r="F20" s="12">
        <f t="shared" si="2"/>
        <v>847496</v>
      </c>
      <c r="G20" s="12">
        <f t="shared" si="2"/>
        <v>1054272</v>
      </c>
      <c r="H20" s="12">
        <f t="shared" si="2"/>
        <v>2341142</v>
      </c>
      <c r="I20" s="12">
        <f t="shared" si="2"/>
        <v>1611344</v>
      </c>
      <c r="J20" s="12">
        <f t="shared" si="2"/>
        <v>1215922</v>
      </c>
      <c r="K20" s="12">
        <f t="shared" si="2"/>
        <v>1090469</v>
      </c>
      <c r="L20" s="12">
        <f t="shared" si="2"/>
        <v>1126126</v>
      </c>
      <c r="M20" s="12">
        <f t="shared" si="2"/>
        <v>849456</v>
      </c>
      <c r="N20" s="12">
        <f t="shared" si="2"/>
        <v>16532186</v>
      </c>
      <c r="O20" s="29"/>
    </row>
    <row r="21" spans="1:44" s="6" customFormat="1">
      <c r="B21" s="7"/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</row>
    <row r="22" spans="1:44" s="6" customFormat="1">
      <c r="A22" s="13" t="s">
        <v>36</v>
      </c>
      <c r="B22" s="7"/>
      <c r="C22" s="7"/>
      <c r="D22" s="7"/>
      <c r="E22" s="7"/>
      <c r="F22" s="7"/>
      <c r="G22" s="7"/>
      <c r="H22" s="7"/>
      <c r="I22" s="7"/>
      <c r="J22" s="7"/>
      <c r="K22" s="7"/>
      <c r="L22" s="7"/>
      <c r="M22" s="7"/>
    </row>
    <row r="23" spans="1:44" s="6" customFormat="1">
      <c r="A23" s="6" t="s">
        <v>37</v>
      </c>
      <c r="B23" s="7">
        <f t="shared" ref="B23:M26" si="3">+B5-B16</f>
        <v>657561</v>
      </c>
      <c r="C23" s="7">
        <f t="shared" si="3"/>
        <v>1040927</v>
      </c>
      <c r="D23" s="7">
        <f t="shared" si="3"/>
        <v>2568076</v>
      </c>
      <c r="E23" s="7">
        <f t="shared" si="3"/>
        <v>2532455</v>
      </c>
      <c r="F23" s="42">
        <f t="shared" si="3"/>
        <v>1560547</v>
      </c>
      <c r="G23" s="7">
        <f t="shared" si="3"/>
        <v>1649978</v>
      </c>
      <c r="H23" s="7">
        <f t="shared" si="3"/>
        <v>1444269</v>
      </c>
      <c r="I23" s="7">
        <f t="shared" si="3"/>
        <v>2144481</v>
      </c>
      <c r="J23" s="7">
        <f t="shared" si="3"/>
        <v>2119863</v>
      </c>
      <c r="K23" s="7">
        <f t="shared" si="3"/>
        <v>1907887</v>
      </c>
      <c r="L23" s="7">
        <f t="shared" si="3"/>
        <v>1705385</v>
      </c>
      <c r="M23" s="7">
        <f t="shared" si="3"/>
        <v>610950</v>
      </c>
      <c r="N23" s="7">
        <f>SUM(B23:M23)</f>
        <v>19942379</v>
      </c>
      <c r="O23" s="29"/>
    </row>
    <row r="24" spans="1:44" s="6" customFormat="1">
      <c r="A24" s="6" t="s">
        <v>37</v>
      </c>
      <c r="B24" s="7">
        <f t="shared" si="3"/>
        <v>70448</v>
      </c>
      <c r="C24" s="7">
        <f t="shared" si="3"/>
        <v>71234</v>
      </c>
      <c r="D24" s="7">
        <f t="shared" si="3"/>
        <v>278603</v>
      </c>
      <c r="E24" s="7">
        <f t="shared" si="3"/>
        <v>67286</v>
      </c>
      <c r="F24" s="42">
        <f t="shared" si="3"/>
        <v>128754</v>
      </c>
      <c r="G24" s="7">
        <f t="shared" si="3"/>
        <v>153728</v>
      </c>
      <c r="H24" s="7">
        <f t="shared" si="3"/>
        <v>54728</v>
      </c>
      <c r="I24" s="7">
        <f t="shared" si="3"/>
        <v>85911</v>
      </c>
      <c r="J24" s="7">
        <f t="shared" si="3"/>
        <v>228813</v>
      </c>
      <c r="K24" s="7">
        <f t="shared" si="3"/>
        <v>89970</v>
      </c>
      <c r="L24" s="7">
        <f t="shared" si="3"/>
        <v>316808</v>
      </c>
      <c r="M24" s="7">
        <f t="shared" si="3"/>
        <v>118439</v>
      </c>
      <c r="N24" s="7">
        <f>SUM(B24:M24)</f>
        <v>1664722</v>
      </c>
      <c r="O24" s="29"/>
    </row>
    <row r="25" spans="1:44" s="6" customFormat="1">
      <c r="A25" s="6" t="s">
        <v>38</v>
      </c>
      <c r="B25" s="7">
        <f t="shared" si="3"/>
        <v>0</v>
      </c>
      <c r="C25" s="7">
        <f t="shared" si="3"/>
        <v>0</v>
      </c>
      <c r="D25" s="7">
        <f t="shared" si="3"/>
        <v>0</v>
      </c>
      <c r="E25" s="7">
        <f t="shared" si="3"/>
        <v>0</v>
      </c>
      <c r="F25" s="42">
        <f t="shared" si="3"/>
        <v>0</v>
      </c>
      <c r="G25" s="7">
        <f t="shared" si="3"/>
        <v>0</v>
      </c>
      <c r="H25" s="7">
        <f t="shared" si="3"/>
        <v>0</v>
      </c>
      <c r="I25" s="7">
        <f t="shared" si="3"/>
        <v>0</v>
      </c>
      <c r="J25" s="7">
        <f t="shared" si="3"/>
        <v>0</v>
      </c>
      <c r="K25" s="7">
        <f t="shared" si="3"/>
        <v>0</v>
      </c>
      <c r="L25" s="7">
        <f t="shared" si="3"/>
        <v>0</v>
      </c>
      <c r="M25" s="7">
        <f t="shared" si="3"/>
        <v>0</v>
      </c>
      <c r="N25" s="7">
        <f>SUM(B25:M25)</f>
        <v>0</v>
      </c>
      <c r="O25" s="29"/>
    </row>
    <row r="26" spans="1:44" s="6" customFormat="1">
      <c r="A26" s="6" t="s">
        <v>38</v>
      </c>
      <c r="B26" s="15">
        <f t="shared" si="3"/>
        <v>0</v>
      </c>
      <c r="C26" s="15">
        <f t="shared" si="3"/>
        <v>0</v>
      </c>
      <c r="D26" s="15">
        <f t="shared" si="3"/>
        <v>0</v>
      </c>
      <c r="E26" s="15">
        <f t="shared" si="3"/>
        <v>0</v>
      </c>
      <c r="F26" s="43">
        <f t="shared" si="3"/>
        <v>0</v>
      </c>
      <c r="G26" s="15">
        <f t="shared" si="3"/>
        <v>0</v>
      </c>
      <c r="H26" s="15">
        <f t="shared" si="3"/>
        <v>0</v>
      </c>
      <c r="I26" s="15">
        <f t="shared" si="3"/>
        <v>0</v>
      </c>
      <c r="J26" s="15">
        <f t="shared" si="3"/>
        <v>0</v>
      </c>
      <c r="K26" s="15">
        <f t="shared" si="3"/>
        <v>0</v>
      </c>
      <c r="L26" s="15">
        <f t="shared" si="3"/>
        <v>0</v>
      </c>
      <c r="M26" s="15">
        <f t="shared" si="3"/>
        <v>0</v>
      </c>
      <c r="N26" s="15">
        <f>SUM(B26:M26)</f>
        <v>0</v>
      </c>
      <c r="O26" s="29"/>
    </row>
    <row r="27" spans="1:44" s="6" customFormat="1">
      <c r="A27" s="13" t="s">
        <v>39</v>
      </c>
      <c r="B27" s="12">
        <f t="shared" ref="B27:N27" si="4">SUM(B23:B26)</f>
        <v>728009</v>
      </c>
      <c r="C27" s="12">
        <f t="shared" si="4"/>
        <v>1112161</v>
      </c>
      <c r="D27" s="12">
        <f t="shared" si="4"/>
        <v>2846679</v>
      </c>
      <c r="E27" s="12">
        <f t="shared" si="4"/>
        <v>2599741</v>
      </c>
      <c r="F27" s="44">
        <f t="shared" si="4"/>
        <v>1689301</v>
      </c>
      <c r="G27" s="12">
        <f t="shared" si="4"/>
        <v>1803706</v>
      </c>
      <c r="H27" s="12">
        <f t="shared" si="4"/>
        <v>1498997</v>
      </c>
      <c r="I27" s="12">
        <f t="shared" si="4"/>
        <v>2230392</v>
      </c>
      <c r="J27" s="12">
        <f t="shared" si="4"/>
        <v>2348676</v>
      </c>
      <c r="K27" s="12">
        <f t="shared" si="4"/>
        <v>1997857</v>
      </c>
      <c r="L27" s="12">
        <f t="shared" si="4"/>
        <v>2022193</v>
      </c>
      <c r="M27" s="12">
        <f>SUM(M23:M26)</f>
        <v>729389</v>
      </c>
      <c r="N27" s="12">
        <f t="shared" si="4"/>
        <v>21607101</v>
      </c>
      <c r="O27" s="29"/>
    </row>
    <row r="28" spans="1:44" s="6" customFormat="1" ht="14.45" customHeight="1">
      <c r="B28" s="73">
        <f>+B27/B9</f>
        <v>0.620911671289331</v>
      </c>
      <c r="C28" s="73">
        <f t="shared" ref="C28:N28" si="5">+C27/C9</f>
        <v>0.43187213154349802</v>
      </c>
      <c r="D28" s="73">
        <f t="shared" si="5"/>
        <v>0.48496713453299145</v>
      </c>
      <c r="E28" s="73">
        <f t="shared" si="5"/>
        <v>0.63954000684375978</v>
      </c>
      <c r="F28" s="73">
        <f t="shared" si="5"/>
        <v>0.66591887328785082</v>
      </c>
      <c r="G28" s="73">
        <f t="shared" si="5"/>
        <v>0.63111262577948468</v>
      </c>
      <c r="H28" s="73">
        <f t="shared" si="5"/>
        <v>0.39034967223842676</v>
      </c>
      <c r="I28" s="73">
        <f t="shared" si="5"/>
        <v>0.58056878452866101</v>
      </c>
      <c r="J28" s="73">
        <f t="shared" si="5"/>
        <v>0.65888944559807305</v>
      </c>
      <c r="K28" s="73">
        <f t="shared" si="5"/>
        <v>0.64690612325253227</v>
      </c>
      <c r="L28" s="73">
        <f t="shared" si="5"/>
        <v>0.64230880034710591</v>
      </c>
      <c r="M28" s="73">
        <f t="shared" si="5"/>
        <v>0.4619763181312922</v>
      </c>
      <c r="N28" s="73">
        <f t="shared" si="5"/>
        <v>0.56653133027893254</v>
      </c>
    </row>
    <row r="29" spans="1:44" s="6" customFormat="1">
      <c r="A29" s="13" t="s">
        <v>40</v>
      </c>
      <c r="B29" s="7"/>
      <c r="C29" s="7"/>
      <c r="D29" s="7"/>
      <c r="E29" s="7"/>
      <c r="F29" s="7"/>
      <c r="G29" s="7"/>
      <c r="H29" s="7"/>
      <c r="I29" s="7"/>
      <c r="J29" s="7"/>
      <c r="K29" s="7"/>
      <c r="L29" s="7"/>
      <c r="M29" s="7"/>
    </row>
    <row r="30" spans="1:44" s="6" customFormat="1">
      <c r="A30" s="6" t="s">
        <v>93</v>
      </c>
      <c r="B30" s="53">
        <v>415779</v>
      </c>
      <c r="C30" s="53">
        <v>561495</v>
      </c>
      <c r="D30" s="53">
        <v>742338</v>
      </c>
      <c r="E30" s="53">
        <v>829683</v>
      </c>
      <c r="F30" s="49">
        <v>607435</v>
      </c>
      <c r="G30" s="53">
        <v>598355</v>
      </c>
      <c r="H30" s="53">
        <v>602418</v>
      </c>
      <c r="I30" s="53">
        <v>684805</v>
      </c>
      <c r="J30" s="53">
        <v>688935</v>
      </c>
      <c r="K30" s="53">
        <v>755862</v>
      </c>
      <c r="L30" s="53">
        <v>642868</v>
      </c>
      <c r="M30" s="53">
        <v>459430</v>
      </c>
      <c r="N30" s="7">
        <f>SUM(B30:M30)</f>
        <v>7589403</v>
      </c>
      <c r="O30" s="29"/>
    </row>
    <row r="31" spans="1:44" s="6" customFormat="1">
      <c r="A31" s="6" t="s">
        <v>42</v>
      </c>
      <c r="B31" s="53">
        <v>245383</v>
      </c>
      <c r="C31" s="53">
        <v>212042</v>
      </c>
      <c r="D31" s="53">
        <v>203129</v>
      </c>
      <c r="E31" s="53">
        <v>235434</v>
      </c>
      <c r="F31" s="49">
        <v>203129</v>
      </c>
      <c r="G31" s="53">
        <v>192611</v>
      </c>
      <c r="H31" s="53">
        <v>210145</v>
      </c>
      <c r="I31" s="53">
        <v>198285</v>
      </c>
      <c r="J31" s="53">
        <v>198545</v>
      </c>
      <c r="K31" s="53">
        <v>226530</v>
      </c>
      <c r="L31" s="53">
        <v>194439</v>
      </c>
      <c r="M31" s="53">
        <v>198004</v>
      </c>
      <c r="N31" s="7">
        <f>SUM(B31:M31)</f>
        <v>2517676</v>
      </c>
      <c r="O31" s="29"/>
    </row>
    <row r="32" spans="1:44" s="6" customFormat="1" ht="15">
      <c r="A32" s="6" t="s">
        <v>38</v>
      </c>
      <c r="B32" s="68"/>
      <c r="C32" s="68"/>
      <c r="D32" s="68"/>
      <c r="E32" s="68"/>
      <c r="F32" s="74"/>
      <c r="G32" s="68"/>
      <c r="H32" s="68"/>
      <c r="I32" s="68"/>
      <c r="J32" s="68"/>
      <c r="K32" s="68"/>
      <c r="L32" s="68"/>
      <c r="M32" s="68"/>
      <c r="N32" s="7">
        <f>SUM(B32:M32)</f>
        <v>0</v>
      </c>
      <c r="O32" s="29"/>
      <c r="P32" s="6">
        <f>+B32*-1</f>
        <v>0</v>
      </c>
      <c r="Q32" s="6">
        <f t="shared" ref="Q32:AF33" si="6">+C32*-1</f>
        <v>0</v>
      </c>
      <c r="R32" s="6">
        <f t="shared" si="6"/>
        <v>0</v>
      </c>
      <c r="S32" s="6">
        <f t="shared" si="6"/>
        <v>0</v>
      </c>
      <c r="T32" s="6">
        <f t="shared" si="6"/>
        <v>0</v>
      </c>
      <c r="U32" s="6">
        <f t="shared" si="6"/>
        <v>0</v>
      </c>
      <c r="V32" s="6">
        <f t="shared" si="6"/>
        <v>0</v>
      </c>
      <c r="W32" s="6">
        <f t="shared" si="6"/>
        <v>0</v>
      </c>
      <c r="X32" s="6">
        <f t="shared" si="6"/>
        <v>0</v>
      </c>
      <c r="Y32" s="6">
        <f t="shared" si="6"/>
        <v>0</v>
      </c>
      <c r="Z32" s="6">
        <f t="shared" si="6"/>
        <v>0</v>
      </c>
      <c r="AA32" s="6">
        <f t="shared" si="6"/>
        <v>0</v>
      </c>
      <c r="AB32" s="6">
        <f t="shared" si="6"/>
        <v>0</v>
      </c>
      <c r="AC32" s="6">
        <f t="shared" si="6"/>
        <v>0</v>
      </c>
      <c r="AD32" s="6">
        <f t="shared" si="6"/>
        <v>0</v>
      </c>
      <c r="AE32" s="6">
        <f t="shared" si="6"/>
        <v>0</v>
      </c>
      <c r="AF32" s="6">
        <f t="shared" si="6"/>
        <v>0</v>
      </c>
      <c r="AG32" s="6">
        <f t="shared" ref="AG32:AR33" si="7">+S32*-1</f>
        <v>0</v>
      </c>
      <c r="AH32" s="6">
        <f t="shared" si="7"/>
        <v>0</v>
      </c>
      <c r="AI32" s="6">
        <f t="shared" si="7"/>
        <v>0</v>
      </c>
      <c r="AJ32" s="6">
        <f t="shared" si="7"/>
        <v>0</v>
      </c>
      <c r="AK32" s="6">
        <f t="shared" si="7"/>
        <v>0</v>
      </c>
      <c r="AL32" s="6">
        <f t="shared" si="7"/>
        <v>0</v>
      </c>
      <c r="AM32" s="6">
        <f t="shared" si="7"/>
        <v>0</v>
      </c>
      <c r="AN32" s="6">
        <f t="shared" si="7"/>
        <v>0</v>
      </c>
      <c r="AO32" s="6">
        <f t="shared" si="7"/>
        <v>0</v>
      </c>
      <c r="AP32" s="6">
        <f t="shared" si="7"/>
        <v>0</v>
      </c>
      <c r="AQ32" s="6">
        <f t="shared" si="7"/>
        <v>0</v>
      </c>
      <c r="AR32" s="6">
        <f t="shared" si="7"/>
        <v>0</v>
      </c>
    </row>
    <row r="33" spans="1:44" s="6" customFormat="1">
      <c r="B33" s="15"/>
      <c r="C33" s="15"/>
      <c r="D33" s="15"/>
      <c r="E33" s="15"/>
      <c r="F33" s="43"/>
      <c r="G33" s="15"/>
      <c r="H33" s="15"/>
      <c r="I33" s="15"/>
      <c r="J33" s="15"/>
      <c r="K33" s="15"/>
      <c r="L33" s="15"/>
      <c r="M33" s="15"/>
      <c r="N33" s="15">
        <f>SUM(B33:M33)</f>
        <v>0</v>
      </c>
      <c r="O33" s="29"/>
      <c r="Q33" s="6">
        <f t="shared" si="6"/>
        <v>0</v>
      </c>
      <c r="R33" s="6">
        <f t="shared" si="6"/>
        <v>0</v>
      </c>
      <c r="S33" s="6">
        <f t="shared" si="6"/>
        <v>0</v>
      </c>
      <c r="T33" s="6">
        <f t="shared" si="6"/>
        <v>0</v>
      </c>
      <c r="U33" s="6">
        <f t="shared" si="6"/>
        <v>0</v>
      </c>
      <c r="V33" s="6">
        <f t="shared" si="6"/>
        <v>0</v>
      </c>
      <c r="W33" s="6">
        <f t="shared" si="6"/>
        <v>0</v>
      </c>
      <c r="X33" s="6">
        <f t="shared" si="6"/>
        <v>0</v>
      </c>
      <c r="Y33" s="6">
        <f t="shared" si="6"/>
        <v>0</v>
      </c>
      <c r="Z33" s="6">
        <f t="shared" si="6"/>
        <v>0</v>
      </c>
      <c r="AA33" s="6">
        <f t="shared" si="6"/>
        <v>0</v>
      </c>
      <c r="AB33" s="6">
        <f t="shared" si="6"/>
        <v>0</v>
      </c>
      <c r="AC33" s="6">
        <f t="shared" si="6"/>
        <v>0</v>
      </c>
      <c r="AD33" s="6">
        <f t="shared" si="6"/>
        <v>0</v>
      </c>
      <c r="AE33" s="6">
        <f t="shared" si="6"/>
        <v>0</v>
      </c>
      <c r="AF33" s="6">
        <f t="shared" si="6"/>
        <v>0</v>
      </c>
      <c r="AG33" s="6">
        <f t="shared" si="7"/>
        <v>0</v>
      </c>
      <c r="AH33" s="6">
        <f t="shared" si="7"/>
        <v>0</v>
      </c>
      <c r="AI33" s="6">
        <f t="shared" si="7"/>
        <v>0</v>
      </c>
      <c r="AJ33" s="6">
        <f t="shared" si="7"/>
        <v>0</v>
      </c>
      <c r="AK33" s="6">
        <f t="shared" si="7"/>
        <v>0</v>
      </c>
      <c r="AL33" s="6">
        <f t="shared" si="7"/>
        <v>0</v>
      </c>
      <c r="AM33" s="6">
        <f t="shared" si="7"/>
        <v>0</v>
      </c>
      <c r="AN33" s="6">
        <f t="shared" si="7"/>
        <v>0</v>
      </c>
      <c r="AO33" s="6">
        <f t="shared" si="7"/>
        <v>0</v>
      </c>
      <c r="AP33" s="6">
        <f t="shared" si="7"/>
        <v>0</v>
      </c>
      <c r="AQ33" s="6">
        <f t="shared" si="7"/>
        <v>0</v>
      </c>
      <c r="AR33" s="6">
        <f t="shared" si="7"/>
        <v>0</v>
      </c>
    </row>
    <row r="34" spans="1:44" s="6" customFormat="1">
      <c r="A34" s="13" t="s">
        <v>43</v>
      </c>
      <c r="B34" s="12">
        <f t="shared" ref="B34:N34" si="8">SUM(B30:B33)</f>
        <v>661162</v>
      </c>
      <c r="C34" s="12">
        <f t="shared" si="8"/>
        <v>773537</v>
      </c>
      <c r="D34" s="12">
        <f t="shared" si="8"/>
        <v>945467</v>
      </c>
      <c r="E34" s="12">
        <f t="shared" si="8"/>
        <v>1065117</v>
      </c>
      <c r="F34" s="44">
        <f t="shared" si="8"/>
        <v>810564</v>
      </c>
      <c r="G34" s="12">
        <f t="shared" si="8"/>
        <v>790966</v>
      </c>
      <c r="H34" s="12">
        <f t="shared" si="8"/>
        <v>812563</v>
      </c>
      <c r="I34" s="12">
        <f t="shared" si="8"/>
        <v>883090</v>
      </c>
      <c r="J34" s="12">
        <f t="shared" si="8"/>
        <v>887480</v>
      </c>
      <c r="K34" s="12">
        <f t="shared" si="8"/>
        <v>982392</v>
      </c>
      <c r="L34" s="12">
        <f t="shared" si="8"/>
        <v>837307</v>
      </c>
      <c r="M34" s="12">
        <f t="shared" si="8"/>
        <v>657434</v>
      </c>
      <c r="N34" s="12">
        <f t="shared" si="8"/>
        <v>10107079</v>
      </c>
      <c r="O34" s="29"/>
    </row>
    <row r="35" spans="1:44" s="6" customFormat="1">
      <c r="B35" s="7"/>
      <c r="C35" s="7"/>
      <c r="D35" s="7"/>
      <c r="E35" s="7"/>
      <c r="F35" s="7"/>
      <c r="G35" s="7"/>
      <c r="H35" s="7"/>
      <c r="I35" s="7"/>
      <c r="J35" s="7"/>
      <c r="K35" s="7"/>
      <c r="L35" s="7"/>
      <c r="M35" s="7"/>
    </row>
    <row r="36" spans="1:44" s="6" customFormat="1">
      <c r="A36" s="13" t="s">
        <v>44</v>
      </c>
      <c r="B36" s="7"/>
      <c r="C36" s="7"/>
      <c r="D36" s="7"/>
      <c r="E36" s="7"/>
      <c r="F36" s="7"/>
      <c r="G36" s="7"/>
      <c r="H36" s="7"/>
      <c r="I36" s="7"/>
      <c r="J36" s="7"/>
      <c r="K36" s="7"/>
      <c r="L36" s="7"/>
      <c r="M36" s="7"/>
    </row>
    <row r="37" spans="1:44" s="6" customFormat="1">
      <c r="A37" s="6" t="s">
        <v>45</v>
      </c>
      <c r="B37" s="53">
        <v>1168701</v>
      </c>
      <c r="C37" s="53">
        <v>1244422</v>
      </c>
      <c r="D37" s="53">
        <v>1461507</v>
      </c>
      <c r="E37" s="53">
        <v>1790911</v>
      </c>
      <c r="F37" s="49">
        <v>1370885</v>
      </c>
      <c r="G37" s="66">
        <v>1406377</v>
      </c>
      <c r="H37" s="66">
        <v>1275000</v>
      </c>
      <c r="I37" s="66">
        <v>1496169</v>
      </c>
      <c r="J37" s="66">
        <v>1531501</v>
      </c>
      <c r="K37" s="53">
        <v>1582030</v>
      </c>
      <c r="L37" s="53">
        <v>1425841</v>
      </c>
      <c r="M37" s="53">
        <v>1274220</v>
      </c>
      <c r="N37" s="7">
        <f>SUM(B37:M37)</f>
        <v>17027564</v>
      </c>
      <c r="O37" s="29"/>
      <c r="P37" s="69"/>
    </row>
    <row r="38" spans="1:44" s="6" customFormat="1">
      <c r="A38" s="6" t="s">
        <v>46</v>
      </c>
      <c r="B38" s="7">
        <f>-B34</f>
        <v>-661162</v>
      </c>
      <c r="C38" s="7">
        <f t="shared" ref="C38:M38" si="9">-C34</f>
        <v>-773537</v>
      </c>
      <c r="D38" s="7">
        <f t="shared" si="9"/>
        <v>-945467</v>
      </c>
      <c r="E38" s="7">
        <f t="shared" si="9"/>
        <v>-1065117</v>
      </c>
      <c r="F38" s="42">
        <f t="shared" si="9"/>
        <v>-810564</v>
      </c>
      <c r="G38" s="7">
        <f t="shared" si="9"/>
        <v>-790966</v>
      </c>
      <c r="H38" s="7">
        <f t="shared" si="9"/>
        <v>-812563</v>
      </c>
      <c r="I38" s="7">
        <f t="shared" si="9"/>
        <v>-883090</v>
      </c>
      <c r="J38" s="7">
        <f t="shared" si="9"/>
        <v>-887480</v>
      </c>
      <c r="K38" s="7">
        <f t="shared" si="9"/>
        <v>-982392</v>
      </c>
      <c r="L38" s="7">
        <f t="shared" si="9"/>
        <v>-837307</v>
      </c>
      <c r="M38" s="7">
        <f t="shared" si="9"/>
        <v>-657434</v>
      </c>
      <c r="N38" s="7">
        <f>SUM(B38:M38)</f>
        <v>-10107079</v>
      </c>
      <c r="O38" s="29"/>
    </row>
    <row r="39" spans="1:44" s="6" customFormat="1">
      <c r="A39" s="6" t="s">
        <v>47</v>
      </c>
      <c r="B39" s="72">
        <v>-77886</v>
      </c>
      <c r="C39" s="72">
        <v>-77317</v>
      </c>
      <c r="D39" s="72">
        <v>-76975</v>
      </c>
      <c r="E39" s="72">
        <v>-75957</v>
      </c>
      <c r="F39" s="75">
        <v>-75944</v>
      </c>
      <c r="G39" s="72">
        <v>-81079</v>
      </c>
      <c r="H39" s="72">
        <v>-89229</v>
      </c>
      <c r="I39" s="72">
        <v>-88964</v>
      </c>
      <c r="J39" s="72">
        <v>-88964</v>
      </c>
      <c r="K39" s="72">
        <v>-88563</v>
      </c>
      <c r="L39" s="72">
        <v>-97279</v>
      </c>
      <c r="M39" s="72">
        <v>-97277</v>
      </c>
      <c r="N39" s="7">
        <f>SUM(B39:M39)</f>
        <v>-1015434</v>
      </c>
      <c r="O39" s="29"/>
    </row>
    <row r="40" spans="1:44" s="6" customFormat="1">
      <c r="A40" s="6" t="s">
        <v>78</v>
      </c>
      <c r="B40" s="53"/>
      <c r="C40" s="53"/>
      <c r="D40" s="53"/>
      <c r="E40" s="53"/>
      <c r="F40" s="49"/>
      <c r="G40" s="53"/>
      <c r="H40" s="53"/>
      <c r="I40" s="53"/>
      <c r="J40" s="53"/>
      <c r="K40" s="53"/>
      <c r="L40" s="53"/>
      <c r="M40" s="53"/>
      <c r="N40" s="7">
        <f>SUM(B40:M40)</f>
        <v>0</v>
      </c>
      <c r="O40" s="29"/>
    </row>
    <row r="41" spans="1:44" s="6" customFormat="1">
      <c r="A41" s="6" t="s">
        <v>48</v>
      </c>
      <c r="B41" s="60">
        <v>-8350</v>
      </c>
      <c r="C41" s="60">
        <v>-8250</v>
      </c>
      <c r="D41" s="60">
        <v>-8350</v>
      </c>
      <c r="E41" s="60">
        <v>-8350</v>
      </c>
      <c r="F41" s="76">
        <v>-8350</v>
      </c>
      <c r="G41" s="60">
        <v>-8350</v>
      </c>
      <c r="H41" s="60">
        <v>-8350</v>
      </c>
      <c r="I41" s="60">
        <v>-8350</v>
      </c>
      <c r="J41" s="60">
        <v>-8350</v>
      </c>
      <c r="K41" s="60">
        <v>-8350</v>
      </c>
      <c r="L41" s="60">
        <v>-8350</v>
      </c>
      <c r="M41" s="60">
        <v>-30300</v>
      </c>
      <c r="N41" s="15">
        <f>SUM(B41:M41)</f>
        <v>-122050</v>
      </c>
      <c r="O41" s="29"/>
    </row>
    <row r="42" spans="1:44" s="6" customFormat="1">
      <c r="A42" s="13" t="s">
        <v>49</v>
      </c>
      <c r="B42" s="12">
        <f t="shared" ref="B42:N42" si="10">SUM(B37:B41)</f>
        <v>421303</v>
      </c>
      <c r="C42" s="12">
        <f t="shared" si="10"/>
        <v>385318</v>
      </c>
      <c r="D42" s="12">
        <f t="shared" si="10"/>
        <v>430715</v>
      </c>
      <c r="E42" s="12">
        <f t="shared" si="10"/>
        <v>641487</v>
      </c>
      <c r="F42" s="44">
        <f t="shared" si="10"/>
        <v>476027</v>
      </c>
      <c r="G42" s="12">
        <f t="shared" si="10"/>
        <v>525982</v>
      </c>
      <c r="H42" s="12">
        <f t="shared" si="10"/>
        <v>364858</v>
      </c>
      <c r="I42" s="12">
        <f t="shared" si="10"/>
        <v>515765</v>
      </c>
      <c r="J42" s="12">
        <f t="shared" si="10"/>
        <v>546707</v>
      </c>
      <c r="K42" s="12">
        <f t="shared" si="10"/>
        <v>502725</v>
      </c>
      <c r="L42" s="12">
        <f t="shared" si="10"/>
        <v>482905</v>
      </c>
      <c r="M42" s="12">
        <f t="shared" si="10"/>
        <v>489209</v>
      </c>
      <c r="N42" s="12">
        <f t="shared" si="10"/>
        <v>5783001</v>
      </c>
      <c r="O42" s="29"/>
    </row>
    <row r="43" spans="1:44">
      <c r="A43" s="1"/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2"/>
      <c r="N43" s="12"/>
      <c r="O43" s="6"/>
    </row>
    <row r="44" spans="1:44">
      <c r="A44" s="13" t="s">
        <v>50</v>
      </c>
      <c r="B44" s="53">
        <v>296581</v>
      </c>
      <c r="C44" s="53">
        <v>244043</v>
      </c>
      <c r="D44" s="53">
        <v>272075</v>
      </c>
      <c r="E44" s="53">
        <v>331396</v>
      </c>
      <c r="F44" s="49">
        <v>346084</v>
      </c>
      <c r="G44" s="53">
        <v>307622</v>
      </c>
      <c r="H44" s="53">
        <v>357356</v>
      </c>
      <c r="I44" s="53">
        <v>287747</v>
      </c>
      <c r="J44" s="53">
        <v>322520</v>
      </c>
      <c r="K44" s="53">
        <v>378879</v>
      </c>
      <c r="L44" s="53">
        <v>307614</v>
      </c>
      <c r="M44" s="53">
        <v>705082</v>
      </c>
      <c r="N44" s="12">
        <f>SUM(B44:M44)</f>
        <v>4156999</v>
      </c>
      <c r="O44" s="29"/>
    </row>
    <row r="45" spans="1:44">
      <c r="A45" s="6" t="s">
        <v>51</v>
      </c>
      <c r="B45" s="22"/>
      <c r="C45" s="22"/>
      <c r="D45" s="22"/>
      <c r="E45" s="22"/>
      <c r="F45" s="22"/>
      <c r="G45" s="22"/>
      <c r="H45" s="22"/>
      <c r="I45" s="22"/>
      <c r="J45" s="22"/>
      <c r="K45" s="22"/>
      <c r="L45" s="22"/>
      <c r="M45" s="22"/>
      <c r="N45" s="22">
        <f>SUM(B45:M45)</f>
        <v>0</v>
      </c>
      <c r="O45" s="29"/>
    </row>
    <row r="46" spans="1:44">
      <c r="A46" s="1" t="s">
        <v>50</v>
      </c>
      <c r="B46" s="12">
        <f>SUM(B44:B45)</f>
        <v>296581</v>
      </c>
      <c r="C46" s="12">
        <f>SUM(C44:C45)</f>
        <v>244043</v>
      </c>
      <c r="D46" s="12">
        <f t="shared" ref="D46:N46" si="11">SUM(D44:D45)</f>
        <v>272075</v>
      </c>
      <c r="E46" s="12">
        <f t="shared" si="11"/>
        <v>331396</v>
      </c>
      <c r="F46" s="12">
        <f t="shared" si="11"/>
        <v>346084</v>
      </c>
      <c r="G46" s="12">
        <f t="shared" si="11"/>
        <v>307622</v>
      </c>
      <c r="H46" s="12">
        <f t="shared" si="11"/>
        <v>357356</v>
      </c>
      <c r="I46" s="12">
        <f t="shared" si="11"/>
        <v>287747</v>
      </c>
      <c r="J46" s="12">
        <f t="shared" si="11"/>
        <v>322520</v>
      </c>
      <c r="K46" s="12">
        <f t="shared" si="11"/>
        <v>378879</v>
      </c>
      <c r="L46" s="12">
        <f t="shared" si="11"/>
        <v>307614</v>
      </c>
      <c r="M46" s="12">
        <f t="shared" si="11"/>
        <v>705082</v>
      </c>
      <c r="N46" s="12">
        <f t="shared" si="11"/>
        <v>4156999</v>
      </c>
      <c r="O46" s="29"/>
    </row>
    <row r="47" spans="1:44">
      <c r="B47" s="7"/>
      <c r="C47" s="7"/>
      <c r="D47" s="7"/>
      <c r="E47" s="7"/>
      <c r="F47" s="7"/>
      <c r="G47" s="7"/>
      <c r="H47" s="7"/>
      <c r="I47" s="7"/>
      <c r="J47" s="7"/>
      <c r="K47" s="6"/>
      <c r="L47" s="6"/>
      <c r="M47" s="6"/>
      <c r="N47" s="6"/>
      <c r="O47" s="6"/>
    </row>
    <row r="48" spans="1:44">
      <c r="A48" s="13" t="s">
        <v>52</v>
      </c>
      <c r="B48" s="19">
        <f t="shared" ref="B48:N48" si="12">+B20+B34+B42+B46</f>
        <v>1823521</v>
      </c>
      <c r="C48" s="19">
        <f t="shared" si="12"/>
        <v>2865946</v>
      </c>
      <c r="D48" s="19">
        <f t="shared" si="12"/>
        <v>4671417</v>
      </c>
      <c r="E48" s="19">
        <f t="shared" si="12"/>
        <v>3503276</v>
      </c>
      <c r="F48" s="19">
        <f t="shared" si="12"/>
        <v>2480171</v>
      </c>
      <c r="G48" s="19">
        <f t="shared" si="12"/>
        <v>2678842</v>
      </c>
      <c r="H48" s="19">
        <f t="shared" si="12"/>
        <v>3875919</v>
      </c>
      <c r="I48" s="19">
        <f t="shared" si="12"/>
        <v>3297946</v>
      </c>
      <c r="J48" s="19">
        <f t="shared" si="12"/>
        <v>2972629</v>
      </c>
      <c r="K48" s="19">
        <f t="shared" si="12"/>
        <v>2954465</v>
      </c>
      <c r="L48" s="19">
        <f t="shared" si="12"/>
        <v>2753952</v>
      </c>
      <c r="M48" s="19">
        <f t="shared" si="12"/>
        <v>2701181</v>
      </c>
      <c r="N48" s="19">
        <f t="shared" si="12"/>
        <v>36579265</v>
      </c>
      <c r="O48" s="29"/>
    </row>
    <row r="49" spans="1:17">
      <c r="B49" s="7"/>
      <c r="C49" s="7"/>
      <c r="D49" s="7"/>
      <c r="E49" s="7"/>
      <c r="F49" s="7"/>
      <c r="G49" s="7"/>
      <c r="H49" s="7"/>
      <c r="I49" s="7"/>
      <c r="J49" s="7"/>
      <c r="K49" s="6"/>
      <c r="L49" s="6"/>
      <c r="M49" s="6"/>
      <c r="N49" s="6"/>
      <c r="O49" s="6"/>
    </row>
    <row r="50" spans="1:17">
      <c r="A50" s="1" t="s">
        <v>53</v>
      </c>
      <c r="B50" s="12">
        <f t="shared" ref="B50:M50" si="13">+B13-B48</f>
        <v>-563897</v>
      </c>
      <c r="C50" s="12">
        <f t="shared" si="13"/>
        <v>-292069</v>
      </c>
      <c r="D50" s="12">
        <f t="shared" si="13"/>
        <v>1199348</v>
      </c>
      <c r="E50" s="12">
        <f t="shared" si="13"/>
        <v>583672</v>
      </c>
      <c r="F50" s="12">
        <f t="shared" si="13"/>
        <v>57590</v>
      </c>
      <c r="G50" s="12">
        <f t="shared" si="13"/>
        <v>179136</v>
      </c>
      <c r="H50" s="12">
        <f t="shared" si="13"/>
        <v>-35780</v>
      </c>
      <c r="I50" s="12">
        <f t="shared" si="13"/>
        <v>543790</v>
      </c>
      <c r="J50" s="12">
        <f t="shared" si="13"/>
        <v>591969</v>
      </c>
      <c r="K50" s="12">
        <f t="shared" si="13"/>
        <v>133861</v>
      </c>
      <c r="L50" s="12">
        <f t="shared" si="13"/>
        <v>394367</v>
      </c>
      <c r="M50" s="12">
        <f t="shared" si="13"/>
        <v>-1122336</v>
      </c>
      <c r="N50" s="12">
        <f>SUM(B50:M50)</f>
        <v>1669651</v>
      </c>
      <c r="O50" s="6"/>
      <c r="P50" s="25"/>
    </row>
    <row r="51" spans="1:17" ht="7.5" customHeight="1">
      <c r="B51" s="7"/>
      <c r="C51" s="7"/>
      <c r="D51" s="7"/>
      <c r="E51" s="7"/>
      <c r="F51" s="7"/>
      <c r="G51" s="7"/>
      <c r="H51" s="7"/>
      <c r="I51" s="7"/>
      <c r="J51" s="7"/>
      <c r="K51" s="6"/>
      <c r="L51" s="6"/>
      <c r="M51" s="6"/>
      <c r="N51" s="6"/>
      <c r="O51" s="6"/>
    </row>
    <row r="52" spans="1:17">
      <c r="A52" s="1" t="s">
        <v>54</v>
      </c>
      <c r="B52" s="7"/>
      <c r="C52" s="7"/>
      <c r="D52" s="7"/>
      <c r="E52" s="7"/>
      <c r="F52" s="7"/>
      <c r="G52" s="7"/>
      <c r="H52" s="7"/>
      <c r="I52" s="7"/>
      <c r="J52" s="7"/>
      <c r="K52" s="6"/>
      <c r="L52" s="6"/>
      <c r="M52" s="6"/>
      <c r="N52" s="6"/>
      <c r="O52" s="6"/>
    </row>
    <row r="53" spans="1:17" s="6" customFormat="1">
      <c r="A53" s="6" t="s">
        <v>55</v>
      </c>
      <c r="B53" s="10">
        <v>101289</v>
      </c>
      <c r="C53" s="10">
        <v>230379</v>
      </c>
      <c r="D53" s="10">
        <v>5347</v>
      </c>
      <c r="E53" s="10">
        <f>740+15090+2192.65</f>
        <v>18022.650000000001</v>
      </c>
      <c r="F53" s="51">
        <v>85439</v>
      </c>
      <c r="G53" s="10">
        <v>120200</v>
      </c>
      <c r="H53" s="23">
        <v>116000</v>
      </c>
      <c r="I53" s="10">
        <v>265000</v>
      </c>
      <c r="J53" s="10">
        <v>0</v>
      </c>
      <c r="K53" s="10">
        <v>192250</v>
      </c>
      <c r="L53" s="10">
        <v>243000</v>
      </c>
      <c r="M53" s="10">
        <v>275000</v>
      </c>
      <c r="N53" s="10">
        <f>SUM(B53:M53)</f>
        <v>1651926.65</v>
      </c>
      <c r="P53" s="40"/>
    </row>
    <row r="54" spans="1:17" s="6" customFormat="1">
      <c r="A54" s="6" t="s">
        <v>96</v>
      </c>
      <c r="B54" s="10"/>
      <c r="C54" s="10"/>
      <c r="D54" s="10"/>
      <c r="E54" s="10"/>
      <c r="F54" s="51">
        <v>95000</v>
      </c>
      <c r="G54" s="10"/>
      <c r="H54" s="10"/>
      <c r="I54" s="10"/>
      <c r="J54" s="10"/>
      <c r="K54" s="10"/>
      <c r="L54" s="10"/>
      <c r="M54" s="10"/>
      <c r="N54" s="10">
        <f>SUM(B54:M54)</f>
        <v>95000</v>
      </c>
      <c r="P54" s="7"/>
      <c r="Q54" s="6">
        <v>0</v>
      </c>
    </row>
    <row r="55" spans="1:17" s="6" customFormat="1">
      <c r="A55" s="6" t="s">
        <v>97</v>
      </c>
      <c r="B55" s="10">
        <f>276228+184</f>
        <v>276412</v>
      </c>
      <c r="C55" s="10"/>
      <c r="D55" s="10"/>
      <c r="E55" s="10"/>
      <c r="F55" s="10"/>
      <c r="G55" s="10"/>
      <c r="H55" s="10"/>
      <c r="I55" s="10"/>
      <c r="J55" s="10"/>
      <c r="K55" s="10"/>
      <c r="L55" s="10">
        <v>0</v>
      </c>
      <c r="M55" s="10">
        <v>0</v>
      </c>
      <c r="N55" s="10">
        <f>SUM(B55:M55)</f>
        <v>276412</v>
      </c>
      <c r="P55" s="7"/>
    </row>
    <row r="56" spans="1:17" s="6" customFormat="1">
      <c r="A56" s="37" t="s">
        <v>58</v>
      </c>
      <c r="B56" s="7">
        <v>-12589</v>
      </c>
      <c r="C56" s="7">
        <v>-11612</v>
      </c>
      <c r="D56" s="7">
        <v>-12191</v>
      </c>
      <c r="E56" s="7">
        <v>-9918</v>
      </c>
      <c r="F56" s="42">
        <v>-8157</v>
      </c>
      <c r="G56" s="7">
        <v>-12500</v>
      </c>
      <c r="H56" s="10">
        <v>-12500</v>
      </c>
      <c r="I56" s="7">
        <v>-12500</v>
      </c>
      <c r="J56" s="7">
        <v>-12500</v>
      </c>
      <c r="K56" s="7">
        <v>-12500</v>
      </c>
      <c r="L56" s="7">
        <v>-12500</v>
      </c>
      <c r="M56" s="7">
        <v>-12500</v>
      </c>
      <c r="N56" s="7">
        <f>SUM(B56:M56)</f>
        <v>-141967</v>
      </c>
      <c r="P56" s="56"/>
    </row>
    <row r="57" spans="1:17" s="6" customFormat="1">
      <c r="A57" s="6" t="s">
        <v>59</v>
      </c>
      <c r="B57" s="22">
        <v>-187388</v>
      </c>
      <c r="C57" s="22">
        <v>-40876</v>
      </c>
      <c r="D57" s="22">
        <v>-158851</v>
      </c>
      <c r="E57" s="22">
        <v>-155108</v>
      </c>
      <c r="F57" s="50">
        <v>-96958</v>
      </c>
      <c r="G57" s="22">
        <v>-25000</v>
      </c>
      <c r="H57" s="10">
        <v>-25000</v>
      </c>
      <c r="I57" s="22">
        <v>-25000</v>
      </c>
      <c r="J57" s="22">
        <v>-25000</v>
      </c>
      <c r="K57" s="22">
        <v>-25000</v>
      </c>
      <c r="L57" s="22">
        <v>-25000</v>
      </c>
      <c r="M57" s="22">
        <v>-25000</v>
      </c>
      <c r="N57" s="22">
        <f>SUM(B57:M57)</f>
        <v>-814181</v>
      </c>
      <c r="P57" s="7"/>
    </row>
    <row r="58" spans="1:17" s="6" customFormat="1">
      <c r="A58" s="13" t="s">
        <v>60</v>
      </c>
      <c r="B58" s="19">
        <f t="shared" ref="B58:N58" si="14">SUM(B53:B57)</f>
        <v>177724</v>
      </c>
      <c r="C58" s="19">
        <f t="shared" si="14"/>
        <v>177891</v>
      </c>
      <c r="D58" s="19">
        <f t="shared" si="14"/>
        <v>-165695</v>
      </c>
      <c r="E58" s="19">
        <f t="shared" si="14"/>
        <v>-147003.35</v>
      </c>
      <c r="F58" s="19">
        <f t="shared" si="14"/>
        <v>75324</v>
      </c>
      <c r="G58" s="19">
        <f t="shared" si="14"/>
        <v>82700</v>
      </c>
      <c r="H58" s="19">
        <f>SUM(H53:H57)</f>
        <v>78500</v>
      </c>
      <c r="I58" s="19">
        <f t="shared" si="14"/>
        <v>227500</v>
      </c>
      <c r="J58" s="19">
        <f t="shared" si="14"/>
        <v>-37500</v>
      </c>
      <c r="K58" s="19">
        <f t="shared" si="14"/>
        <v>154750</v>
      </c>
      <c r="L58" s="19">
        <f t="shared" si="14"/>
        <v>205500</v>
      </c>
      <c r="M58" s="19">
        <f t="shared" si="14"/>
        <v>237500</v>
      </c>
      <c r="N58" s="19">
        <f t="shared" si="14"/>
        <v>1067190.6499999999</v>
      </c>
      <c r="O58" s="29"/>
    </row>
    <row r="59" spans="1:17">
      <c r="B59" s="7"/>
      <c r="C59" s="7"/>
      <c r="D59" s="7"/>
      <c r="E59" s="7"/>
      <c r="F59" s="7"/>
      <c r="G59" s="7"/>
      <c r="H59" s="7"/>
      <c r="I59" s="7"/>
      <c r="J59" s="7"/>
      <c r="K59" s="7"/>
      <c r="L59" s="7"/>
      <c r="M59" s="7"/>
      <c r="N59" s="7"/>
      <c r="O59" s="6"/>
    </row>
    <row r="60" spans="1:17">
      <c r="A60" s="1" t="s">
        <v>61</v>
      </c>
      <c r="B60" s="12">
        <v>13373023</v>
      </c>
      <c r="C60" s="7"/>
      <c r="D60" s="7"/>
      <c r="E60" s="7"/>
      <c r="F60" s="7"/>
      <c r="G60" s="7"/>
      <c r="H60" s="7" t="s">
        <v>38</v>
      </c>
      <c r="I60" s="7"/>
      <c r="J60" s="7"/>
      <c r="K60" s="6"/>
      <c r="L60" s="6"/>
      <c r="M60" s="6"/>
      <c r="N60" s="6"/>
      <c r="O60" s="6"/>
    </row>
    <row r="61" spans="1:17">
      <c r="A61" s="13" t="s">
        <v>62</v>
      </c>
      <c r="B61" s="19">
        <f t="shared" ref="B61:N61" si="15">+B58+B48</f>
        <v>2001245</v>
      </c>
      <c r="C61" s="19">
        <f t="shared" si="15"/>
        <v>3043837</v>
      </c>
      <c r="D61" s="19">
        <f t="shared" si="15"/>
        <v>4505722</v>
      </c>
      <c r="E61" s="19">
        <f t="shared" si="15"/>
        <v>3356272.65</v>
      </c>
      <c r="F61" s="19">
        <f t="shared" si="15"/>
        <v>2555495</v>
      </c>
      <c r="G61" s="19">
        <f t="shared" si="15"/>
        <v>2761542</v>
      </c>
      <c r="H61" s="19">
        <f t="shared" si="15"/>
        <v>3954419</v>
      </c>
      <c r="I61" s="19">
        <f t="shared" si="15"/>
        <v>3525446</v>
      </c>
      <c r="J61" s="19">
        <f t="shared" si="15"/>
        <v>2935129</v>
      </c>
      <c r="K61" s="19">
        <f t="shared" si="15"/>
        <v>3109215</v>
      </c>
      <c r="L61" s="19">
        <f t="shared" si="15"/>
        <v>2959452</v>
      </c>
      <c r="M61" s="19">
        <f t="shared" si="15"/>
        <v>2938681</v>
      </c>
      <c r="N61" s="19">
        <f t="shared" si="15"/>
        <v>37646455.649999999</v>
      </c>
      <c r="O61" s="29"/>
      <c r="P61" s="25">
        <f>+N61-O61</f>
        <v>37646455.649999999</v>
      </c>
    </row>
    <row r="62" spans="1:17" ht="13.5" thickBot="1">
      <c r="A62" s="13" t="s">
        <v>63</v>
      </c>
      <c r="B62" s="30">
        <f t="shared" ref="B62:N62" si="16">+B13-B61</f>
        <v>-741621</v>
      </c>
      <c r="C62" s="30">
        <f t="shared" si="16"/>
        <v>-469960</v>
      </c>
      <c r="D62" s="30">
        <f t="shared" si="16"/>
        <v>1365043</v>
      </c>
      <c r="E62" s="30">
        <f t="shared" si="16"/>
        <v>730675.35000000009</v>
      </c>
      <c r="F62" s="30">
        <f t="shared" si="16"/>
        <v>-17734</v>
      </c>
      <c r="G62" s="14">
        <f t="shared" si="16"/>
        <v>96436</v>
      </c>
      <c r="H62" s="14">
        <f t="shared" si="16"/>
        <v>-114280</v>
      </c>
      <c r="I62" s="14">
        <f t="shared" si="16"/>
        <v>316290</v>
      </c>
      <c r="J62" s="14">
        <f t="shared" si="16"/>
        <v>629469</v>
      </c>
      <c r="K62" s="14">
        <f t="shared" si="16"/>
        <v>-20889</v>
      </c>
      <c r="L62" s="14">
        <f t="shared" si="16"/>
        <v>188867</v>
      </c>
      <c r="M62" s="14">
        <f t="shared" si="16"/>
        <v>-1359836</v>
      </c>
      <c r="N62" s="14">
        <f t="shared" si="16"/>
        <v>602460.35000000149</v>
      </c>
      <c r="O62" s="29"/>
      <c r="P62" s="25">
        <f>+N62-O62</f>
        <v>602460.35000000149</v>
      </c>
    </row>
    <row r="63" spans="1:17" s="6" customFormat="1" ht="13.5" thickTop="1">
      <c r="A63" s="13" t="s">
        <v>64</v>
      </c>
      <c r="B63" s="32">
        <f>+B62</f>
        <v>-741621</v>
      </c>
      <c r="C63" s="32">
        <f t="shared" ref="C63:M63" si="17">B63+C62</f>
        <v>-1211581</v>
      </c>
      <c r="D63" s="32">
        <f t="shared" si="17"/>
        <v>153462</v>
      </c>
      <c r="E63" s="32">
        <f t="shared" si="17"/>
        <v>884137.35000000009</v>
      </c>
      <c r="F63" s="32">
        <f t="shared" si="17"/>
        <v>866403.35000000009</v>
      </c>
      <c r="G63" s="12">
        <f t="shared" si="17"/>
        <v>962839.35000000009</v>
      </c>
      <c r="H63" s="12">
        <f t="shared" si="17"/>
        <v>848559.35000000009</v>
      </c>
      <c r="I63" s="12">
        <f t="shared" si="17"/>
        <v>1164849.3500000001</v>
      </c>
      <c r="J63" s="12">
        <f t="shared" si="17"/>
        <v>1794318.35</v>
      </c>
      <c r="K63" s="12">
        <f t="shared" si="17"/>
        <v>1773429.35</v>
      </c>
      <c r="L63" s="12">
        <f t="shared" si="17"/>
        <v>1962296.35</v>
      </c>
      <c r="M63" s="12">
        <f t="shared" si="17"/>
        <v>602460.35000000009</v>
      </c>
      <c r="N63" s="12"/>
    </row>
    <row r="64" spans="1:17">
      <c r="A64" s="13" t="s">
        <v>65</v>
      </c>
      <c r="B64" s="12">
        <f t="shared" ref="B64:M64" si="18">+$B$60+B63</f>
        <v>12631402</v>
      </c>
      <c r="C64" s="12">
        <f t="shared" si="18"/>
        <v>12161442</v>
      </c>
      <c r="D64" s="12">
        <f t="shared" si="18"/>
        <v>13526485</v>
      </c>
      <c r="E64" s="12">
        <f t="shared" si="18"/>
        <v>14257160.35</v>
      </c>
      <c r="F64" s="12">
        <f t="shared" si="18"/>
        <v>14239426.35</v>
      </c>
      <c r="G64" s="12">
        <f t="shared" si="18"/>
        <v>14335862.35</v>
      </c>
      <c r="H64" s="12">
        <f t="shared" si="18"/>
        <v>14221582.35</v>
      </c>
      <c r="I64" s="12">
        <f t="shared" si="18"/>
        <v>14537872.35</v>
      </c>
      <c r="J64" s="12">
        <f t="shared" si="18"/>
        <v>15167341.35</v>
      </c>
      <c r="K64" s="12">
        <f t="shared" si="18"/>
        <v>15146452.35</v>
      </c>
      <c r="L64" s="12">
        <f t="shared" si="18"/>
        <v>15335319.35</v>
      </c>
      <c r="M64" s="12">
        <f t="shared" si="18"/>
        <v>13975483.35</v>
      </c>
      <c r="N64" s="12"/>
      <c r="O64" s="6"/>
      <c r="P64" s="29"/>
    </row>
    <row r="65" spans="1:16">
      <c r="A65" s="6"/>
      <c r="B65" s="7"/>
      <c r="C65" s="7"/>
      <c r="D65" s="7"/>
      <c r="E65" s="7"/>
      <c r="F65" s="7"/>
      <c r="G65" s="7"/>
      <c r="H65" s="7"/>
      <c r="I65" s="7"/>
      <c r="J65" s="7"/>
      <c r="K65" s="6"/>
      <c r="L65" s="6"/>
      <c r="M65" s="6"/>
      <c r="N65" s="6"/>
      <c r="O65" s="6"/>
    </row>
    <row r="66" spans="1:16" s="6" customFormat="1">
      <c r="A66" s="17" t="s">
        <v>94</v>
      </c>
      <c r="B66" s="18"/>
      <c r="C66" s="18"/>
      <c r="D66" s="18"/>
      <c r="E66" s="18"/>
      <c r="F66" s="18"/>
      <c r="G66" s="18"/>
      <c r="H66" s="18"/>
      <c r="I66" s="18"/>
      <c r="J66" s="18"/>
      <c r="K66" s="18"/>
      <c r="L66" s="18"/>
      <c r="M66" s="18"/>
      <c r="N66" s="18"/>
    </row>
    <row r="67" spans="1:16" ht="13.5" thickBot="1">
      <c r="A67" s="13" t="s">
        <v>67</v>
      </c>
      <c r="B67" s="14">
        <v>-968259</v>
      </c>
      <c r="C67" s="14">
        <v>165657</v>
      </c>
      <c r="D67" s="14">
        <v>1175481</v>
      </c>
      <c r="E67" s="14">
        <v>388022</v>
      </c>
      <c r="F67" s="14">
        <v>-191039</v>
      </c>
      <c r="G67" s="14">
        <v>96436</v>
      </c>
      <c r="H67" s="14">
        <v>-114280</v>
      </c>
      <c r="I67" s="14">
        <v>316290</v>
      </c>
      <c r="J67" s="14">
        <v>629469</v>
      </c>
      <c r="K67" s="14">
        <v>-20889</v>
      </c>
      <c r="L67" s="14">
        <v>188867</v>
      </c>
      <c r="M67" s="14">
        <v>-1359836</v>
      </c>
      <c r="N67" s="16"/>
      <c r="O67" s="6"/>
    </row>
    <row r="68" spans="1:16" ht="13.5" thickTop="1">
      <c r="A68" s="13" t="s">
        <v>64</v>
      </c>
      <c r="B68" s="12">
        <f>+B67</f>
        <v>-968259</v>
      </c>
      <c r="C68" s="12">
        <f>+B68+C67</f>
        <v>-802602</v>
      </c>
      <c r="D68" s="12">
        <f t="shared" ref="D68:M68" si="19">+C68+D67</f>
        <v>372879</v>
      </c>
      <c r="E68" s="12">
        <f t="shared" si="19"/>
        <v>760901</v>
      </c>
      <c r="F68" s="12">
        <f t="shared" si="19"/>
        <v>569862</v>
      </c>
      <c r="G68" s="12">
        <f t="shared" si="19"/>
        <v>666298</v>
      </c>
      <c r="H68" s="12">
        <f t="shared" si="19"/>
        <v>552018</v>
      </c>
      <c r="I68" s="12">
        <f t="shared" si="19"/>
        <v>868308</v>
      </c>
      <c r="J68" s="12">
        <f t="shared" si="19"/>
        <v>1497777</v>
      </c>
      <c r="K68" s="12">
        <f t="shared" si="19"/>
        <v>1476888</v>
      </c>
      <c r="L68" s="12">
        <f t="shared" si="19"/>
        <v>1665755</v>
      </c>
      <c r="M68" s="12">
        <f t="shared" si="19"/>
        <v>305919</v>
      </c>
      <c r="N68" s="16"/>
      <c r="O68" s="6"/>
    </row>
    <row r="69" spans="1:16">
      <c r="A69" s="13" t="s">
        <v>65</v>
      </c>
      <c r="B69" s="12">
        <v>10066787.80069958</v>
      </c>
      <c r="C69" s="12">
        <v>10474885.82712047</v>
      </c>
      <c r="D69" s="12">
        <v>11546728.467384296</v>
      </c>
      <c r="E69" s="12">
        <v>11992721.928639133</v>
      </c>
      <c r="F69" s="12">
        <v>11726972.321587943</v>
      </c>
      <c r="G69" s="12">
        <v>11337269.706012141</v>
      </c>
      <c r="H69" s="12">
        <v>11322908.797641888</v>
      </c>
      <c r="I69" s="12">
        <v>11526789.393104676</v>
      </c>
      <c r="J69" s="12">
        <v>11837705.668475684</v>
      </c>
      <c r="K69" s="12">
        <v>12021264.778665379</v>
      </c>
      <c r="L69" s="12">
        <v>12475612.568366794</v>
      </c>
      <c r="M69" s="12">
        <v>11197948.23476476</v>
      </c>
      <c r="N69" s="12"/>
      <c r="O69" s="6"/>
    </row>
    <row r="70" spans="1:16">
      <c r="A70" s="6"/>
      <c r="B70" s="6"/>
      <c r="C70" s="6"/>
      <c r="D70" s="6"/>
      <c r="E70" s="6"/>
      <c r="F70" s="6"/>
      <c r="H70" s="6"/>
      <c r="I70" s="6"/>
      <c r="J70" s="6"/>
      <c r="K70" s="6"/>
      <c r="L70" s="6"/>
      <c r="M70" s="6"/>
      <c r="N70" s="6"/>
      <c r="O70" s="6"/>
    </row>
    <row r="71" spans="1:16">
      <c r="A71" s="24" t="s">
        <v>68</v>
      </c>
      <c r="B71" s="18"/>
      <c r="C71" s="18"/>
      <c r="D71" s="18"/>
      <c r="E71" s="18"/>
      <c r="F71" s="18"/>
      <c r="G71" s="18"/>
      <c r="H71" s="18"/>
      <c r="I71" s="18"/>
      <c r="J71" s="18"/>
      <c r="K71" s="18"/>
      <c r="L71" s="18"/>
      <c r="M71" s="18"/>
      <c r="N71" s="18"/>
      <c r="O71" s="6"/>
    </row>
    <row r="72" spans="1:16">
      <c r="A72" s="13" t="s">
        <v>63</v>
      </c>
      <c r="B72" s="31">
        <f t="shared" ref="B72:N74" si="20">+B62-B67</f>
        <v>226638</v>
      </c>
      <c r="C72" s="31">
        <f t="shared" si="20"/>
        <v>-635617</v>
      </c>
      <c r="D72" s="31">
        <f t="shared" si="20"/>
        <v>189562</v>
      </c>
      <c r="E72" s="31">
        <f t="shared" si="20"/>
        <v>342653.35000000009</v>
      </c>
      <c r="F72" s="31">
        <f t="shared" si="20"/>
        <v>173305</v>
      </c>
      <c r="G72" s="16">
        <f t="shared" si="20"/>
        <v>0</v>
      </c>
      <c r="H72" s="16">
        <f t="shared" si="20"/>
        <v>0</v>
      </c>
      <c r="I72" s="16">
        <f t="shared" si="20"/>
        <v>0</v>
      </c>
      <c r="J72" s="16">
        <f t="shared" si="20"/>
        <v>0</v>
      </c>
      <c r="K72" s="16">
        <f t="shared" si="20"/>
        <v>0</v>
      </c>
      <c r="L72" s="16">
        <f t="shared" si="20"/>
        <v>0</v>
      </c>
      <c r="M72" s="16">
        <f t="shared" si="20"/>
        <v>0</v>
      </c>
      <c r="N72" s="6"/>
      <c r="O72" s="6"/>
      <c r="P72" s="16">
        <f>+N62-N67</f>
        <v>602460.35000000149</v>
      </c>
    </row>
    <row r="73" spans="1:16" s="6" customFormat="1">
      <c r="A73" s="13" t="s">
        <v>64</v>
      </c>
      <c r="B73" s="31">
        <f t="shared" si="20"/>
        <v>226638</v>
      </c>
      <c r="C73" s="31">
        <f t="shared" si="20"/>
        <v>-408979</v>
      </c>
      <c r="D73" s="31">
        <f t="shared" si="20"/>
        <v>-219417</v>
      </c>
      <c r="E73" s="31">
        <f t="shared" si="20"/>
        <v>123236.35000000009</v>
      </c>
      <c r="F73" s="31">
        <f t="shared" si="20"/>
        <v>296541.35000000009</v>
      </c>
      <c r="G73" s="16">
        <f t="shared" si="20"/>
        <v>296541.35000000009</v>
      </c>
      <c r="H73" s="16">
        <f t="shared" si="20"/>
        <v>296541.35000000009</v>
      </c>
      <c r="I73" s="16">
        <f t="shared" si="20"/>
        <v>296541.35000000009</v>
      </c>
      <c r="J73" s="16">
        <f t="shared" si="20"/>
        <v>296541.35000000009</v>
      </c>
      <c r="K73" s="16">
        <f t="shared" si="20"/>
        <v>296541.35000000009</v>
      </c>
      <c r="L73" s="16">
        <f t="shared" si="20"/>
        <v>296541.35000000009</v>
      </c>
      <c r="M73" s="16">
        <f t="shared" si="20"/>
        <v>296541.35000000009</v>
      </c>
      <c r="N73" s="16">
        <f t="shared" si="20"/>
        <v>0</v>
      </c>
    </row>
    <row r="74" spans="1:16">
      <c r="A74" s="1" t="s">
        <v>65</v>
      </c>
      <c r="B74" s="16">
        <f t="shared" si="20"/>
        <v>2564614.1993004195</v>
      </c>
      <c r="C74" s="16">
        <f t="shared" si="20"/>
        <v>1686556.1728795301</v>
      </c>
      <c r="D74" s="16">
        <f t="shared" si="20"/>
        <v>1979756.5326157045</v>
      </c>
      <c r="E74" s="16">
        <f t="shared" si="20"/>
        <v>2264438.4213608671</v>
      </c>
      <c r="F74" s="16">
        <f t="shared" si="20"/>
        <v>2512454.0284120571</v>
      </c>
      <c r="G74" s="16">
        <f t="shared" si="20"/>
        <v>2998592.6439878587</v>
      </c>
      <c r="H74" s="16">
        <f t="shared" si="20"/>
        <v>2898673.5523581114</v>
      </c>
      <c r="I74" s="16">
        <f t="shared" si="20"/>
        <v>3011082.9568953235</v>
      </c>
      <c r="J74" s="16">
        <f t="shared" si="20"/>
        <v>3329635.6815243158</v>
      </c>
      <c r="K74" s="16">
        <f t="shared" si="20"/>
        <v>3125187.5713346209</v>
      </c>
      <c r="L74" s="16">
        <f t="shared" si="20"/>
        <v>2859706.7816332057</v>
      </c>
      <c r="M74" s="16">
        <f t="shared" si="20"/>
        <v>2777535.1152352393</v>
      </c>
      <c r="N74" s="16"/>
      <c r="O74" s="6"/>
    </row>
    <row r="75" spans="1:16">
      <c r="B75" s="6"/>
      <c r="C75" s="6"/>
      <c r="D75" s="6"/>
      <c r="E75" s="6"/>
      <c r="F75" s="6"/>
      <c r="H75" s="6"/>
      <c r="I75" s="6"/>
      <c r="J75" s="6"/>
      <c r="K75" s="6"/>
      <c r="L75" s="6"/>
      <c r="M75" s="6"/>
      <c r="N75" s="6"/>
    </row>
    <row r="76" spans="1:16">
      <c r="A76" s="1"/>
      <c r="B76" s="4"/>
      <c r="C76" s="8"/>
      <c r="D76" s="8"/>
      <c r="E76" s="8"/>
      <c r="F76" s="8"/>
      <c r="H76" s="20"/>
      <c r="J76" s="6"/>
      <c r="K76" s="6"/>
    </row>
    <row r="77" spans="1:16">
      <c r="A77" s="1"/>
      <c r="B77" s="4"/>
      <c r="C77" s="8"/>
      <c r="D77" s="8"/>
      <c r="E77" s="8"/>
      <c r="F77" s="8"/>
      <c r="H77" s="20"/>
      <c r="J77" s="6"/>
    </row>
    <row r="78" spans="1:16">
      <c r="A78" s="1"/>
      <c r="B78" s="4"/>
      <c r="D78" s="8"/>
      <c r="E78" s="8"/>
      <c r="F78" s="8"/>
      <c r="H78" s="61"/>
      <c r="J78" s="6"/>
    </row>
    <row r="79" spans="1:16">
      <c r="E79" s="6"/>
      <c r="H79" s="20"/>
      <c r="J79" s="6"/>
      <c r="N79" s="25"/>
    </row>
    <row r="80" spans="1:16">
      <c r="A80" t="s">
        <v>69</v>
      </c>
      <c r="B80" t="s">
        <v>69</v>
      </c>
      <c r="C80" t="s">
        <v>69</v>
      </c>
      <c r="D80" t="s">
        <v>69</v>
      </c>
      <c r="E80" s="6" t="s">
        <v>69</v>
      </c>
      <c r="F80" t="s">
        <v>69</v>
      </c>
      <c r="G80" s="6" t="s">
        <v>69</v>
      </c>
      <c r="H80" t="s">
        <v>69</v>
      </c>
      <c r="I80" t="s">
        <v>69</v>
      </c>
      <c r="J80" s="6" t="s">
        <v>69</v>
      </c>
      <c r="K80" t="s">
        <v>69</v>
      </c>
      <c r="L80" t="s">
        <v>69</v>
      </c>
      <c r="M80" t="s">
        <v>69</v>
      </c>
      <c r="N80" t="s">
        <v>69</v>
      </c>
    </row>
    <row r="81" spans="1:14">
      <c r="E81" s="6"/>
      <c r="J81" s="6"/>
    </row>
    <row r="82" spans="1:14">
      <c r="A82" s="33" t="s">
        <v>70</v>
      </c>
      <c r="B82" s="47">
        <v>52000</v>
      </c>
      <c r="C82" s="47">
        <v>20000</v>
      </c>
      <c r="D82" s="47">
        <v>10000</v>
      </c>
      <c r="E82" s="47">
        <v>44355</v>
      </c>
      <c r="F82" s="47">
        <v>186840</v>
      </c>
      <c r="G82" s="10">
        <v>202000</v>
      </c>
      <c r="H82" s="54">
        <v>197000</v>
      </c>
      <c r="I82" s="47">
        <v>142000</v>
      </c>
      <c r="J82" s="47">
        <v>119000</v>
      </c>
      <c r="K82" s="47">
        <v>0</v>
      </c>
      <c r="L82" s="47">
        <v>0</v>
      </c>
      <c r="M82" s="47">
        <v>455000</v>
      </c>
      <c r="N82" s="7">
        <v>1428195</v>
      </c>
    </row>
    <row r="83" spans="1:14">
      <c r="A83" s="33" t="s">
        <v>71</v>
      </c>
      <c r="B83" s="2">
        <f>+B82</f>
        <v>52000</v>
      </c>
      <c r="C83" s="2">
        <f>+B83+C82</f>
        <v>72000</v>
      </c>
      <c r="D83" s="2">
        <f t="shared" ref="D83:M83" si="21">+C83+D82</f>
        <v>82000</v>
      </c>
      <c r="E83" s="7">
        <f t="shared" si="21"/>
        <v>126355</v>
      </c>
      <c r="F83" s="2">
        <f t="shared" si="21"/>
        <v>313195</v>
      </c>
      <c r="G83" s="7">
        <f t="shared" si="21"/>
        <v>515195</v>
      </c>
      <c r="H83" s="2">
        <f t="shared" si="21"/>
        <v>712195</v>
      </c>
      <c r="I83" s="2">
        <f t="shared" si="21"/>
        <v>854195</v>
      </c>
      <c r="J83" s="7">
        <f t="shared" si="21"/>
        <v>973195</v>
      </c>
      <c r="K83" s="2">
        <f t="shared" si="21"/>
        <v>973195</v>
      </c>
      <c r="L83" s="2">
        <f t="shared" si="21"/>
        <v>973195</v>
      </c>
      <c r="M83" s="2">
        <f t="shared" si="21"/>
        <v>1428195</v>
      </c>
    </row>
    <row r="84" spans="1:14">
      <c r="A84" s="33" t="s">
        <v>72</v>
      </c>
      <c r="B84" s="7">
        <f>+B53</f>
        <v>101289</v>
      </c>
      <c r="C84" s="7">
        <f>SUM($B53:C53)</f>
        <v>331668</v>
      </c>
      <c r="D84" s="7">
        <f>SUM($B53:D53)</f>
        <v>337015</v>
      </c>
      <c r="E84" s="7">
        <f>SUM($B53:E53)</f>
        <v>355037.65</v>
      </c>
      <c r="F84" s="7">
        <f>SUM($B53:F53)</f>
        <v>440476.65</v>
      </c>
      <c r="G84" s="7">
        <f>SUM($B53:G53)</f>
        <v>560676.65</v>
      </c>
      <c r="H84" s="7">
        <f>SUM(B53:H53)</f>
        <v>676676.65</v>
      </c>
      <c r="I84" s="7">
        <f>SUM(B53:I53)</f>
        <v>941676.65</v>
      </c>
      <c r="J84" s="7">
        <f>SUM(B53:J53)</f>
        <v>941676.65</v>
      </c>
      <c r="K84" s="7">
        <f>SUM(B53:K53)</f>
        <v>1133926.6499999999</v>
      </c>
      <c r="L84" s="7">
        <f>SUM(B53:L53)</f>
        <v>1376926.65</v>
      </c>
      <c r="M84" s="7">
        <f>SUM(B53:M53)</f>
        <v>1651926.65</v>
      </c>
    </row>
    <row r="85" spans="1:14">
      <c r="A85" s="33" t="s">
        <v>73</v>
      </c>
      <c r="B85" s="7">
        <f t="shared" ref="B85:G85" si="22">+B83-B84</f>
        <v>-49289</v>
      </c>
      <c r="C85" s="7">
        <f t="shared" si="22"/>
        <v>-259668</v>
      </c>
      <c r="D85" s="7">
        <f t="shared" si="22"/>
        <v>-255015</v>
      </c>
      <c r="E85" s="7">
        <f t="shared" si="22"/>
        <v>-228682.65000000002</v>
      </c>
      <c r="F85" s="7">
        <f t="shared" si="22"/>
        <v>-127281.65000000002</v>
      </c>
      <c r="G85" s="7">
        <f t="shared" si="22"/>
        <v>-45481.650000000023</v>
      </c>
      <c r="H85" s="7">
        <f t="shared" ref="H85:M85" si="23">+H83-H84</f>
        <v>35518.349999999977</v>
      </c>
      <c r="I85" s="7">
        <f t="shared" si="23"/>
        <v>-87481.650000000023</v>
      </c>
      <c r="J85" s="7">
        <f t="shared" si="23"/>
        <v>31518.349999999977</v>
      </c>
      <c r="K85" s="7">
        <f t="shared" si="23"/>
        <v>-160731.64999999991</v>
      </c>
      <c r="L85" s="7">
        <f t="shared" si="23"/>
        <v>-403731.64999999991</v>
      </c>
      <c r="M85" s="7">
        <f t="shared" si="23"/>
        <v>-223731.64999999991</v>
      </c>
    </row>
    <row r="86" spans="1:14">
      <c r="J86" s="6"/>
      <c r="K86" s="6"/>
    </row>
    <row r="87" spans="1:14">
      <c r="A87" t="s">
        <v>74</v>
      </c>
      <c r="B87" s="35">
        <f>-B56-B57</f>
        <v>199977</v>
      </c>
      <c r="C87" s="35">
        <f t="shared" ref="C87:N87" si="24">-C56-C57</f>
        <v>52488</v>
      </c>
      <c r="D87" s="35">
        <f t="shared" si="24"/>
        <v>171042</v>
      </c>
      <c r="E87" s="35">
        <f t="shared" si="24"/>
        <v>165026</v>
      </c>
      <c r="F87" s="35">
        <f t="shared" si="24"/>
        <v>105115</v>
      </c>
      <c r="G87" s="40">
        <f t="shared" si="24"/>
        <v>37500</v>
      </c>
      <c r="H87" s="40">
        <f t="shared" si="24"/>
        <v>37500</v>
      </c>
      <c r="I87" s="35">
        <f t="shared" si="24"/>
        <v>37500</v>
      </c>
      <c r="J87" s="35">
        <f t="shared" si="24"/>
        <v>37500</v>
      </c>
      <c r="K87" s="40">
        <f t="shared" si="24"/>
        <v>37500</v>
      </c>
      <c r="L87" s="35">
        <f t="shared" si="24"/>
        <v>37500</v>
      </c>
      <c r="M87" s="35">
        <f t="shared" si="24"/>
        <v>37500</v>
      </c>
      <c r="N87" s="35">
        <f t="shared" si="24"/>
        <v>956148</v>
      </c>
    </row>
    <row r="88" spans="1:14">
      <c r="C88" s="35">
        <f>+B87+C87</f>
        <v>252465</v>
      </c>
      <c r="D88" s="35">
        <f>+C88+D87</f>
        <v>423507</v>
      </c>
      <c r="E88" s="35">
        <f t="shared" ref="E88:M88" si="25">+D88+E87</f>
        <v>588533</v>
      </c>
      <c r="F88" s="35">
        <f t="shared" si="25"/>
        <v>693648</v>
      </c>
      <c r="G88" s="40">
        <f t="shared" si="25"/>
        <v>731148</v>
      </c>
      <c r="H88" s="35">
        <f t="shared" si="25"/>
        <v>768648</v>
      </c>
      <c r="I88" s="40">
        <f t="shared" si="25"/>
        <v>806148</v>
      </c>
      <c r="J88" s="40">
        <f t="shared" si="25"/>
        <v>843648</v>
      </c>
      <c r="K88" s="40">
        <f t="shared" si="25"/>
        <v>881148</v>
      </c>
      <c r="L88" s="35">
        <f t="shared" si="25"/>
        <v>918648</v>
      </c>
      <c r="M88" s="35">
        <f t="shared" si="25"/>
        <v>956148</v>
      </c>
    </row>
    <row r="89" spans="1:14">
      <c r="B89" s="6"/>
      <c r="C89" s="6"/>
      <c r="D89" s="6"/>
      <c r="E89" s="6"/>
    </row>
    <row r="90" spans="1:14">
      <c r="B90" s="6"/>
      <c r="C90" s="6"/>
      <c r="D90" s="21"/>
      <c r="E90" s="6"/>
    </row>
    <row r="91" spans="1:14">
      <c r="B91" s="6"/>
      <c r="C91" s="6"/>
      <c r="D91" s="6"/>
      <c r="E91" s="6"/>
    </row>
    <row r="92" spans="1:14">
      <c r="B92" s="70">
        <v>78554</v>
      </c>
      <c r="C92" s="70">
        <v>78293</v>
      </c>
      <c r="D92" s="70">
        <v>79025</v>
      </c>
      <c r="E92" s="70">
        <v>81090</v>
      </c>
      <c r="F92" s="71">
        <v>81090</v>
      </c>
      <c r="G92" s="70">
        <v>81079</v>
      </c>
      <c r="H92" s="71">
        <v>89229</v>
      </c>
      <c r="I92" s="71">
        <v>88964</v>
      </c>
      <c r="J92" s="71">
        <v>88964</v>
      </c>
      <c r="K92" s="71">
        <v>88563</v>
      </c>
      <c r="L92" s="71">
        <v>97279</v>
      </c>
      <c r="M92" s="71">
        <v>97277</v>
      </c>
    </row>
    <row r="93" spans="1:14">
      <c r="B93" s="6">
        <f>+B92*-1</f>
        <v>-78554</v>
      </c>
      <c r="C93" s="6">
        <f t="shared" ref="C93:M93" si="26">+C92*-1</f>
        <v>-78293</v>
      </c>
      <c r="D93" s="6">
        <f t="shared" si="26"/>
        <v>-79025</v>
      </c>
      <c r="E93" s="6">
        <f t="shared" si="26"/>
        <v>-81090</v>
      </c>
      <c r="F93" s="6">
        <f t="shared" si="26"/>
        <v>-81090</v>
      </c>
      <c r="G93" s="6">
        <f t="shared" si="26"/>
        <v>-81079</v>
      </c>
      <c r="H93" s="6">
        <f t="shared" si="26"/>
        <v>-89229</v>
      </c>
      <c r="I93" s="6">
        <f t="shared" si="26"/>
        <v>-88964</v>
      </c>
      <c r="J93" s="6">
        <f t="shared" si="26"/>
        <v>-88964</v>
      </c>
      <c r="K93" s="6">
        <f t="shared" si="26"/>
        <v>-88563</v>
      </c>
      <c r="L93" s="6">
        <f t="shared" si="26"/>
        <v>-97279</v>
      </c>
      <c r="M93" s="6">
        <f t="shared" si="26"/>
        <v>-97277</v>
      </c>
    </row>
    <row r="94" spans="1:14">
      <c r="B94" s="6"/>
      <c r="C94" s="6"/>
      <c r="D94" s="34"/>
      <c r="E94" s="6"/>
    </row>
    <row r="95" spans="1:14">
      <c r="B95" s="6"/>
      <c r="C95" s="6"/>
      <c r="D95" s="6"/>
      <c r="E95" s="6"/>
    </row>
    <row r="96" spans="1:14">
      <c r="B96" s="6"/>
      <c r="C96" s="6"/>
      <c r="D96" s="6"/>
      <c r="E96" s="6"/>
    </row>
  </sheetData>
  <pageMargins left="0.28000000000000003" right="0.25" top="0.99" bottom="0.75" header="0.63" footer="0.23"/>
  <pageSetup scale="61" orientation="landscape" r:id="rId1"/>
  <headerFooter alignWithMargins="0">
    <oddHeader xml:space="preserve">&amp;C&amp;"Arial,Bold"&amp;11 49ER SHOPS, INC.
&amp;UFY2017/2018 OPERATIONAL CASH FLOW </oddHeader>
    <oddFooter>&amp;CCash Flow - FY2017/2018
October 2017</oddFooter>
  </headerFooter>
  <legacyDrawing r:id="rId2"/>
</worksheet>
</file>

<file path=xl/worksheets/sheet2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FF00"/>
    <pageSetUpPr fitToPage="1"/>
  </sheetPr>
  <dimension ref="A1:AR97"/>
  <sheetViews>
    <sheetView showGridLines="0" zoomScale="90" zoomScaleNormal="90" workbookViewId="0">
      <pane xSplit="1" ySplit="3" topLeftCell="B54" activePane="bottomRight" state="frozen"/>
      <selection pane="topRight" activeCell="B72" sqref="B72"/>
      <selection pane="bottomLeft" activeCell="B72" sqref="B72"/>
      <selection pane="bottomRight" activeCell="I76" sqref="I76"/>
    </sheetView>
  </sheetViews>
  <sheetFormatPr defaultRowHeight="12.75"/>
  <cols>
    <col min="1" max="1" width="35.42578125" customWidth="1"/>
    <col min="2" max="2" width="14" customWidth="1"/>
    <col min="3" max="3" width="12.5703125" customWidth="1"/>
    <col min="4" max="4" width="12.140625" customWidth="1"/>
    <col min="5" max="5" width="13.5703125" customWidth="1"/>
    <col min="6" max="6" width="12.85546875" customWidth="1"/>
    <col min="7" max="7" width="12.5703125" style="6" customWidth="1"/>
    <col min="8" max="9" width="12.85546875" customWidth="1"/>
    <col min="10" max="11" width="12.140625" customWidth="1"/>
    <col min="12" max="13" width="12.85546875" customWidth="1"/>
    <col min="14" max="14" width="12.85546875" bestFit="1" customWidth="1"/>
    <col min="15" max="15" width="12.42578125" bestFit="1" customWidth="1"/>
    <col min="16" max="16" width="13.140625" bestFit="1" customWidth="1"/>
  </cols>
  <sheetData>
    <row r="1" spans="1:15" ht="13.5" thickBot="1">
      <c r="A1" s="46" t="s">
        <v>103</v>
      </c>
      <c r="E1" s="6"/>
      <c r="F1" s="6"/>
      <c r="J1" s="6"/>
      <c r="K1" s="6"/>
      <c r="N1" s="3"/>
    </row>
    <row r="2" spans="1:15">
      <c r="B2" s="45" t="s">
        <v>24</v>
      </c>
      <c r="C2" s="45" t="s">
        <v>24</v>
      </c>
      <c r="D2" s="45" t="s">
        <v>24</v>
      </c>
      <c r="E2" s="45" t="s">
        <v>24</v>
      </c>
      <c r="F2" s="45" t="s">
        <v>24</v>
      </c>
      <c r="G2" s="45" t="s">
        <v>24</v>
      </c>
      <c r="H2" s="48" t="s">
        <v>76</v>
      </c>
      <c r="I2" s="48" t="s">
        <v>76</v>
      </c>
      <c r="J2" s="48" t="s">
        <v>76</v>
      </c>
      <c r="K2" s="48" t="s">
        <v>76</v>
      </c>
      <c r="L2" s="48" t="s">
        <v>76</v>
      </c>
      <c r="M2" s="48" t="s">
        <v>76</v>
      </c>
      <c r="N2" s="28" t="s">
        <v>25</v>
      </c>
    </row>
    <row r="3" spans="1:15" s="5" customFormat="1">
      <c r="B3" s="11">
        <v>42918</v>
      </c>
      <c r="C3" s="11">
        <v>42949</v>
      </c>
      <c r="D3" s="11">
        <v>42980</v>
      </c>
      <c r="E3" s="11">
        <v>43010</v>
      </c>
      <c r="F3" s="11">
        <v>43041</v>
      </c>
      <c r="G3" s="11">
        <v>43071</v>
      </c>
      <c r="H3" s="11">
        <v>43102</v>
      </c>
      <c r="I3" s="11">
        <v>43133</v>
      </c>
      <c r="J3" s="11">
        <v>43161</v>
      </c>
      <c r="K3" s="11">
        <v>43192</v>
      </c>
      <c r="L3" s="11">
        <v>43222</v>
      </c>
      <c r="M3" s="11">
        <v>43253</v>
      </c>
      <c r="N3" s="57" t="s">
        <v>100</v>
      </c>
    </row>
    <row r="4" spans="1:15" hidden="1">
      <c r="A4" s="1" t="s">
        <v>27</v>
      </c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>
        <f>SUM(B4:M4)</f>
        <v>0</v>
      </c>
      <c r="O4" s="29"/>
    </row>
    <row r="5" spans="1:15" s="6" customFormat="1" hidden="1">
      <c r="A5" s="6" t="s">
        <v>28</v>
      </c>
      <c r="B5" s="53">
        <v>1102036</v>
      </c>
      <c r="C5" s="53">
        <v>2503975</v>
      </c>
      <c r="D5" s="53">
        <v>5591236</v>
      </c>
      <c r="E5" s="53">
        <v>3997731</v>
      </c>
      <c r="F5" s="53">
        <v>2408043</v>
      </c>
      <c r="G5" s="53">
        <v>2520652</v>
      </c>
      <c r="H5" s="53">
        <v>3785411</v>
      </c>
      <c r="I5" s="53">
        <v>3755825</v>
      </c>
      <c r="J5" s="53">
        <v>3335785</v>
      </c>
      <c r="K5" s="53">
        <v>2998356</v>
      </c>
      <c r="L5" s="53">
        <v>2831511</v>
      </c>
      <c r="M5" s="53">
        <v>1460406</v>
      </c>
      <c r="N5" s="12">
        <f>SUM(B5:M5)</f>
        <v>36290967</v>
      </c>
      <c r="O5" s="29"/>
    </row>
    <row r="6" spans="1:15" s="6" customFormat="1" hidden="1">
      <c r="A6" s="6" t="s">
        <v>29</v>
      </c>
      <c r="B6" s="53">
        <v>70448</v>
      </c>
      <c r="C6" s="53">
        <v>71234</v>
      </c>
      <c r="D6" s="53">
        <v>278603</v>
      </c>
      <c r="E6" s="53">
        <v>67286</v>
      </c>
      <c r="F6" s="53">
        <v>128754</v>
      </c>
      <c r="G6" s="53">
        <v>72857</v>
      </c>
      <c r="H6" s="53">
        <v>54728</v>
      </c>
      <c r="I6" s="53">
        <v>85911</v>
      </c>
      <c r="J6" s="53">
        <v>228813</v>
      </c>
      <c r="K6" s="53">
        <v>89970</v>
      </c>
      <c r="L6" s="53">
        <v>316808</v>
      </c>
      <c r="M6" s="53">
        <v>118439</v>
      </c>
      <c r="N6" s="7">
        <f>SUM(B6:M6)</f>
        <v>1583851</v>
      </c>
      <c r="O6" s="29"/>
    </row>
    <row r="7" spans="1:15" s="6" customFormat="1" hidden="1">
      <c r="B7" s="7"/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7">
        <f>SUM(B7:M7)</f>
        <v>0</v>
      </c>
      <c r="O7" s="29"/>
    </row>
    <row r="8" spans="1:15" s="6" customFormat="1" hidden="1">
      <c r="B8" s="15"/>
      <c r="C8" s="15"/>
      <c r="D8" s="15"/>
      <c r="E8" s="15"/>
      <c r="F8" s="15"/>
      <c r="G8" s="15"/>
      <c r="H8" s="15"/>
      <c r="I8" s="15"/>
      <c r="J8" s="15"/>
      <c r="K8" s="15"/>
      <c r="L8" s="15"/>
      <c r="M8" s="15"/>
      <c r="N8" s="15">
        <f>SUM(B8:M8)</f>
        <v>0</v>
      </c>
      <c r="O8" s="29"/>
    </row>
    <row r="9" spans="1:15" s="6" customFormat="1">
      <c r="A9" s="13" t="s">
        <v>30</v>
      </c>
      <c r="B9" s="12">
        <f t="shared" ref="B9:N9" si="0">SUM(B5:B8)</f>
        <v>1172484</v>
      </c>
      <c r="C9" s="12">
        <f t="shared" si="0"/>
        <v>2575209</v>
      </c>
      <c r="D9" s="12">
        <f t="shared" si="0"/>
        <v>5869839</v>
      </c>
      <c r="E9" s="12">
        <f t="shared" si="0"/>
        <v>4065017</v>
      </c>
      <c r="F9" s="12">
        <f t="shared" si="0"/>
        <v>2536797</v>
      </c>
      <c r="G9" s="12">
        <f t="shared" si="0"/>
        <v>2593509</v>
      </c>
      <c r="H9" s="12">
        <f t="shared" si="0"/>
        <v>3840139</v>
      </c>
      <c r="I9" s="12">
        <f t="shared" si="0"/>
        <v>3841736</v>
      </c>
      <c r="J9" s="12">
        <f t="shared" si="0"/>
        <v>3564598</v>
      </c>
      <c r="K9" s="12">
        <f t="shared" si="0"/>
        <v>3088326</v>
      </c>
      <c r="L9" s="12">
        <f t="shared" si="0"/>
        <v>3148319</v>
      </c>
      <c r="M9" s="12">
        <f t="shared" si="0"/>
        <v>1578845</v>
      </c>
      <c r="N9" s="12">
        <f t="shared" si="0"/>
        <v>37874818</v>
      </c>
      <c r="O9" s="29"/>
    </row>
    <row r="10" spans="1:15" s="6" customFormat="1" ht="6.75" customHeight="1"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29"/>
    </row>
    <row r="11" spans="1:15" s="6" customFormat="1">
      <c r="A11" s="13" t="s">
        <v>31</v>
      </c>
      <c r="B11" s="7">
        <f>99729+B56</f>
        <v>87140</v>
      </c>
      <c r="C11" s="7">
        <f>10280+C56</f>
        <v>-1332</v>
      </c>
      <c r="D11" s="7">
        <f>13117+D56</f>
        <v>926</v>
      </c>
      <c r="E11" s="7">
        <f>31849+E56</f>
        <v>21931</v>
      </c>
      <c r="F11" s="7">
        <f>9121+F56</f>
        <v>964</v>
      </c>
      <c r="G11" s="7">
        <f>96279+G56</f>
        <v>573.58000000000175</v>
      </c>
      <c r="H11" s="7">
        <v>0</v>
      </c>
      <c r="I11" s="7">
        <v>0</v>
      </c>
      <c r="J11" s="7">
        <v>0</v>
      </c>
      <c r="K11" s="7">
        <v>0</v>
      </c>
      <c r="L11" s="7">
        <v>0</v>
      </c>
      <c r="M11" s="7">
        <v>0</v>
      </c>
      <c r="N11" s="7">
        <f>SUM(B11:M11)</f>
        <v>110202.58</v>
      </c>
      <c r="O11" s="29"/>
    </row>
    <row r="12" spans="1:15" s="6" customFormat="1" ht="7.5" customHeight="1">
      <c r="B12" s="7"/>
      <c r="C12" s="7"/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  <c r="O12" s="29"/>
    </row>
    <row r="13" spans="1:15" s="6" customFormat="1" ht="13.5" thickBot="1">
      <c r="A13" s="13" t="s">
        <v>32</v>
      </c>
      <c r="B13" s="14">
        <f t="shared" ref="B13:N13" si="1">B9+B11</f>
        <v>1259624</v>
      </c>
      <c r="C13" s="14">
        <f>C9+C11</f>
        <v>2573877</v>
      </c>
      <c r="D13" s="14">
        <f t="shared" si="1"/>
        <v>5870765</v>
      </c>
      <c r="E13" s="14">
        <f t="shared" si="1"/>
        <v>4086948</v>
      </c>
      <c r="F13" s="14">
        <f t="shared" si="1"/>
        <v>2537761</v>
      </c>
      <c r="G13" s="14">
        <f t="shared" si="1"/>
        <v>2594082.58</v>
      </c>
      <c r="H13" s="14">
        <f t="shared" si="1"/>
        <v>3840139</v>
      </c>
      <c r="I13" s="14">
        <f t="shared" si="1"/>
        <v>3841736</v>
      </c>
      <c r="J13" s="14">
        <f t="shared" si="1"/>
        <v>3564598</v>
      </c>
      <c r="K13" s="14">
        <f t="shared" si="1"/>
        <v>3088326</v>
      </c>
      <c r="L13" s="14">
        <f t="shared" si="1"/>
        <v>3148319</v>
      </c>
      <c r="M13" s="14">
        <f t="shared" si="1"/>
        <v>1578845</v>
      </c>
      <c r="N13" s="14">
        <f t="shared" si="1"/>
        <v>37985020.579999998</v>
      </c>
      <c r="O13" s="29"/>
    </row>
    <row r="14" spans="1:15" s="6" customFormat="1" ht="13.5" thickTop="1">
      <c r="B14" s="7"/>
      <c r="C14" s="7"/>
      <c r="D14" s="7"/>
      <c r="E14" s="7"/>
      <c r="F14" s="7"/>
      <c r="G14" s="7"/>
      <c r="H14" s="7"/>
      <c r="I14" s="7"/>
      <c r="J14" s="7"/>
      <c r="K14" s="7"/>
      <c r="L14" s="7"/>
      <c r="M14" s="7"/>
    </row>
    <row r="15" spans="1:15" s="6" customFormat="1" hidden="1">
      <c r="A15" s="13" t="s">
        <v>33</v>
      </c>
      <c r="B15" s="7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</row>
    <row r="16" spans="1:15" s="6" customFormat="1" hidden="1">
      <c r="A16" s="6" t="s">
        <v>34</v>
      </c>
      <c r="B16" s="53">
        <v>444475</v>
      </c>
      <c r="C16" s="53">
        <v>1463048</v>
      </c>
      <c r="D16" s="53">
        <v>3023160</v>
      </c>
      <c r="E16" s="53">
        <v>1465276</v>
      </c>
      <c r="F16" s="53">
        <v>847496</v>
      </c>
      <c r="G16" s="53">
        <v>990047</v>
      </c>
      <c r="H16" s="53">
        <v>2341142</v>
      </c>
      <c r="I16" s="53">
        <v>1611344</v>
      </c>
      <c r="J16" s="53">
        <v>1215922</v>
      </c>
      <c r="K16" s="53">
        <v>1090469</v>
      </c>
      <c r="L16" s="53">
        <v>1126126</v>
      </c>
      <c r="M16" s="53">
        <v>849456</v>
      </c>
      <c r="N16" s="7">
        <f>SUM(B16:M16)</f>
        <v>16467961</v>
      </c>
      <c r="O16" s="29"/>
    </row>
    <row r="17" spans="1:44" s="6" customFormat="1" hidden="1">
      <c r="B17" s="27"/>
      <c r="C17" s="27"/>
      <c r="D17" s="27"/>
      <c r="E17" s="27"/>
      <c r="F17" s="27"/>
      <c r="G17" s="27"/>
      <c r="H17" s="27"/>
      <c r="I17" s="27"/>
      <c r="J17" s="27"/>
      <c r="K17" s="27"/>
      <c r="L17" s="27"/>
      <c r="M17" s="27"/>
      <c r="N17" s="7">
        <f>SUM(B17:M17)</f>
        <v>0</v>
      </c>
    </row>
    <row r="18" spans="1:44" s="6" customFormat="1" hidden="1">
      <c r="B18" s="7"/>
      <c r="C18" s="7"/>
      <c r="D18" s="7"/>
      <c r="E18" s="7"/>
      <c r="F18" s="7"/>
      <c r="G18" s="7"/>
      <c r="H18" s="7"/>
      <c r="I18" s="7"/>
      <c r="J18" s="7"/>
      <c r="K18" s="7"/>
      <c r="L18" s="7"/>
      <c r="M18" s="7"/>
      <c r="N18" s="7">
        <v>0</v>
      </c>
    </row>
    <row r="19" spans="1:44" s="6" customFormat="1" hidden="1">
      <c r="B19" s="15"/>
      <c r="C19" s="15"/>
      <c r="D19" s="15"/>
      <c r="E19" s="15"/>
      <c r="F19" s="15"/>
      <c r="G19" s="15"/>
      <c r="H19" s="15"/>
      <c r="I19" s="15"/>
      <c r="J19" s="15"/>
      <c r="K19" s="15"/>
      <c r="L19" s="15"/>
      <c r="M19" s="15"/>
      <c r="N19" s="15">
        <f>SUM(B19:M19)</f>
        <v>0</v>
      </c>
    </row>
    <row r="20" spans="1:44" s="6" customFormat="1">
      <c r="A20" s="13" t="s">
        <v>35</v>
      </c>
      <c r="B20" s="12">
        <f t="shared" ref="B20:N20" si="2">SUM(B16:B19)</f>
        <v>444475</v>
      </c>
      <c r="C20" s="12">
        <f t="shared" si="2"/>
        <v>1463048</v>
      </c>
      <c r="D20" s="12">
        <f t="shared" si="2"/>
        <v>3023160</v>
      </c>
      <c r="E20" s="12">
        <f t="shared" si="2"/>
        <v>1465276</v>
      </c>
      <c r="F20" s="12">
        <f t="shared" si="2"/>
        <v>847496</v>
      </c>
      <c r="G20" s="12">
        <f t="shared" si="2"/>
        <v>990047</v>
      </c>
      <c r="H20" s="12">
        <f t="shared" si="2"/>
        <v>2341142</v>
      </c>
      <c r="I20" s="12">
        <f t="shared" si="2"/>
        <v>1611344</v>
      </c>
      <c r="J20" s="12">
        <f t="shared" si="2"/>
        <v>1215922</v>
      </c>
      <c r="K20" s="12">
        <f t="shared" si="2"/>
        <v>1090469</v>
      </c>
      <c r="L20" s="12">
        <f t="shared" si="2"/>
        <v>1126126</v>
      </c>
      <c r="M20" s="12">
        <f t="shared" si="2"/>
        <v>849456</v>
      </c>
      <c r="N20" s="12">
        <f t="shared" si="2"/>
        <v>16467961</v>
      </c>
      <c r="O20" s="29"/>
    </row>
    <row r="21" spans="1:44" s="6" customFormat="1">
      <c r="B21" s="7"/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</row>
    <row r="22" spans="1:44" s="6" customFormat="1" hidden="1">
      <c r="A22" s="13" t="s">
        <v>36</v>
      </c>
      <c r="B22" s="7"/>
      <c r="C22" s="7"/>
      <c r="D22" s="7"/>
      <c r="E22" s="7"/>
      <c r="F22" s="7"/>
      <c r="G22" s="7"/>
      <c r="H22" s="7"/>
      <c r="I22" s="7"/>
      <c r="J22" s="7"/>
      <c r="K22" s="7"/>
      <c r="L22" s="7"/>
      <c r="M22" s="7"/>
    </row>
    <row r="23" spans="1:44" s="6" customFormat="1" hidden="1">
      <c r="A23" s="6" t="s">
        <v>37</v>
      </c>
      <c r="B23" s="7">
        <f t="shared" ref="B23:M26" si="3">+B5-B16</f>
        <v>657561</v>
      </c>
      <c r="C23" s="7">
        <f t="shared" si="3"/>
        <v>1040927</v>
      </c>
      <c r="D23" s="7">
        <f t="shared" si="3"/>
        <v>2568076</v>
      </c>
      <c r="E23" s="7">
        <f t="shared" si="3"/>
        <v>2532455</v>
      </c>
      <c r="F23" s="7">
        <f t="shared" si="3"/>
        <v>1560547</v>
      </c>
      <c r="G23" s="7">
        <f t="shared" si="3"/>
        <v>1530605</v>
      </c>
      <c r="H23" s="7">
        <f t="shared" si="3"/>
        <v>1444269</v>
      </c>
      <c r="I23" s="7">
        <f t="shared" si="3"/>
        <v>2144481</v>
      </c>
      <c r="J23" s="7">
        <f t="shared" si="3"/>
        <v>2119863</v>
      </c>
      <c r="K23" s="7">
        <f t="shared" si="3"/>
        <v>1907887</v>
      </c>
      <c r="L23" s="7">
        <f t="shared" si="3"/>
        <v>1705385</v>
      </c>
      <c r="M23" s="7">
        <f t="shared" si="3"/>
        <v>610950</v>
      </c>
      <c r="N23" s="7">
        <f>SUM(B23:M23)</f>
        <v>19823006</v>
      </c>
      <c r="O23" s="29"/>
    </row>
    <row r="24" spans="1:44" s="6" customFormat="1" hidden="1">
      <c r="A24" s="6" t="s">
        <v>37</v>
      </c>
      <c r="B24" s="7">
        <f t="shared" si="3"/>
        <v>70448</v>
      </c>
      <c r="C24" s="7">
        <f t="shared" si="3"/>
        <v>71234</v>
      </c>
      <c r="D24" s="7">
        <f t="shared" si="3"/>
        <v>278603</v>
      </c>
      <c r="E24" s="7">
        <f t="shared" si="3"/>
        <v>67286</v>
      </c>
      <c r="F24" s="7">
        <f t="shared" si="3"/>
        <v>128754</v>
      </c>
      <c r="G24" s="7">
        <f t="shared" si="3"/>
        <v>72857</v>
      </c>
      <c r="H24" s="7">
        <f t="shared" si="3"/>
        <v>54728</v>
      </c>
      <c r="I24" s="7">
        <f t="shared" si="3"/>
        <v>85911</v>
      </c>
      <c r="J24" s="7">
        <f t="shared" si="3"/>
        <v>228813</v>
      </c>
      <c r="K24" s="7">
        <f t="shared" si="3"/>
        <v>89970</v>
      </c>
      <c r="L24" s="7">
        <f t="shared" si="3"/>
        <v>316808</v>
      </c>
      <c r="M24" s="7">
        <f t="shared" si="3"/>
        <v>118439</v>
      </c>
      <c r="N24" s="7">
        <f>SUM(B24:M24)</f>
        <v>1583851</v>
      </c>
      <c r="O24" s="29"/>
    </row>
    <row r="25" spans="1:44" s="6" customFormat="1" hidden="1">
      <c r="A25" s="6" t="s">
        <v>38</v>
      </c>
      <c r="B25" s="7">
        <f t="shared" si="3"/>
        <v>0</v>
      </c>
      <c r="C25" s="7">
        <f t="shared" si="3"/>
        <v>0</v>
      </c>
      <c r="D25" s="7">
        <f t="shared" si="3"/>
        <v>0</v>
      </c>
      <c r="E25" s="7">
        <f t="shared" si="3"/>
        <v>0</v>
      </c>
      <c r="F25" s="7">
        <f t="shared" si="3"/>
        <v>0</v>
      </c>
      <c r="G25" s="7">
        <f t="shared" si="3"/>
        <v>0</v>
      </c>
      <c r="H25" s="7">
        <f t="shared" si="3"/>
        <v>0</v>
      </c>
      <c r="I25" s="7">
        <f t="shared" si="3"/>
        <v>0</v>
      </c>
      <c r="J25" s="7">
        <f t="shared" si="3"/>
        <v>0</v>
      </c>
      <c r="K25" s="7">
        <f t="shared" si="3"/>
        <v>0</v>
      </c>
      <c r="L25" s="7">
        <f t="shared" si="3"/>
        <v>0</v>
      </c>
      <c r="M25" s="7">
        <f t="shared" si="3"/>
        <v>0</v>
      </c>
      <c r="N25" s="7">
        <f>SUM(B25:M25)</f>
        <v>0</v>
      </c>
      <c r="O25" s="29"/>
    </row>
    <row r="26" spans="1:44" s="6" customFormat="1" hidden="1">
      <c r="A26" s="6" t="s">
        <v>38</v>
      </c>
      <c r="B26" s="15">
        <f t="shared" si="3"/>
        <v>0</v>
      </c>
      <c r="C26" s="15">
        <f t="shared" si="3"/>
        <v>0</v>
      </c>
      <c r="D26" s="15">
        <f t="shared" si="3"/>
        <v>0</v>
      </c>
      <c r="E26" s="15">
        <f t="shared" si="3"/>
        <v>0</v>
      </c>
      <c r="F26" s="15">
        <f t="shared" si="3"/>
        <v>0</v>
      </c>
      <c r="G26" s="15">
        <f t="shared" si="3"/>
        <v>0</v>
      </c>
      <c r="H26" s="15">
        <f t="shared" si="3"/>
        <v>0</v>
      </c>
      <c r="I26" s="15">
        <f t="shared" si="3"/>
        <v>0</v>
      </c>
      <c r="J26" s="15">
        <f t="shared" si="3"/>
        <v>0</v>
      </c>
      <c r="K26" s="15">
        <f t="shared" si="3"/>
        <v>0</v>
      </c>
      <c r="L26" s="15">
        <f t="shared" si="3"/>
        <v>0</v>
      </c>
      <c r="M26" s="15">
        <f t="shared" si="3"/>
        <v>0</v>
      </c>
      <c r="N26" s="15">
        <f>SUM(B26:M26)</f>
        <v>0</v>
      </c>
      <c r="O26" s="29"/>
    </row>
    <row r="27" spans="1:44" s="6" customFormat="1">
      <c r="A27" s="13" t="s">
        <v>39</v>
      </c>
      <c r="B27" s="12">
        <f t="shared" ref="B27:N27" si="4">SUM(B23:B26)</f>
        <v>728009</v>
      </c>
      <c r="C27" s="12">
        <f t="shared" si="4"/>
        <v>1112161</v>
      </c>
      <c r="D27" s="12">
        <f t="shared" si="4"/>
        <v>2846679</v>
      </c>
      <c r="E27" s="12">
        <f t="shared" si="4"/>
        <v>2599741</v>
      </c>
      <c r="F27" s="12">
        <f t="shared" si="4"/>
        <v>1689301</v>
      </c>
      <c r="G27" s="12">
        <f t="shared" si="4"/>
        <v>1603462</v>
      </c>
      <c r="H27" s="12">
        <f t="shared" si="4"/>
        <v>1498997</v>
      </c>
      <c r="I27" s="12">
        <f t="shared" si="4"/>
        <v>2230392</v>
      </c>
      <c r="J27" s="12">
        <f t="shared" si="4"/>
        <v>2348676</v>
      </c>
      <c r="K27" s="12">
        <f t="shared" si="4"/>
        <v>1997857</v>
      </c>
      <c r="L27" s="12">
        <f t="shared" si="4"/>
        <v>2022193</v>
      </c>
      <c r="M27" s="12">
        <f>SUM(M23:M26)</f>
        <v>729389</v>
      </c>
      <c r="N27" s="12">
        <f t="shared" si="4"/>
        <v>21406857</v>
      </c>
      <c r="O27" s="29"/>
    </row>
    <row r="28" spans="1:44" s="6" customFormat="1" ht="14.45" customHeight="1">
      <c r="B28" s="73">
        <f>+B27/B9</f>
        <v>0.620911671289331</v>
      </c>
      <c r="C28" s="73">
        <f t="shared" ref="C28:N28" si="5">+C27/C9</f>
        <v>0.43187213154349802</v>
      </c>
      <c r="D28" s="73">
        <f t="shared" si="5"/>
        <v>0.48496713453299145</v>
      </c>
      <c r="E28" s="73">
        <f t="shared" si="5"/>
        <v>0.63954000684375978</v>
      </c>
      <c r="F28" s="73">
        <f t="shared" si="5"/>
        <v>0.66591887328785082</v>
      </c>
      <c r="G28" s="73">
        <f t="shared" si="5"/>
        <v>0.6182596628737359</v>
      </c>
      <c r="H28" s="73">
        <f t="shared" si="5"/>
        <v>0.39034967223842676</v>
      </c>
      <c r="I28" s="73">
        <f t="shared" si="5"/>
        <v>0.58056878452866101</v>
      </c>
      <c r="J28" s="73">
        <f t="shared" si="5"/>
        <v>0.65888944559807305</v>
      </c>
      <c r="K28" s="73">
        <f t="shared" si="5"/>
        <v>0.64690612325253227</v>
      </c>
      <c r="L28" s="73">
        <f t="shared" si="5"/>
        <v>0.64230880034710591</v>
      </c>
      <c r="M28" s="73">
        <f t="shared" si="5"/>
        <v>0.4619763181312922</v>
      </c>
      <c r="N28" s="73">
        <f t="shared" si="5"/>
        <v>0.56520026050026173</v>
      </c>
    </row>
    <row r="29" spans="1:44" s="6" customFormat="1" hidden="1">
      <c r="A29" s="13" t="s">
        <v>40</v>
      </c>
      <c r="B29" s="7"/>
      <c r="C29" s="7"/>
      <c r="D29" s="7"/>
      <c r="E29" s="7"/>
      <c r="F29" s="7"/>
      <c r="G29" s="7"/>
      <c r="H29" s="7"/>
      <c r="I29" s="7"/>
      <c r="J29" s="7"/>
      <c r="K29" s="7"/>
      <c r="L29" s="7"/>
      <c r="M29" s="7"/>
    </row>
    <row r="30" spans="1:44" s="6" customFormat="1" hidden="1">
      <c r="A30" s="6" t="s">
        <v>93</v>
      </c>
      <c r="B30" s="53">
        <v>415779</v>
      </c>
      <c r="C30" s="53">
        <v>561495</v>
      </c>
      <c r="D30" s="53">
        <v>742338</v>
      </c>
      <c r="E30" s="53">
        <v>829683</v>
      </c>
      <c r="F30" s="53">
        <v>607435</v>
      </c>
      <c r="G30" s="53">
        <v>631393</v>
      </c>
      <c r="H30" s="53">
        <v>602418</v>
      </c>
      <c r="I30" s="53">
        <v>684805</v>
      </c>
      <c r="J30" s="53">
        <v>688935</v>
      </c>
      <c r="K30" s="53">
        <v>755862</v>
      </c>
      <c r="L30" s="53">
        <v>642868</v>
      </c>
      <c r="M30" s="53">
        <v>459430</v>
      </c>
      <c r="N30" s="7">
        <f>SUM(B30:M30)</f>
        <v>7622441</v>
      </c>
      <c r="O30" s="29"/>
    </row>
    <row r="31" spans="1:44" s="6" customFormat="1" hidden="1">
      <c r="A31" s="6" t="s">
        <v>42</v>
      </c>
      <c r="B31" s="53">
        <v>245383</v>
      </c>
      <c r="C31" s="53">
        <v>212042</v>
      </c>
      <c r="D31" s="53">
        <v>203129</v>
      </c>
      <c r="E31" s="53">
        <v>235434</v>
      </c>
      <c r="F31" s="53">
        <v>203129</v>
      </c>
      <c r="G31" s="53">
        <v>209186</v>
      </c>
      <c r="H31" s="53">
        <v>210145</v>
      </c>
      <c r="I31" s="53">
        <v>198285</v>
      </c>
      <c r="J31" s="53">
        <v>198545</v>
      </c>
      <c r="K31" s="53">
        <v>226530</v>
      </c>
      <c r="L31" s="53">
        <v>194439</v>
      </c>
      <c r="M31" s="53">
        <v>198004</v>
      </c>
      <c r="N31" s="7">
        <f>SUM(B31:M31)</f>
        <v>2534251</v>
      </c>
      <c r="O31" s="29"/>
    </row>
    <row r="32" spans="1:44" s="6" customFormat="1" ht="15" hidden="1">
      <c r="A32" s="6" t="s">
        <v>38</v>
      </c>
      <c r="B32" s="68"/>
      <c r="C32" s="68"/>
      <c r="D32" s="68"/>
      <c r="E32" s="68"/>
      <c r="F32" s="68"/>
      <c r="G32" s="68"/>
      <c r="H32" s="68"/>
      <c r="I32" s="68"/>
      <c r="J32" s="68"/>
      <c r="K32" s="68"/>
      <c r="L32" s="68"/>
      <c r="M32" s="68"/>
      <c r="N32" s="7">
        <f>SUM(B32:M32)</f>
        <v>0</v>
      </c>
      <c r="O32" s="29"/>
      <c r="P32" s="6">
        <f>+B32*-1</f>
        <v>0</v>
      </c>
      <c r="Q32" s="6">
        <f t="shared" ref="Q32:AF33" si="6">+C32*-1</f>
        <v>0</v>
      </c>
      <c r="R32" s="6">
        <f t="shared" si="6"/>
        <v>0</v>
      </c>
      <c r="S32" s="6">
        <f t="shared" si="6"/>
        <v>0</v>
      </c>
      <c r="T32" s="6">
        <f t="shared" si="6"/>
        <v>0</v>
      </c>
      <c r="U32" s="6">
        <f t="shared" si="6"/>
        <v>0</v>
      </c>
      <c r="V32" s="6">
        <f t="shared" si="6"/>
        <v>0</v>
      </c>
      <c r="W32" s="6">
        <f t="shared" si="6"/>
        <v>0</v>
      </c>
      <c r="X32" s="6">
        <f t="shared" si="6"/>
        <v>0</v>
      </c>
      <c r="Y32" s="6">
        <f t="shared" si="6"/>
        <v>0</v>
      </c>
      <c r="Z32" s="6">
        <f t="shared" si="6"/>
        <v>0</v>
      </c>
      <c r="AA32" s="6">
        <f t="shared" si="6"/>
        <v>0</v>
      </c>
      <c r="AB32" s="6">
        <f t="shared" si="6"/>
        <v>0</v>
      </c>
      <c r="AC32" s="6">
        <f t="shared" si="6"/>
        <v>0</v>
      </c>
      <c r="AD32" s="6">
        <f t="shared" si="6"/>
        <v>0</v>
      </c>
      <c r="AE32" s="6">
        <f t="shared" si="6"/>
        <v>0</v>
      </c>
      <c r="AF32" s="6">
        <f t="shared" si="6"/>
        <v>0</v>
      </c>
      <c r="AG32" s="6">
        <f t="shared" ref="AG32:AR33" si="7">+S32*-1</f>
        <v>0</v>
      </c>
      <c r="AH32" s="6">
        <f t="shared" si="7"/>
        <v>0</v>
      </c>
      <c r="AI32" s="6">
        <f t="shared" si="7"/>
        <v>0</v>
      </c>
      <c r="AJ32" s="6">
        <f t="shared" si="7"/>
        <v>0</v>
      </c>
      <c r="AK32" s="6">
        <f t="shared" si="7"/>
        <v>0</v>
      </c>
      <c r="AL32" s="6">
        <f t="shared" si="7"/>
        <v>0</v>
      </c>
      <c r="AM32" s="6">
        <f t="shared" si="7"/>
        <v>0</v>
      </c>
      <c r="AN32" s="6">
        <f t="shared" si="7"/>
        <v>0</v>
      </c>
      <c r="AO32" s="6">
        <f t="shared" si="7"/>
        <v>0</v>
      </c>
      <c r="AP32" s="6">
        <f t="shared" si="7"/>
        <v>0</v>
      </c>
      <c r="AQ32" s="6">
        <f t="shared" si="7"/>
        <v>0</v>
      </c>
      <c r="AR32" s="6">
        <f t="shared" si="7"/>
        <v>0</v>
      </c>
    </row>
    <row r="33" spans="1:44" s="6" customFormat="1" hidden="1">
      <c r="B33" s="15"/>
      <c r="C33" s="15"/>
      <c r="D33" s="15"/>
      <c r="E33" s="15"/>
      <c r="F33" s="15"/>
      <c r="G33" s="15"/>
      <c r="H33" s="15"/>
      <c r="I33" s="15"/>
      <c r="J33" s="15"/>
      <c r="K33" s="15"/>
      <c r="L33" s="15"/>
      <c r="M33" s="15"/>
      <c r="N33" s="15">
        <f>SUM(B33:M33)</f>
        <v>0</v>
      </c>
      <c r="O33" s="29"/>
      <c r="Q33" s="6">
        <f t="shared" si="6"/>
        <v>0</v>
      </c>
      <c r="R33" s="6">
        <f t="shared" si="6"/>
        <v>0</v>
      </c>
      <c r="S33" s="6">
        <f t="shared" si="6"/>
        <v>0</v>
      </c>
      <c r="T33" s="6">
        <f t="shared" si="6"/>
        <v>0</v>
      </c>
      <c r="U33" s="6">
        <f t="shared" si="6"/>
        <v>0</v>
      </c>
      <c r="V33" s="6">
        <f t="shared" si="6"/>
        <v>0</v>
      </c>
      <c r="W33" s="6">
        <f t="shared" si="6"/>
        <v>0</v>
      </c>
      <c r="X33" s="6">
        <f t="shared" si="6"/>
        <v>0</v>
      </c>
      <c r="Y33" s="6">
        <f t="shared" si="6"/>
        <v>0</v>
      </c>
      <c r="Z33" s="6">
        <f t="shared" si="6"/>
        <v>0</v>
      </c>
      <c r="AA33" s="6">
        <f t="shared" si="6"/>
        <v>0</v>
      </c>
      <c r="AB33" s="6">
        <f t="shared" si="6"/>
        <v>0</v>
      </c>
      <c r="AC33" s="6">
        <f t="shared" si="6"/>
        <v>0</v>
      </c>
      <c r="AD33" s="6">
        <f t="shared" si="6"/>
        <v>0</v>
      </c>
      <c r="AE33" s="6">
        <f t="shared" si="6"/>
        <v>0</v>
      </c>
      <c r="AF33" s="6">
        <f t="shared" si="6"/>
        <v>0</v>
      </c>
      <c r="AG33" s="6">
        <f t="shared" si="7"/>
        <v>0</v>
      </c>
      <c r="AH33" s="6">
        <f t="shared" si="7"/>
        <v>0</v>
      </c>
      <c r="AI33" s="6">
        <f t="shared" si="7"/>
        <v>0</v>
      </c>
      <c r="AJ33" s="6">
        <f t="shared" si="7"/>
        <v>0</v>
      </c>
      <c r="AK33" s="6">
        <f t="shared" si="7"/>
        <v>0</v>
      </c>
      <c r="AL33" s="6">
        <f t="shared" si="7"/>
        <v>0</v>
      </c>
      <c r="AM33" s="6">
        <f t="shared" si="7"/>
        <v>0</v>
      </c>
      <c r="AN33" s="6">
        <f t="shared" si="7"/>
        <v>0</v>
      </c>
      <c r="AO33" s="6">
        <f t="shared" si="7"/>
        <v>0</v>
      </c>
      <c r="AP33" s="6">
        <f t="shared" si="7"/>
        <v>0</v>
      </c>
      <c r="AQ33" s="6">
        <f t="shared" si="7"/>
        <v>0</v>
      </c>
      <c r="AR33" s="6">
        <f t="shared" si="7"/>
        <v>0</v>
      </c>
    </row>
    <row r="34" spans="1:44" s="6" customFormat="1">
      <c r="A34" s="13" t="s">
        <v>43</v>
      </c>
      <c r="B34" s="12">
        <f t="shared" ref="B34:N34" si="8">SUM(B30:B33)</f>
        <v>661162</v>
      </c>
      <c r="C34" s="12">
        <f t="shared" si="8"/>
        <v>773537</v>
      </c>
      <c r="D34" s="12">
        <f t="shared" si="8"/>
        <v>945467</v>
      </c>
      <c r="E34" s="12">
        <f t="shared" si="8"/>
        <v>1065117</v>
      </c>
      <c r="F34" s="12">
        <f t="shared" si="8"/>
        <v>810564</v>
      </c>
      <c r="G34" s="12">
        <f t="shared" si="8"/>
        <v>840579</v>
      </c>
      <c r="H34" s="12">
        <f t="shared" si="8"/>
        <v>812563</v>
      </c>
      <c r="I34" s="12">
        <f t="shared" si="8"/>
        <v>883090</v>
      </c>
      <c r="J34" s="12">
        <f t="shared" si="8"/>
        <v>887480</v>
      </c>
      <c r="K34" s="12">
        <f t="shared" si="8"/>
        <v>982392</v>
      </c>
      <c r="L34" s="12">
        <f t="shared" si="8"/>
        <v>837307</v>
      </c>
      <c r="M34" s="12">
        <f t="shared" si="8"/>
        <v>657434</v>
      </c>
      <c r="N34" s="12">
        <f t="shared" si="8"/>
        <v>10156692</v>
      </c>
      <c r="O34" s="29"/>
    </row>
    <row r="35" spans="1:44" s="6" customFormat="1">
      <c r="B35" s="7"/>
      <c r="C35" s="7"/>
      <c r="D35" s="7"/>
      <c r="E35" s="7"/>
      <c r="F35" s="7"/>
      <c r="G35" s="7"/>
      <c r="H35" s="7"/>
      <c r="I35" s="7"/>
      <c r="J35" s="7"/>
      <c r="K35" s="7"/>
      <c r="L35" s="7"/>
      <c r="M35" s="7"/>
    </row>
    <row r="36" spans="1:44" s="6" customFormat="1" hidden="1">
      <c r="A36" s="13" t="s">
        <v>44</v>
      </c>
      <c r="B36" s="7"/>
      <c r="C36" s="7"/>
      <c r="D36" s="7"/>
      <c r="E36" s="7"/>
      <c r="F36" s="7"/>
      <c r="G36" s="7"/>
      <c r="H36" s="7"/>
      <c r="I36" s="7"/>
      <c r="J36" s="7"/>
      <c r="K36" s="7"/>
      <c r="L36" s="7"/>
      <c r="M36" s="7"/>
    </row>
    <row r="37" spans="1:44" s="6" customFormat="1" hidden="1">
      <c r="A37" s="6" t="s">
        <v>45</v>
      </c>
      <c r="B37" s="53">
        <v>1168701</v>
      </c>
      <c r="C37" s="53">
        <v>1244422</v>
      </c>
      <c r="D37" s="53">
        <v>1461507</v>
      </c>
      <c r="E37" s="53">
        <v>1790911</v>
      </c>
      <c r="F37" s="53">
        <v>1370885</v>
      </c>
      <c r="G37" s="66">
        <v>1564207</v>
      </c>
      <c r="H37" s="66">
        <v>1275000</v>
      </c>
      <c r="I37" s="66">
        <v>1496169</v>
      </c>
      <c r="J37" s="66">
        <v>1531501</v>
      </c>
      <c r="K37" s="53">
        <v>1582030</v>
      </c>
      <c r="L37" s="53">
        <v>1425841</v>
      </c>
      <c r="M37" s="53">
        <v>1274220</v>
      </c>
      <c r="N37" s="7">
        <f>SUM(B37:M37)</f>
        <v>17185394</v>
      </c>
      <c r="O37" s="29"/>
      <c r="P37" s="69"/>
    </row>
    <row r="38" spans="1:44" s="6" customFormat="1" hidden="1">
      <c r="A38" s="6" t="s">
        <v>46</v>
      </c>
      <c r="B38" s="7">
        <f>-B34</f>
        <v>-661162</v>
      </c>
      <c r="C38" s="7">
        <f t="shared" ref="C38:M38" si="9">-C34</f>
        <v>-773537</v>
      </c>
      <c r="D38" s="7">
        <f t="shared" si="9"/>
        <v>-945467</v>
      </c>
      <c r="E38" s="7">
        <f t="shared" si="9"/>
        <v>-1065117</v>
      </c>
      <c r="F38" s="7">
        <f t="shared" si="9"/>
        <v>-810564</v>
      </c>
      <c r="G38" s="7">
        <f t="shared" si="9"/>
        <v>-840579</v>
      </c>
      <c r="H38" s="7">
        <f t="shared" si="9"/>
        <v>-812563</v>
      </c>
      <c r="I38" s="7">
        <f t="shared" si="9"/>
        <v>-883090</v>
      </c>
      <c r="J38" s="7">
        <f t="shared" si="9"/>
        <v>-887480</v>
      </c>
      <c r="K38" s="7">
        <f t="shared" si="9"/>
        <v>-982392</v>
      </c>
      <c r="L38" s="7">
        <f t="shared" si="9"/>
        <v>-837307</v>
      </c>
      <c r="M38" s="7">
        <f t="shared" si="9"/>
        <v>-657434</v>
      </c>
      <c r="N38" s="7">
        <f>SUM(B38:M38)</f>
        <v>-10156692</v>
      </c>
      <c r="O38" s="29"/>
    </row>
    <row r="39" spans="1:44" s="6" customFormat="1" hidden="1">
      <c r="A39" s="6" t="s">
        <v>47</v>
      </c>
      <c r="B39" s="72">
        <v>-77886</v>
      </c>
      <c r="C39" s="72">
        <v>-77317</v>
      </c>
      <c r="D39" s="72">
        <v>-76975</v>
      </c>
      <c r="E39" s="72">
        <v>-75957</v>
      </c>
      <c r="F39" s="72">
        <v>-75944</v>
      </c>
      <c r="G39" s="72">
        <v>-75944</v>
      </c>
      <c r="H39" s="72">
        <v>-89229</v>
      </c>
      <c r="I39" s="72">
        <v>-88964</v>
      </c>
      <c r="J39" s="72">
        <v>-88964</v>
      </c>
      <c r="K39" s="72">
        <v>-88563</v>
      </c>
      <c r="L39" s="72">
        <v>-97279</v>
      </c>
      <c r="M39" s="72">
        <v>-97277</v>
      </c>
      <c r="N39" s="7">
        <f>SUM(B39:M39)</f>
        <v>-1010299</v>
      </c>
      <c r="O39" s="29"/>
    </row>
    <row r="40" spans="1:44" s="6" customFormat="1" hidden="1">
      <c r="A40" s="6" t="s">
        <v>78</v>
      </c>
      <c r="B40" s="53"/>
      <c r="C40" s="53"/>
      <c r="D40" s="53"/>
      <c r="E40" s="53"/>
      <c r="F40" s="53"/>
      <c r="G40" s="53"/>
      <c r="H40" s="53"/>
      <c r="I40" s="53"/>
      <c r="J40" s="53"/>
      <c r="K40" s="53"/>
      <c r="L40" s="53"/>
      <c r="M40" s="53"/>
      <c r="N40" s="7">
        <f>SUM(B40:M40)</f>
        <v>0</v>
      </c>
      <c r="O40" s="29"/>
    </row>
    <row r="41" spans="1:44" s="6" customFormat="1" hidden="1">
      <c r="A41" s="6" t="s">
        <v>48</v>
      </c>
      <c r="B41" s="60">
        <v>-8350</v>
      </c>
      <c r="C41" s="60">
        <v>-8250</v>
      </c>
      <c r="D41" s="60">
        <v>-8350</v>
      </c>
      <c r="E41" s="60">
        <v>-8350</v>
      </c>
      <c r="F41" s="60">
        <v>-8350</v>
      </c>
      <c r="G41" s="60">
        <v>-8350</v>
      </c>
      <c r="H41" s="60">
        <v>-8350</v>
      </c>
      <c r="I41" s="60">
        <v>-8350</v>
      </c>
      <c r="J41" s="60">
        <v>-8350</v>
      </c>
      <c r="K41" s="60">
        <v>-8350</v>
      </c>
      <c r="L41" s="60">
        <v>-8350</v>
      </c>
      <c r="M41" s="60">
        <v>-30300</v>
      </c>
      <c r="N41" s="15">
        <f>SUM(B41:M41)</f>
        <v>-122050</v>
      </c>
      <c r="O41" s="29"/>
    </row>
    <row r="42" spans="1:44" s="6" customFormat="1">
      <c r="A42" s="13" t="s">
        <v>49</v>
      </c>
      <c r="B42" s="12">
        <f t="shared" ref="B42:N42" si="10">SUM(B37:B41)</f>
        <v>421303</v>
      </c>
      <c r="C42" s="12">
        <f t="shared" si="10"/>
        <v>385318</v>
      </c>
      <c r="D42" s="12">
        <f t="shared" si="10"/>
        <v>430715</v>
      </c>
      <c r="E42" s="12">
        <f t="shared" si="10"/>
        <v>641487</v>
      </c>
      <c r="F42" s="12">
        <f t="shared" si="10"/>
        <v>476027</v>
      </c>
      <c r="G42" s="12">
        <f t="shared" si="10"/>
        <v>639334</v>
      </c>
      <c r="H42" s="12">
        <f t="shared" si="10"/>
        <v>364858</v>
      </c>
      <c r="I42" s="12">
        <f t="shared" si="10"/>
        <v>515765</v>
      </c>
      <c r="J42" s="12">
        <f t="shared" si="10"/>
        <v>546707</v>
      </c>
      <c r="K42" s="12">
        <f t="shared" si="10"/>
        <v>502725</v>
      </c>
      <c r="L42" s="12">
        <f t="shared" si="10"/>
        <v>482905</v>
      </c>
      <c r="M42" s="12">
        <f t="shared" si="10"/>
        <v>489209</v>
      </c>
      <c r="N42" s="12">
        <f t="shared" si="10"/>
        <v>5896353</v>
      </c>
      <c r="O42" s="29"/>
    </row>
    <row r="43" spans="1:44">
      <c r="A43" s="1"/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2"/>
      <c r="N43" s="12"/>
      <c r="O43" s="6"/>
    </row>
    <row r="44" spans="1:44" hidden="1">
      <c r="A44" s="13" t="s">
        <v>50</v>
      </c>
      <c r="B44" s="53">
        <v>296581</v>
      </c>
      <c r="C44" s="53">
        <v>244043</v>
      </c>
      <c r="D44" s="53">
        <v>272075</v>
      </c>
      <c r="E44" s="53">
        <v>331396</v>
      </c>
      <c r="F44" s="53">
        <v>346084</v>
      </c>
      <c r="G44" s="53">
        <v>278977</v>
      </c>
      <c r="H44" s="53">
        <v>357356</v>
      </c>
      <c r="I44" s="53">
        <v>287747</v>
      </c>
      <c r="J44" s="53">
        <v>322520</v>
      </c>
      <c r="K44" s="53">
        <v>378879</v>
      </c>
      <c r="L44" s="53">
        <v>307614</v>
      </c>
      <c r="M44" s="53">
        <v>705082</v>
      </c>
      <c r="N44" s="12">
        <f>SUM(B44:M44)</f>
        <v>4128354</v>
      </c>
      <c r="O44" s="29"/>
    </row>
    <row r="45" spans="1:44" hidden="1">
      <c r="A45" s="6" t="s">
        <v>51</v>
      </c>
      <c r="B45" s="22"/>
      <c r="C45" s="22"/>
      <c r="D45" s="22"/>
      <c r="E45" s="22"/>
      <c r="F45" s="22"/>
      <c r="G45" s="22"/>
      <c r="H45" s="22"/>
      <c r="I45" s="22"/>
      <c r="J45" s="22"/>
      <c r="K45" s="22"/>
      <c r="L45" s="22"/>
      <c r="M45" s="22"/>
      <c r="N45" s="22">
        <f>SUM(B45:M45)</f>
        <v>0</v>
      </c>
      <c r="O45" s="29"/>
    </row>
    <row r="46" spans="1:44">
      <c r="A46" s="1" t="s">
        <v>50</v>
      </c>
      <c r="B46" s="12">
        <f>SUM(B44:B45)</f>
        <v>296581</v>
      </c>
      <c r="C46" s="12">
        <f>SUM(C44:C45)</f>
        <v>244043</v>
      </c>
      <c r="D46" s="12">
        <f t="shared" ref="D46:N46" si="11">SUM(D44:D45)</f>
        <v>272075</v>
      </c>
      <c r="E46" s="12">
        <f t="shared" si="11"/>
        <v>331396</v>
      </c>
      <c r="F46" s="12">
        <f t="shared" si="11"/>
        <v>346084</v>
      </c>
      <c r="G46" s="12">
        <f t="shared" si="11"/>
        <v>278977</v>
      </c>
      <c r="H46" s="12">
        <f t="shared" si="11"/>
        <v>357356</v>
      </c>
      <c r="I46" s="12">
        <f t="shared" si="11"/>
        <v>287747</v>
      </c>
      <c r="J46" s="12">
        <f t="shared" si="11"/>
        <v>322520</v>
      </c>
      <c r="K46" s="12">
        <f t="shared" si="11"/>
        <v>378879</v>
      </c>
      <c r="L46" s="12">
        <f t="shared" si="11"/>
        <v>307614</v>
      </c>
      <c r="M46" s="12">
        <f t="shared" si="11"/>
        <v>705082</v>
      </c>
      <c r="N46" s="12">
        <f t="shared" si="11"/>
        <v>4128354</v>
      </c>
      <c r="O46" s="29"/>
    </row>
    <row r="47" spans="1:44">
      <c r="B47" s="7"/>
      <c r="C47" s="7"/>
      <c r="D47" s="7"/>
      <c r="E47" s="7"/>
      <c r="F47" s="7"/>
      <c r="G47" s="7"/>
      <c r="H47" s="7"/>
      <c r="I47" s="7"/>
      <c r="J47" s="7"/>
      <c r="K47" s="6"/>
      <c r="L47" s="6"/>
      <c r="M47" s="6"/>
      <c r="N47" s="6"/>
      <c r="O47" s="6"/>
    </row>
    <row r="48" spans="1:44">
      <c r="A48" s="13" t="s">
        <v>52</v>
      </c>
      <c r="B48" s="19">
        <f t="shared" ref="B48:N48" si="12">+B20+B34+B42+B46</f>
        <v>1823521</v>
      </c>
      <c r="C48" s="19">
        <f t="shared" si="12"/>
        <v>2865946</v>
      </c>
      <c r="D48" s="19">
        <f t="shared" si="12"/>
        <v>4671417</v>
      </c>
      <c r="E48" s="19">
        <f t="shared" si="12"/>
        <v>3503276</v>
      </c>
      <c r="F48" s="19">
        <f t="shared" si="12"/>
        <v>2480171</v>
      </c>
      <c r="G48" s="19">
        <f t="shared" si="12"/>
        <v>2748937</v>
      </c>
      <c r="H48" s="19">
        <f t="shared" si="12"/>
        <v>3875919</v>
      </c>
      <c r="I48" s="19">
        <f t="shared" si="12"/>
        <v>3297946</v>
      </c>
      <c r="J48" s="19">
        <f t="shared" si="12"/>
        <v>2972629</v>
      </c>
      <c r="K48" s="19">
        <f t="shared" si="12"/>
        <v>2954465</v>
      </c>
      <c r="L48" s="19">
        <f t="shared" si="12"/>
        <v>2753952</v>
      </c>
      <c r="M48" s="19">
        <f t="shared" si="12"/>
        <v>2701181</v>
      </c>
      <c r="N48" s="19">
        <f t="shared" si="12"/>
        <v>36649360</v>
      </c>
      <c r="O48" s="29"/>
    </row>
    <row r="49" spans="1:17">
      <c r="B49" s="7"/>
      <c r="C49" s="7"/>
      <c r="D49" s="7"/>
      <c r="E49" s="7"/>
      <c r="F49" s="7"/>
      <c r="G49" s="7"/>
      <c r="H49" s="7"/>
      <c r="I49" s="7"/>
      <c r="J49" s="7"/>
      <c r="K49" s="6"/>
      <c r="L49" s="6"/>
      <c r="M49" s="6"/>
      <c r="N49" s="6"/>
      <c r="O49" s="6"/>
    </row>
    <row r="50" spans="1:17">
      <c r="A50" s="1" t="s">
        <v>53</v>
      </c>
      <c r="B50" s="12">
        <f t="shared" ref="B50:M50" si="13">+B13-B48</f>
        <v>-563897</v>
      </c>
      <c r="C50" s="12">
        <f t="shared" si="13"/>
        <v>-292069</v>
      </c>
      <c r="D50" s="12">
        <f t="shared" si="13"/>
        <v>1199348</v>
      </c>
      <c r="E50" s="12">
        <f t="shared" si="13"/>
        <v>583672</v>
      </c>
      <c r="F50" s="12">
        <f t="shared" si="13"/>
        <v>57590</v>
      </c>
      <c r="G50" s="12">
        <f t="shared" si="13"/>
        <v>-154854.41999999993</v>
      </c>
      <c r="H50" s="12">
        <f t="shared" si="13"/>
        <v>-35780</v>
      </c>
      <c r="I50" s="12">
        <f t="shared" si="13"/>
        <v>543790</v>
      </c>
      <c r="J50" s="12">
        <f t="shared" si="13"/>
        <v>591969</v>
      </c>
      <c r="K50" s="12">
        <f t="shared" si="13"/>
        <v>133861</v>
      </c>
      <c r="L50" s="12">
        <f t="shared" si="13"/>
        <v>394367</v>
      </c>
      <c r="M50" s="12">
        <f t="shared" si="13"/>
        <v>-1122336</v>
      </c>
      <c r="N50" s="12">
        <f>SUM(B50:M50)</f>
        <v>1335660.58</v>
      </c>
      <c r="O50" s="6"/>
      <c r="P50" s="25"/>
    </row>
    <row r="51" spans="1:17" ht="7.5" customHeight="1">
      <c r="B51" s="7"/>
      <c r="C51" s="7"/>
      <c r="D51" s="7"/>
      <c r="E51" s="7"/>
      <c r="F51" s="7"/>
      <c r="G51" s="7"/>
      <c r="H51" s="7"/>
      <c r="I51" s="7"/>
      <c r="J51" s="7"/>
      <c r="K51" s="6"/>
      <c r="L51" s="6"/>
      <c r="M51" s="6"/>
      <c r="N51" s="6"/>
      <c r="O51" s="6"/>
    </row>
    <row r="52" spans="1:17">
      <c r="A52" s="1" t="s">
        <v>54</v>
      </c>
      <c r="B52" s="7"/>
      <c r="C52" s="7"/>
      <c r="D52" s="7"/>
      <c r="E52" s="7"/>
      <c r="F52" s="7"/>
      <c r="G52" s="7"/>
      <c r="H52" s="7"/>
      <c r="I52" s="7"/>
      <c r="J52" s="7"/>
      <c r="K52" s="6"/>
      <c r="L52" s="6"/>
      <c r="M52" s="6"/>
      <c r="N52" s="6"/>
      <c r="O52" s="6"/>
    </row>
    <row r="53" spans="1:17" s="6" customFormat="1">
      <c r="A53" s="6" t="s">
        <v>55</v>
      </c>
      <c r="B53" s="10">
        <v>101289</v>
      </c>
      <c r="C53" s="10">
        <v>230379</v>
      </c>
      <c r="D53" s="10">
        <v>5347</v>
      </c>
      <c r="E53" s="10">
        <f>740+15090+2192.65</f>
        <v>18022.650000000001</v>
      </c>
      <c r="F53" s="10">
        <v>85439</v>
      </c>
      <c r="G53" s="10">
        <v>23064</v>
      </c>
      <c r="H53" s="23">
        <v>116000</v>
      </c>
      <c r="I53" s="10">
        <v>265000</v>
      </c>
      <c r="J53" s="10">
        <v>0</v>
      </c>
      <c r="K53" s="10">
        <v>192250</v>
      </c>
      <c r="L53" s="10">
        <v>243000</v>
      </c>
      <c r="M53" s="10">
        <v>275000</v>
      </c>
      <c r="N53" s="10">
        <f>SUM(B53:M53)</f>
        <v>1554790.65</v>
      </c>
      <c r="P53" s="40"/>
    </row>
    <row r="54" spans="1:17" s="6" customFormat="1">
      <c r="A54" s="6" t="s">
        <v>96</v>
      </c>
      <c r="B54" s="10"/>
      <c r="C54" s="10"/>
      <c r="D54" s="10"/>
      <c r="E54" s="10"/>
      <c r="F54" s="10">
        <v>95000</v>
      </c>
      <c r="G54" s="10"/>
      <c r="H54" s="10"/>
      <c r="I54" s="10"/>
      <c r="J54" s="10"/>
      <c r="K54" s="10"/>
      <c r="L54" s="10"/>
      <c r="M54" s="10"/>
      <c r="N54" s="10">
        <f>SUM(B54:M54)</f>
        <v>95000</v>
      </c>
      <c r="P54" s="7"/>
      <c r="Q54" s="6">
        <v>0</v>
      </c>
    </row>
    <row r="55" spans="1:17" s="6" customFormat="1">
      <c r="A55" s="6" t="s">
        <v>97</v>
      </c>
      <c r="B55" s="10">
        <f>276228+184</f>
        <v>276412</v>
      </c>
      <c r="C55" s="10"/>
      <c r="D55" s="10"/>
      <c r="E55" s="10"/>
      <c r="F55" s="10"/>
      <c r="G55" s="10"/>
      <c r="H55" s="10"/>
      <c r="I55" s="10"/>
      <c r="J55" s="10"/>
      <c r="K55" s="10"/>
      <c r="L55" s="10">
        <v>0</v>
      </c>
      <c r="M55" s="10">
        <v>0</v>
      </c>
      <c r="N55" s="10">
        <f>SUM(B55:M55)</f>
        <v>276412</v>
      </c>
      <c r="P55" s="7"/>
    </row>
    <row r="56" spans="1:17" s="6" customFormat="1">
      <c r="A56" s="37" t="s">
        <v>58</v>
      </c>
      <c r="B56" s="7">
        <v>-12589</v>
      </c>
      <c r="C56" s="7">
        <v>-11612</v>
      </c>
      <c r="D56" s="7">
        <v>-12191</v>
      </c>
      <c r="E56" s="7">
        <v>-9918</v>
      </c>
      <c r="F56" s="7">
        <v>-8157</v>
      </c>
      <c r="G56" s="7">
        <v>-95705.42</v>
      </c>
      <c r="H56" s="10">
        <v>-12500</v>
      </c>
      <c r="I56" s="7">
        <v>-12500</v>
      </c>
      <c r="J56" s="7">
        <v>-12500</v>
      </c>
      <c r="K56" s="7">
        <v>-12500</v>
      </c>
      <c r="L56" s="7">
        <v>-12500</v>
      </c>
      <c r="M56" s="7">
        <v>-12500</v>
      </c>
      <c r="N56" s="7">
        <f>SUM(B56:M56)</f>
        <v>-225172.41999999998</v>
      </c>
      <c r="P56" s="56"/>
    </row>
    <row r="57" spans="1:17" s="6" customFormat="1">
      <c r="A57" s="6" t="s">
        <v>59</v>
      </c>
      <c r="B57" s="22">
        <v>-187388</v>
      </c>
      <c r="C57" s="22">
        <v>-40876</v>
      </c>
      <c r="D57" s="22">
        <v>-158851</v>
      </c>
      <c r="E57" s="22">
        <v>-155108</v>
      </c>
      <c r="F57" s="22">
        <v>-96958</v>
      </c>
      <c r="G57" s="22">
        <v>-18871.16</v>
      </c>
      <c r="H57" s="10">
        <v>-25000</v>
      </c>
      <c r="I57" s="22">
        <v>-25000</v>
      </c>
      <c r="J57" s="22">
        <v>-25000</v>
      </c>
      <c r="K57" s="22">
        <v>-25000</v>
      </c>
      <c r="L57" s="22">
        <v>-25000</v>
      </c>
      <c r="M57" s="22">
        <v>-25000</v>
      </c>
      <c r="N57" s="22">
        <f>SUM(B57:M57)</f>
        <v>-808052.16</v>
      </c>
      <c r="P57" s="7"/>
    </row>
    <row r="58" spans="1:17" s="6" customFormat="1">
      <c r="A58" s="13" t="s">
        <v>60</v>
      </c>
      <c r="B58" s="19">
        <f t="shared" ref="B58:N58" si="14">SUM(B53:B57)</f>
        <v>177724</v>
      </c>
      <c r="C58" s="19">
        <f t="shared" si="14"/>
        <v>177891</v>
      </c>
      <c r="D58" s="19">
        <f t="shared" si="14"/>
        <v>-165695</v>
      </c>
      <c r="E58" s="19">
        <f t="shared" si="14"/>
        <v>-147003.35</v>
      </c>
      <c r="F58" s="19">
        <f t="shared" si="14"/>
        <v>75324</v>
      </c>
      <c r="G58" s="19">
        <f t="shared" si="14"/>
        <v>-91512.58</v>
      </c>
      <c r="H58" s="19">
        <f>SUM(H53:H57)</f>
        <v>78500</v>
      </c>
      <c r="I58" s="19">
        <f t="shared" si="14"/>
        <v>227500</v>
      </c>
      <c r="J58" s="19">
        <f t="shared" si="14"/>
        <v>-37500</v>
      </c>
      <c r="K58" s="19">
        <f t="shared" si="14"/>
        <v>154750</v>
      </c>
      <c r="L58" s="19">
        <f t="shared" si="14"/>
        <v>205500</v>
      </c>
      <c r="M58" s="19">
        <f t="shared" si="14"/>
        <v>237500</v>
      </c>
      <c r="N58" s="19">
        <f t="shared" si="14"/>
        <v>892978.07</v>
      </c>
      <c r="O58" s="29"/>
    </row>
    <row r="59" spans="1:17">
      <c r="B59" s="7"/>
      <c r="C59" s="7"/>
      <c r="D59" s="7"/>
      <c r="E59" s="7"/>
      <c r="F59" s="7"/>
      <c r="G59" s="7"/>
      <c r="H59" s="7"/>
      <c r="I59" s="7"/>
      <c r="J59" s="7"/>
      <c r="K59" s="7"/>
      <c r="L59" s="7"/>
      <c r="M59" s="7"/>
      <c r="N59" s="7"/>
      <c r="O59" s="6"/>
    </row>
    <row r="60" spans="1:17">
      <c r="A60" s="1" t="s">
        <v>61</v>
      </c>
      <c r="B60" s="12">
        <v>13373023</v>
      </c>
      <c r="C60" s="7"/>
      <c r="D60" s="7"/>
      <c r="E60" s="7"/>
      <c r="F60" s="7"/>
      <c r="G60" s="7"/>
      <c r="H60" s="7" t="s">
        <v>38</v>
      </c>
      <c r="I60" s="7"/>
      <c r="J60" s="7"/>
      <c r="K60" s="6"/>
      <c r="L60" s="6"/>
      <c r="M60" s="6"/>
      <c r="N60" s="6"/>
      <c r="O60" s="6"/>
    </row>
    <row r="61" spans="1:17">
      <c r="A61" s="13" t="s">
        <v>62</v>
      </c>
      <c r="B61" s="19">
        <f t="shared" ref="B61:N61" si="15">+B58+B48</f>
        <v>2001245</v>
      </c>
      <c r="C61" s="19">
        <f t="shared" si="15"/>
        <v>3043837</v>
      </c>
      <c r="D61" s="19">
        <f t="shared" si="15"/>
        <v>4505722</v>
      </c>
      <c r="E61" s="19">
        <f t="shared" si="15"/>
        <v>3356272.65</v>
      </c>
      <c r="F61" s="19">
        <f t="shared" si="15"/>
        <v>2555495</v>
      </c>
      <c r="G61" s="19">
        <f t="shared" si="15"/>
        <v>2657424.42</v>
      </c>
      <c r="H61" s="19">
        <f t="shared" si="15"/>
        <v>3954419</v>
      </c>
      <c r="I61" s="19">
        <f t="shared" si="15"/>
        <v>3525446</v>
      </c>
      <c r="J61" s="19">
        <f t="shared" si="15"/>
        <v>2935129</v>
      </c>
      <c r="K61" s="19">
        <f t="shared" si="15"/>
        <v>3109215</v>
      </c>
      <c r="L61" s="19">
        <f t="shared" si="15"/>
        <v>2959452</v>
      </c>
      <c r="M61" s="19">
        <f t="shared" si="15"/>
        <v>2938681</v>
      </c>
      <c r="N61" s="19">
        <f t="shared" si="15"/>
        <v>37542338.07</v>
      </c>
      <c r="O61" s="29"/>
      <c r="P61" s="25">
        <f>+N61-O61</f>
        <v>37542338.07</v>
      </c>
    </row>
    <row r="62" spans="1:17" ht="13.5" thickBot="1">
      <c r="A62" s="13" t="s">
        <v>63</v>
      </c>
      <c r="B62" s="30">
        <f t="shared" ref="B62:N62" si="16">+B13-B61</f>
        <v>-741621</v>
      </c>
      <c r="C62" s="30">
        <f t="shared" si="16"/>
        <v>-469960</v>
      </c>
      <c r="D62" s="30">
        <f t="shared" si="16"/>
        <v>1365043</v>
      </c>
      <c r="E62" s="30">
        <f t="shared" si="16"/>
        <v>730675.35000000009</v>
      </c>
      <c r="F62" s="30">
        <f t="shared" si="16"/>
        <v>-17734</v>
      </c>
      <c r="G62" s="30">
        <f t="shared" si="16"/>
        <v>-63341.839999999851</v>
      </c>
      <c r="H62" s="14">
        <f t="shared" si="16"/>
        <v>-114280</v>
      </c>
      <c r="I62" s="14">
        <f t="shared" si="16"/>
        <v>316290</v>
      </c>
      <c r="J62" s="14">
        <f t="shared" si="16"/>
        <v>629469</v>
      </c>
      <c r="K62" s="14">
        <f t="shared" si="16"/>
        <v>-20889</v>
      </c>
      <c r="L62" s="14">
        <f t="shared" si="16"/>
        <v>188867</v>
      </c>
      <c r="M62" s="14">
        <f t="shared" si="16"/>
        <v>-1359836</v>
      </c>
      <c r="N62" s="14">
        <f t="shared" si="16"/>
        <v>442682.50999999791</v>
      </c>
      <c r="O62" s="29"/>
      <c r="P62" s="25">
        <f>+N62-O62</f>
        <v>442682.50999999791</v>
      </c>
    </row>
    <row r="63" spans="1:17" s="6" customFormat="1" ht="13.5" thickTop="1">
      <c r="A63" s="13" t="s">
        <v>64</v>
      </c>
      <c r="B63" s="32">
        <f>+B62</f>
        <v>-741621</v>
      </c>
      <c r="C63" s="32">
        <f t="shared" ref="C63:M63" si="17">B63+C62</f>
        <v>-1211581</v>
      </c>
      <c r="D63" s="32">
        <f t="shared" si="17"/>
        <v>153462</v>
      </c>
      <c r="E63" s="32">
        <f t="shared" si="17"/>
        <v>884137.35000000009</v>
      </c>
      <c r="F63" s="32">
        <f t="shared" si="17"/>
        <v>866403.35000000009</v>
      </c>
      <c r="G63" s="32">
        <f t="shared" si="17"/>
        <v>803061.51000000024</v>
      </c>
      <c r="H63" s="12">
        <f t="shared" si="17"/>
        <v>688781.51000000024</v>
      </c>
      <c r="I63" s="12">
        <f t="shared" si="17"/>
        <v>1005071.5100000002</v>
      </c>
      <c r="J63" s="12">
        <f t="shared" si="17"/>
        <v>1634540.5100000002</v>
      </c>
      <c r="K63" s="12">
        <f t="shared" si="17"/>
        <v>1613651.5100000002</v>
      </c>
      <c r="L63" s="12">
        <f t="shared" si="17"/>
        <v>1802518.5100000002</v>
      </c>
      <c r="M63" s="12">
        <f t="shared" si="17"/>
        <v>442682.51000000024</v>
      </c>
      <c r="N63" s="12"/>
    </row>
    <row r="64" spans="1:17">
      <c r="A64" s="13" t="s">
        <v>65</v>
      </c>
      <c r="B64" s="12">
        <f t="shared" ref="B64:M64" si="18">+$B$60+B63</f>
        <v>12631402</v>
      </c>
      <c r="C64" s="12">
        <f t="shared" si="18"/>
        <v>12161442</v>
      </c>
      <c r="D64" s="12">
        <f t="shared" si="18"/>
        <v>13526485</v>
      </c>
      <c r="E64" s="12">
        <f t="shared" si="18"/>
        <v>14257160.35</v>
      </c>
      <c r="F64" s="12">
        <f t="shared" si="18"/>
        <v>14239426.35</v>
      </c>
      <c r="G64" s="12">
        <f t="shared" si="18"/>
        <v>14176084.51</v>
      </c>
      <c r="H64" s="12">
        <f t="shared" si="18"/>
        <v>14061804.51</v>
      </c>
      <c r="I64" s="12">
        <f t="shared" si="18"/>
        <v>14378094.51</v>
      </c>
      <c r="J64" s="12">
        <f t="shared" si="18"/>
        <v>15007563.51</v>
      </c>
      <c r="K64" s="12">
        <f t="shared" si="18"/>
        <v>14986674.51</v>
      </c>
      <c r="L64" s="12">
        <f t="shared" si="18"/>
        <v>15175541.51</v>
      </c>
      <c r="M64" s="12">
        <f t="shared" si="18"/>
        <v>13815705.51</v>
      </c>
      <c r="N64" s="12"/>
      <c r="O64" s="6"/>
      <c r="P64" s="29"/>
    </row>
    <row r="65" spans="1:16">
      <c r="A65" s="6"/>
      <c r="B65" s="7"/>
      <c r="C65" s="7"/>
      <c r="D65" s="7"/>
      <c r="E65" s="7"/>
      <c r="F65" s="7"/>
      <c r="G65" s="7"/>
      <c r="H65" s="7"/>
      <c r="I65" s="7"/>
      <c r="J65" s="7"/>
      <c r="K65" s="6"/>
      <c r="L65" s="6"/>
      <c r="M65" s="6"/>
      <c r="N65" s="6"/>
      <c r="O65" s="6"/>
    </row>
    <row r="66" spans="1:16" s="6" customFormat="1">
      <c r="A66" s="17" t="s">
        <v>94</v>
      </c>
      <c r="B66" s="18"/>
      <c r="C66" s="18"/>
      <c r="D66" s="18"/>
      <c r="E66" s="18"/>
      <c r="F66" s="18"/>
      <c r="G66" s="18"/>
      <c r="H66" s="18"/>
      <c r="I66" s="18"/>
      <c r="J66" s="18"/>
      <c r="K66" s="18"/>
      <c r="L66" s="18"/>
      <c r="M66" s="18"/>
      <c r="N66" s="18"/>
    </row>
    <row r="67" spans="1:16" ht="13.5" thickBot="1">
      <c r="A67" s="13" t="s">
        <v>67</v>
      </c>
      <c r="B67" s="14">
        <v>-968259</v>
      </c>
      <c r="C67" s="14">
        <v>165657</v>
      </c>
      <c r="D67" s="14">
        <v>1175481</v>
      </c>
      <c r="E67" s="14">
        <v>388022</v>
      </c>
      <c r="F67" s="14">
        <v>-191039</v>
      </c>
      <c r="G67" s="14">
        <v>96436</v>
      </c>
      <c r="H67" s="14">
        <v>-114280</v>
      </c>
      <c r="I67" s="14">
        <v>316290</v>
      </c>
      <c r="J67" s="14">
        <v>629469</v>
      </c>
      <c r="K67" s="14">
        <v>-20889</v>
      </c>
      <c r="L67" s="14">
        <v>188867</v>
      </c>
      <c r="M67" s="14">
        <v>-1359836</v>
      </c>
      <c r="N67" s="16"/>
      <c r="O67" s="6"/>
    </row>
    <row r="68" spans="1:16" ht="13.5" thickTop="1">
      <c r="A68" s="13" t="s">
        <v>64</v>
      </c>
      <c r="B68" s="12">
        <f>+B67</f>
        <v>-968259</v>
      </c>
      <c r="C68" s="12">
        <f>+B68+C67</f>
        <v>-802602</v>
      </c>
      <c r="D68" s="12">
        <f t="shared" ref="D68:M68" si="19">+C68+D67</f>
        <v>372879</v>
      </c>
      <c r="E68" s="12">
        <f t="shared" si="19"/>
        <v>760901</v>
      </c>
      <c r="F68" s="12">
        <f t="shared" si="19"/>
        <v>569862</v>
      </c>
      <c r="G68" s="12">
        <f t="shared" si="19"/>
        <v>666298</v>
      </c>
      <c r="H68" s="12">
        <f t="shared" si="19"/>
        <v>552018</v>
      </c>
      <c r="I68" s="12">
        <f t="shared" si="19"/>
        <v>868308</v>
      </c>
      <c r="J68" s="12">
        <f t="shared" si="19"/>
        <v>1497777</v>
      </c>
      <c r="K68" s="12">
        <f t="shared" si="19"/>
        <v>1476888</v>
      </c>
      <c r="L68" s="12">
        <f t="shared" si="19"/>
        <v>1665755</v>
      </c>
      <c r="M68" s="12">
        <f t="shared" si="19"/>
        <v>305919</v>
      </c>
      <c r="N68" s="16"/>
      <c r="O68" s="6"/>
    </row>
    <row r="69" spans="1:16">
      <c r="A69" s="13" t="s">
        <v>65</v>
      </c>
      <c r="B69" s="12">
        <v>10066787.80069958</v>
      </c>
      <c r="C69" s="12">
        <v>10474885.82712047</v>
      </c>
      <c r="D69" s="12">
        <v>11546728.467384296</v>
      </c>
      <c r="E69" s="12">
        <v>11992721.928639133</v>
      </c>
      <c r="F69" s="12">
        <v>11726972.321587943</v>
      </c>
      <c r="G69" s="12">
        <v>11337269.706012141</v>
      </c>
      <c r="H69" s="12">
        <v>11322908.797641888</v>
      </c>
      <c r="I69" s="12">
        <v>11526789.393104676</v>
      </c>
      <c r="J69" s="12">
        <v>11837705.668475684</v>
      </c>
      <c r="K69" s="12">
        <v>12021264.778665379</v>
      </c>
      <c r="L69" s="12">
        <v>12475612.568366794</v>
      </c>
      <c r="M69" s="12">
        <v>11197948.23476476</v>
      </c>
      <c r="N69" s="12"/>
      <c r="O69" s="6"/>
    </row>
    <row r="70" spans="1:16">
      <c r="A70" s="6"/>
      <c r="B70" s="6"/>
      <c r="C70" s="6"/>
      <c r="D70" s="6"/>
      <c r="E70" s="6"/>
      <c r="F70" s="6"/>
      <c r="H70" s="6"/>
      <c r="I70" s="6"/>
      <c r="J70" s="6"/>
      <c r="K70" s="6"/>
      <c r="L70" s="6"/>
      <c r="M70" s="6"/>
      <c r="N70" s="6"/>
      <c r="O70" s="6"/>
    </row>
    <row r="71" spans="1:16">
      <c r="A71" s="24" t="s">
        <v>68</v>
      </c>
      <c r="B71" s="18"/>
      <c r="C71" s="18"/>
      <c r="D71" s="18"/>
      <c r="E71" s="18"/>
      <c r="F71" s="18"/>
      <c r="G71" s="18"/>
      <c r="H71" s="18"/>
      <c r="I71" s="18"/>
      <c r="J71" s="18"/>
      <c r="K71" s="18"/>
      <c r="L71" s="18"/>
      <c r="M71" s="18"/>
      <c r="N71" s="18"/>
      <c r="O71" s="6"/>
    </row>
    <row r="72" spans="1:16">
      <c r="A72" s="13" t="s">
        <v>63</v>
      </c>
      <c r="B72" s="31">
        <f t="shared" ref="B72:N74" si="20">+B62-B67</f>
        <v>226638</v>
      </c>
      <c r="C72" s="31">
        <f t="shared" si="20"/>
        <v>-635617</v>
      </c>
      <c r="D72" s="31">
        <f t="shared" si="20"/>
        <v>189562</v>
      </c>
      <c r="E72" s="31">
        <f t="shared" si="20"/>
        <v>342653.35000000009</v>
      </c>
      <c r="F72" s="31">
        <f t="shared" si="20"/>
        <v>173305</v>
      </c>
      <c r="G72" s="31">
        <f t="shared" si="20"/>
        <v>-159777.83999999985</v>
      </c>
      <c r="H72" s="16">
        <f t="shared" si="20"/>
        <v>0</v>
      </c>
      <c r="I72" s="16">
        <f t="shared" si="20"/>
        <v>0</v>
      </c>
      <c r="J72" s="16">
        <f t="shared" si="20"/>
        <v>0</v>
      </c>
      <c r="K72" s="16">
        <f t="shared" si="20"/>
        <v>0</v>
      </c>
      <c r="L72" s="16">
        <f t="shared" si="20"/>
        <v>0</v>
      </c>
      <c r="M72" s="16">
        <f t="shared" si="20"/>
        <v>0</v>
      </c>
      <c r="N72" s="6"/>
      <c r="O72" s="6"/>
      <c r="P72" s="16">
        <f>+N62-N67</f>
        <v>442682.50999999791</v>
      </c>
    </row>
    <row r="73" spans="1:16" s="6" customFormat="1">
      <c r="A73" s="13" t="s">
        <v>64</v>
      </c>
      <c r="B73" s="31">
        <f t="shared" si="20"/>
        <v>226638</v>
      </c>
      <c r="C73" s="31">
        <f t="shared" si="20"/>
        <v>-408979</v>
      </c>
      <c r="D73" s="31">
        <f t="shared" si="20"/>
        <v>-219417</v>
      </c>
      <c r="E73" s="31">
        <f t="shared" si="20"/>
        <v>123236.35000000009</v>
      </c>
      <c r="F73" s="31">
        <f t="shared" si="20"/>
        <v>296541.35000000009</v>
      </c>
      <c r="G73" s="31">
        <f t="shared" si="20"/>
        <v>136763.51000000024</v>
      </c>
      <c r="H73" s="16">
        <f t="shared" si="20"/>
        <v>136763.51000000024</v>
      </c>
      <c r="I73" s="16">
        <f t="shared" si="20"/>
        <v>136763.51000000024</v>
      </c>
      <c r="J73" s="16">
        <f t="shared" si="20"/>
        <v>136763.51000000024</v>
      </c>
      <c r="K73" s="16">
        <f t="shared" si="20"/>
        <v>136763.51000000024</v>
      </c>
      <c r="L73" s="16">
        <f t="shared" si="20"/>
        <v>136763.51000000024</v>
      </c>
      <c r="M73" s="16">
        <f t="shared" si="20"/>
        <v>136763.51000000024</v>
      </c>
      <c r="N73" s="16">
        <f t="shared" si="20"/>
        <v>0</v>
      </c>
    </row>
    <row r="74" spans="1:16">
      <c r="A74" s="1" t="s">
        <v>65</v>
      </c>
      <c r="B74" s="16">
        <f t="shared" si="20"/>
        <v>2564614.1993004195</v>
      </c>
      <c r="C74" s="16">
        <f t="shared" si="20"/>
        <v>1686556.1728795301</v>
      </c>
      <c r="D74" s="16">
        <f t="shared" si="20"/>
        <v>1979756.5326157045</v>
      </c>
      <c r="E74" s="16">
        <f t="shared" si="20"/>
        <v>2264438.4213608671</v>
      </c>
      <c r="F74" s="16">
        <f t="shared" si="20"/>
        <v>2512454.0284120571</v>
      </c>
      <c r="G74" s="16">
        <f t="shared" si="20"/>
        <v>2838814.8039878588</v>
      </c>
      <c r="H74" s="16">
        <f t="shared" si="20"/>
        <v>2738895.7123581115</v>
      </c>
      <c r="I74" s="16">
        <f t="shared" si="20"/>
        <v>2851305.1168953236</v>
      </c>
      <c r="J74" s="16">
        <f t="shared" si="20"/>
        <v>3169857.841524316</v>
      </c>
      <c r="K74" s="16">
        <f t="shared" si="20"/>
        <v>2965409.7313346211</v>
      </c>
      <c r="L74" s="16">
        <f t="shared" si="20"/>
        <v>2699928.9416332059</v>
      </c>
      <c r="M74" s="16">
        <f t="shared" si="20"/>
        <v>2617757.2752352394</v>
      </c>
      <c r="N74" s="16"/>
      <c r="O74" s="6"/>
    </row>
    <row r="75" spans="1:16">
      <c r="B75" s="6"/>
      <c r="C75" s="6"/>
      <c r="D75" s="6"/>
      <c r="E75" s="6"/>
      <c r="F75" s="6"/>
      <c r="H75" s="6"/>
      <c r="I75" s="6"/>
      <c r="J75" s="6"/>
      <c r="K75" s="6"/>
      <c r="L75" s="6"/>
      <c r="M75" s="6"/>
      <c r="N75" s="6"/>
    </row>
    <row r="76" spans="1:16">
      <c r="A76" s="1"/>
      <c r="B76" s="4"/>
      <c r="C76" s="8"/>
      <c r="D76" s="8"/>
      <c r="E76" s="8"/>
      <c r="F76" s="8"/>
      <c r="H76" s="20"/>
      <c r="J76" s="6"/>
      <c r="K76" s="6"/>
    </row>
    <row r="77" spans="1:16">
      <c r="A77" s="1"/>
      <c r="B77" s="4"/>
      <c r="C77" s="8"/>
      <c r="D77" s="8"/>
      <c r="E77" s="8"/>
      <c r="F77" s="8"/>
      <c r="H77" s="20"/>
      <c r="J77" s="6"/>
    </row>
    <row r="78" spans="1:16">
      <c r="A78" s="1"/>
      <c r="B78" s="4"/>
      <c r="D78" s="8"/>
      <c r="E78" s="8"/>
      <c r="F78" s="8"/>
      <c r="H78" s="61"/>
      <c r="J78" s="6"/>
    </row>
    <row r="79" spans="1:16">
      <c r="E79" s="6"/>
      <c r="H79" s="20"/>
      <c r="J79" s="6"/>
      <c r="N79" s="25"/>
    </row>
    <row r="80" spans="1:16">
      <c r="A80" t="s">
        <v>69</v>
      </c>
      <c r="B80" t="s">
        <v>69</v>
      </c>
      <c r="C80" t="s">
        <v>69</v>
      </c>
      <c r="D80" t="s">
        <v>69</v>
      </c>
      <c r="E80" s="6" t="s">
        <v>69</v>
      </c>
      <c r="F80" t="s">
        <v>69</v>
      </c>
      <c r="G80" s="6" t="s">
        <v>69</v>
      </c>
      <c r="H80" t="s">
        <v>69</v>
      </c>
      <c r="I80" t="s">
        <v>69</v>
      </c>
      <c r="J80" s="6" t="s">
        <v>69</v>
      </c>
      <c r="K80" t="s">
        <v>69</v>
      </c>
      <c r="L80" t="s">
        <v>69</v>
      </c>
      <c r="M80" t="s">
        <v>69</v>
      </c>
      <c r="N80" t="s">
        <v>69</v>
      </c>
    </row>
    <row r="81" spans="1:14">
      <c r="E81" s="6"/>
      <c r="J81" s="6"/>
    </row>
    <row r="82" spans="1:14">
      <c r="A82" s="33" t="s">
        <v>70</v>
      </c>
      <c r="B82" s="47">
        <v>52000</v>
      </c>
      <c r="C82" s="47">
        <v>20000</v>
      </c>
      <c r="D82" s="47">
        <v>10000</v>
      </c>
      <c r="E82" s="47">
        <v>44355</v>
      </c>
      <c r="F82" s="47">
        <v>186840</v>
      </c>
      <c r="G82" s="10">
        <v>202000</v>
      </c>
      <c r="H82" s="54">
        <v>197000</v>
      </c>
      <c r="I82" s="47">
        <v>142000</v>
      </c>
      <c r="J82" s="47">
        <v>119000</v>
      </c>
      <c r="K82" s="47">
        <v>0</v>
      </c>
      <c r="L82" s="47">
        <v>0</v>
      </c>
      <c r="M82" s="47">
        <v>455000</v>
      </c>
      <c r="N82" s="7">
        <v>1428195</v>
      </c>
    </row>
    <row r="83" spans="1:14">
      <c r="A83" s="33" t="s">
        <v>71</v>
      </c>
      <c r="B83" s="2">
        <f>+B82</f>
        <v>52000</v>
      </c>
      <c r="C83" s="2">
        <f>+B83+C82</f>
        <v>72000</v>
      </c>
      <c r="D83" s="2">
        <f t="shared" ref="D83:M83" si="21">+C83+D82</f>
        <v>82000</v>
      </c>
      <c r="E83" s="7">
        <f t="shared" si="21"/>
        <v>126355</v>
      </c>
      <c r="F83" s="2">
        <f t="shared" si="21"/>
        <v>313195</v>
      </c>
      <c r="G83" s="7">
        <f t="shared" si="21"/>
        <v>515195</v>
      </c>
      <c r="H83" s="2">
        <f t="shared" si="21"/>
        <v>712195</v>
      </c>
      <c r="I83" s="2">
        <f t="shared" si="21"/>
        <v>854195</v>
      </c>
      <c r="J83" s="7">
        <f t="shared" si="21"/>
        <v>973195</v>
      </c>
      <c r="K83" s="2">
        <f t="shared" si="21"/>
        <v>973195</v>
      </c>
      <c r="L83" s="2">
        <f t="shared" si="21"/>
        <v>973195</v>
      </c>
      <c r="M83" s="2">
        <f t="shared" si="21"/>
        <v>1428195</v>
      </c>
    </row>
    <row r="84" spans="1:14">
      <c r="A84" s="33" t="s">
        <v>72</v>
      </c>
      <c r="B84" s="7">
        <f>+B53</f>
        <v>101289</v>
      </c>
      <c r="C84" s="7">
        <f>SUM($B53:C53)</f>
        <v>331668</v>
      </c>
      <c r="D84" s="7">
        <f>SUM($B53:D53)</f>
        <v>337015</v>
      </c>
      <c r="E84" s="7">
        <f>SUM($B53:E53)</f>
        <v>355037.65</v>
      </c>
      <c r="F84" s="7">
        <f>SUM($B53:F53)</f>
        <v>440476.65</v>
      </c>
      <c r="G84" s="7">
        <f>SUM($B53:G53)</f>
        <v>463540.65</v>
      </c>
      <c r="H84" s="7">
        <f>SUM(B53:H53)</f>
        <v>579540.65</v>
      </c>
      <c r="I84" s="7">
        <f>SUM(B53:I53)</f>
        <v>844540.65</v>
      </c>
      <c r="J84" s="7">
        <f>SUM(B53:J53)</f>
        <v>844540.65</v>
      </c>
      <c r="K84" s="7">
        <f>SUM(B53:K53)</f>
        <v>1036790.65</v>
      </c>
      <c r="L84" s="7">
        <f>SUM(B53:L53)</f>
        <v>1279790.6499999999</v>
      </c>
      <c r="M84" s="7">
        <f>SUM(B53:M53)</f>
        <v>1554790.65</v>
      </c>
    </row>
    <row r="85" spans="1:14">
      <c r="A85" s="33" t="s">
        <v>73</v>
      </c>
      <c r="B85" s="7">
        <f t="shared" ref="B85:G85" si="22">+B83-B84</f>
        <v>-49289</v>
      </c>
      <c r="C85" s="7">
        <f t="shared" si="22"/>
        <v>-259668</v>
      </c>
      <c r="D85" s="7">
        <f t="shared" si="22"/>
        <v>-255015</v>
      </c>
      <c r="E85" s="7">
        <f t="shared" si="22"/>
        <v>-228682.65000000002</v>
      </c>
      <c r="F85" s="7">
        <f t="shared" si="22"/>
        <v>-127281.65000000002</v>
      </c>
      <c r="G85" s="7">
        <f t="shared" si="22"/>
        <v>51654.349999999977</v>
      </c>
      <c r="H85" s="7">
        <f t="shared" ref="H85:M85" si="23">+H83-H84</f>
        <v>132654.34999999998</v>
      </c>
      <c r="I85" s="7">
        <f t="shared" si="23"/>
        <v>9654.3499999999767</v>
      </c>
      <c r="J85" s="7">
        <f t="shared" si="23"/>
        <v>128654.34999999998</v>
      </c>
      <c r="K85" s="7">
        <f t="shared" si="23"/>
        <v>-63595.650000000023</v>
      </c>
      <c r="L85" s="7">
        <f t="shared" si="23"/>
        <v>-306595.64999999991</v>
      </c>
      <c r="M85" s="7">
        <f t="shared" si="23"/>
        <v>-126595.64999999991</v>
      </c>
    </row>
    <row r="86" spans="1:14">
      <c r="J86" s="6"/>
      <c r="K86" s="6"/>
    </row>
    <row r="87" spans="1:14">
      <c r="A87" t="s">
        <v>74</v>
      </c>
      <c r="B87" s="35">
        <f>-B56-B57</f>
        <v>199977</v>
      </c>
      <c r="C87" s="35">
        <f t="shared" ref="C87:N87" si="24">-C56-C57</f>
        <v>52488</v>
      </c>
      <c r="D87" s="35">
        <f t="shared" si="24"/>
        <v>171042</v>
      </c>
      <c r="E87" s="35">
        <f t="shared" si="24"/>
        <v>165026</v>
      </c>
      <c r="F87" s="35">
        <f t="shared" si="24"/>
        <v>105115</v>
      </c>
      <c r="G87" s="40">
        <f t="shared" si="24"/>
        <v>114576.58</v>
      </c>
      <c r="H87" s="40">
        <f t="shared" si="24"/>
        <v>37500</v>
      </c>
      <c r="I87" s="35">
        <f t="shared" si="24"/>
        <v>37500</v>
      </c>
      <c r="J87" s="35">
        <f t="shared" si="24"/>
        <v>37500</v>
      </c>
      <c r="K87" s="40">
        <f t="shared" si="24"/>
        <v>37500</v>
      </c>
      <c r="L87" s="35">
        <f t="shared" si="24"/>
        <v>37500</v>
      </c>
      <c r="M87" s="35">
        <f t="shared" si="24"/>
        <v>37500</v>
      </c>
      <c r="N87" s="35">
        <f t="shared" si="24"/>
        <v>1033224.5800000001</v>
      </c>
    </row>
    <row r="88" spans="1:14">
      <c r="C88" s="35">
        <f>+B87+C87</f>
        <v>252465</v>
      </c>
      <c r="D88" s="35">
        <f>+C88+D87</f>
        <v>423507</v>
      </c>
      <c r="E88" s="35">
        <f t="shared" ref="E88:M88" si="25">+D88+E87</f>
        <v>588533</v>
      </c>
      <c r="F88" s="35">
        <f t="shared" si="25"/>
        <v>693648</v>
      </c>
      <c r="G88" s="40">
        <f t="shared" si="25"/>
        <v>808224.58</v>
      </c>
      <c r="H88" s="35">
        <f t="shared" si="25"/>
        <v>845724.58</v>
      </c>
      <c r="I88" s="40">
        <f t="shared" si="25"/>
        <v>883224.58</v>
      </c>
      <c r="J88" s="40">
        <f t="shared" si="25"/>
        <v>920724.58</v>
      </c>
      <c r="K88" s="40">
        <f t="shared" si="25"/>
        <v>958224.58</v>
      </c>
      <c r="L88" s="35">
        <f t="shared" si="25"/>
        <v>995724.58</v>
      </c>
      <c r="M88" s="35">
        <f t="shared" si="25"/>
        <v>1033224.58</v>
      </c>
    </row>
    <row r="89" spans="1:14">
      <c r="B89" s="6"/>
      <c r="C89" s="6"/>
      <c r="D89" s="6"/>
      <c r="E89" s="6"/>
    </row>
    <row r="90" spans="1:14">
      <c r="B90" s="6"/>
      <c r="C90" s="6"/>
      <c r="D90" s="21"/>
      <c r="E90" s="6"/>
    </row>
    <row r="91" spans="1:14">
      <c r="B91" s="6"/>
      <c r="C91" s="6"/>
      <c r="D91" s="6"/>
      <c r="E91" s="6"/>
    </row>
    <row r="92" spans="1:14">
      <c r="B92" s="70">
        <v>78554</v>
      </c>
      <c r="C92" s="70">
        <v>78293</v>
      </c>
      <c r="D92" s="70">
        <v>79025</v>
      </c>
      <c r="E92" s="70">
        <v>81090</v>
      </c>
      <c r="F92" s="71">
        <v>81090</v>
      </c>
      <c r="G92" s="70">
        <v>81079</v>
      </c>
      <c r="H92" s="71">
        <v>89229</v>
      </c>
      <c r="I92" s="71">
        <v>88964</v>
      </c>
      <c r="J92" s="71">
        <v>88964</v>
      </c>
      <c r="K92" s="71">
        <v>88563</v>
      </c>
      <c r="L92" s="71">
        <v>97279</v>
      </c>
      <c r="M92" s="71">
        <v>97277</v>
      </c>
    </row>
    <row r="93" spans="1:14">
      <c r="B93" s="6">
        <f>+B92*-1</f>
        <v>-78554</v>
      </c>
      <c r="C93" s="6">
        <f t="shared" ref="C93:M93" si="26">+C92*-1</f>
        <v>-78293</v>
      </c>
      <c r="D93" s="6">
        <f t="shared" si="26"/>
        <v>-79025</v>
      </c>
      <c r="E93" s="6">
        <f t="shared" si="26"/>
        <v>-81090</v>
      </c>
      <c r="F93" s="6">
        <f t="shared" si="26"/>
        <v>-81090</v>
      </c>
      <c r="G93" s="6">
        <f t="shared" si="26"/>
        <v>-81079</v>
      </c>
      <c r="H93" s="6">
        <f t="shared" si="26"/>
        <v>-89229</v>
      </c>
      <c r="I93" s="6">
        <f t="shared" si="26"/>
        <v>-88964</v>
      </c>
      <c r="J93" s="6">
        <f t="shared" si="26"/>
        <v>-88964</v>
      </c>
      <c r="K93" s="6">
        <f t="shared" si="26"/>
        <v>-88563</v>
      </c>
      <c r="L93" s="6">
        <f t="shared" si="26"/>
        <v>-97279</v>
      </c>
      <c r="M93" s="6">
        <f t="shared" si="26"/>
        <v>-97277</v>
      </c>
    </row>
    <row r="94" spans="1:14">
      <c r="B94" s="6"/>
      <c r="C94" s="6"/>
      <c r="D94" s="34"/>
      <c r="E94" s="6"/>
    </row>
    <row r="95" spans="1:14">
      <c r="B95" s="6"/>
      <c r="C95" s="6"/>
      <c r="D95" s="6"/>
      <c r="E95" s="6"/>
    </row>
    <row r="96" spans="1:14">
      <c r="B96" s="6"/>
      <c r="C96" s="6"/>
      <c r="D96" s="6"/>
      <c r="E96" s="6"/>
    </row>
    <row r="97" spans="7:9">
      <c r="G97" s="6">
        <v>95705.42</v>
      </c>
      <c r="I97">
        <v>18871.16</v>
      </c>
    </row>
  </sheetData>
  <pageMargins left="0.28000000000000003" right="0.25" top="0.99" bottom="0.75" header="0.63" footer="0.23"/>
  <pageSetup scale="67" orientation="landscape" r:id="rId1"/>
  <headerFooter alignWithMargins="0">
    <oddHeader xml:space="preserve">&amp;C&amp;"Arial,Bold"&amp;11 49ER SHOPS, INC.
&amp;UFY2017/2018 OPERATIONAL CASH FLOW </oddHeader>
    <oddFooter>&amp;CCash Flow - FY2017/2018
December 2017</oddFooter>
  </headerFooter>
  <legacyDrawing r:id="rId2"/>
</worksheet>
</file>

<file path=xl/worksheets/sheet2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FF00"/>
    <pageSetUpPr fitToPage="1"/>
  </sheetPr>
  <dimension ref="A1:AR97"/>
  <sheetViews>
    <sheetView showGridLines="0" zoomScale="90" zoomScaleNormal="90" workbookViewId="0">
      <pane xSplit="1" ySplit="3" topLeftCell="F52" activePane="bottomRight" state="frozen"/>
      <selection pane="topRight" activeCell="B72" sqref="B72"/>
      <selection pane="bottomLeft" activeCell="B72" sqref="B72"/>
      <selection pane="bottomRight" activeCell="H62" sqref="H62"/>
    </sheetView>
  </sheetViews>
  <sheetFormatPr defaultRowHeight="12.75"/>
  <cols>
    <col min="1" max="1" width="35.42578125" customWidth="1"/>
    <col min="2" max="2" width="14" customWidth="1"/>
    <col min="3" max="3" width="12.5703125" customWidth="1"/>
    <col min="4" max="4" width="12.140625" customWidth="1"/>
    <col min="5" max="5" width="13.5703125" customWidth="1"/>
    <col min="6" max="6" width="12.85546875" customWidth="1"/>
    <col min="7" max="7" width="12.5703125" style="6" customWidth="1"/>
    <col min="8" max="9" width="12.85546875" customWidth="1"/>
    <col min="10" max="11" width="12.140625" customWidth="1"/>
    <col min="12" max="13" width="12.85546875" customWidth="1"/>
    <col min="14" max="14" width="12.85546875" bestFit="1" customWidth="1"/>
    <col min="15" max="15" width="12.42578125" bestFit="1" customWidth="1"/>
    <col min="16" max="16" width="13.140625" bestFit="1" customWidth="1"/>
  </cols>
  <sheetData>
    <row r="1" spans="1:15" ht="13.5" thickBot="1">
      <c r="A1" s="46" t="s">
        <v>104</v>
      </c>
      <c r="E1" s="6"/>
      <c r="F1" s="6"/>
      <c r="J1" s="6"/>
      <c r="K1" s="6"/>
      <c r="N1" s="3"/>
    </row>
    <row r="2" spans="1:15">
      <c r="B2" s="45" t="s">
        <v>24</v>
      </c>
      <c r="C2" s="45" t="s">
        <v>24</v>
      </c>
      <c r="D2" s="45" t="s">
        <v>24</v>
      </c>
      <c r="E2" s="45" t="s">
        <v>24</v>
      </c>
      <c r="F2" s="45" t="s">
        <v>24</v>
      </c>
      <c r="G2" s="45" t="s">
        <v>24</v>
      </c>
      <c r="H2" s="45" t="s">
        <v>24</v>
      </c>
      <c r="I2" s="48" t="s">
        <v>76</v>
      </c>
      <c r="J2" s="48" t="s">
        <v>76</v>
      </c>
      <c r="K2" s="48" t="s">
        <v>76</v>
      </c>
      <c r="L2" s="48" t="s">
        <v>76</v>
      </c>
      <c r="M2" s="48" t="s">
        <v>76</v>
      </c>
      <c r="N2" s="28" t="s">
        <v>25</v>
      </c>
    </row>
    <row r="3" spans="1:15" s="5" customFormat="1">
      <c r="B3" s="11">
        <v>42918</v>
      </c>
      <c r="C3" s="11">
        <v>42949</v>
      </c>
      <c r="D3" s="11">
        <v>42980</v>
      </c>
      <c r="E3" s="11">
        <v>43010</v>
      </c>
      <c r="F3" s="11">
        <v>43041</v>
      </c>
      <c r="G3" s="11">
        <v>43071</v>
      </c>
      <c r="H3" s="11">
        <v>43102</v>
      </c>
      <c r="I3" s="11">
        <v>43133</v>
      </c>
      <c r="J3" s="11">
        <v>43161</v>
      </c>
      <c r="K3" s="11">
        <v>43192</v>
      </c>
      <c r="L3" s="11">
        <v>43222</v>
      </c>
      <c r="M3" s="11">
        <v>43253</v>
      </c>
      <c r="N3" s="57" t="s">
        <v>100</v>
      </c>
    </row>
    <row r="4" spans="1:15">
      <c r="A4" s="1" t="s">
        <v>27</v>
      </c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>
        <f>SUM(B4:M4)</f>
        <v>0</v>
      </c>
      <c r="O4" s="29"/>
    </row>
    <row r="5" spans="1:15" s="6" customFormat="1">
      <c r="A5" s="6" t="s">
        <v>28</v>
      </c>
      <c r="B5" s="53">
        <v>1102036</v>
      </c>
      <c r="C5" s="53">
        <v>2503975</v>
      </c>
      <c r="D5" s="53">
        <v>5591236</v>
      </c>
      <c r="E5" s="53">
        <v>3997731</v>
      </c>
      <c r="F5" s="53">
        <v>2408043</v>
      </c>
      <c r="G5" s="53">
        <v>2520652</v>
      </c>
      <c r="H5" s="53">
        <v>3392954</v>
      </c>
      <c r="I5" s="53">
        <v>3755825</v>
      </c>
      <c r="J5" s="53">
        <v>3335785</v>
      </c>
      <c r="K5" s="53">
        <v>2998356</v>
      </c>
      <c r="L5" s="53">
        <v>2831511</v>
      </c>
      <c r="M5" s="53">
        <v>1460406</v>
      </c>
      <c r="N5" s="12">
        <f>SUM(B5:M5)</f>
        <v>35898510</v>
      </c>
      <c r="O5" s="29"/>
    </row>
    <row r="6" spans="1:15" s="6" customFormat="1">
      <c r="A6" s="6" t="s">
        <v>29</v>
      </c>
      <c r="B6" s="53">
        <v>70448</v>
      </c>
      <c r="C6" s="53">
        <v>71234</v>
      </c>
      <c r="D6" s="53">
        <v>278603</v>
      </c>
      <c r="E6" s="53">
        <v>67286</v>
      </c>
      <c r="F6" s="53">
        <v>128754</v>
      </c>
      <c r="G6" s="53">
        <v>72857</v>
      </c>
      <c r="H6" s="53">
        <v>74941</v>
      </c>
      <c r="I6" s="53">
        <v>85911</v>
      </c>
      <c r="J6" s="53">
        <v>228813</v>
      </c>
      <c r="K6" s="53">
        <v>89970</v>
      </c>
      <c r="L6" s="53">
        <v>316808</v>
      </c>
      <c r="M6" s="53">
        <v>118439</v>
      </c>
      <c r="N6" s="7">
        <f>SUM(B6:M6)</f>
        <v>1604064</v>
      </c>
      <c r="O6" s="29"/>
    </row>
    <row r="7" spans="1:15" s="6" customFormat="1">
      <c r="B7" s="7"/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7">
        <f>SUM(B7:M7)</f>
        <v>0</v>
      </c>
      <c r="O7" s="29"/>
    </row>
    <row r="8" spans="1:15" s="6" customFormat="1">
      <c r="B8" s="15"/>
      <c r="C8" s="15"/>
      <c r="D8" s="15"/>
      <c r="E8" s="15"/>
      <c r="F8" s="15"/>
      <c r="G8" s="15"/>
      <c r="H8" s="15"/>
      <c r="I8" s="15"/>
      <c r="J8" s="15"/>
      <c r="K8" s="15"/>
      <c r="L8" s="15"/>
      <c r="M8" s="15"/>
      <c r="N8" s="15">
        <f>SUM(B8:M8)</f>
        <v>0</v>
      </c>
      <c r="O8" s="29"/>
    </row>
    <row r="9" spans="1:15" s="6" customFormat="1">
      <c r="A9" s="13" t="s">
        <v>30</v>
      </c>
      <c r="B9" s="12">
        <f t="shared" ref="B9:N9" si="0">SUM(B5:B8)</f>
        <v>1172484</v>
      </c>
      <c r="C9" s="12">
        <f t="shared" si="0"/>
        <v>2575209</v>
      </c>
      <c r="D9" s="12">
        <f t="shared" si="0"/>
        <v>5869839</v>
      </c>
      <c r="E9" s="12">
        <f t="shared" si="0"/>
        <v>4065017</v>
      </c>
      <c r="F9" s="12">
        <f t="shared" si="0"/>
        <v>2536797</v>
      </c>
      <c r="G9" s="12">
        <f t="shared" si="0"/>
        <v>2593509</v>
      </c>
      <c r="H9" s="12">
        <f t="shared" si="0"/>
        <v>3467895</v>
      </c>
      <c r="I9" s="12">
        <f t="shared" si="0"/>
        <v>3841736</v>
      </c>
      <c r="J9" s="12">
        <f t="shared" si="0"/>
        <v>3564598</v>
      </c>
      <c r="K9" s="12">
        <f t="shared" si="0"/>
        <v>3088326</v>
      </c>
      <c r="L9" s="12">
        <f t="shared" si="0"/>
        <v>3148319</v>
      </c>
      <c r="M9" s="12">
        <f t="shared" si="0"/>
        <v>1578845</v>
      </c>
      <c r="N9" s="12">
        <f t="shared" si="0"/>
        <v>37502574</v>
      </c>
      <c r="O9" s="29"/>
    </row>
    <row r="10" spans="1:15" s="6" customFormat="1" ht="6.75" customHeight="1"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29"/>
    </row>
    <row r="11" spans="1:15" s="6" customFormat="1">
      <c r="A11" s="13" t="s">
        <v>31</v>
      </c>
      <c r="B11" s="7">
        <f>99729+B56</f>
        <v>87140</v>
      </c>
      <c r="C11" s="7">
        <f>10280+C56</f>
        <v>-1332</v>
      </c>
      <c r="D11" s="7">
        <f>13117+D56</f>
        <v>926</v>
      </c>
      <c r="E11" s="7">
        <f>31849+E56</f>
        <v>21931</v>
      </c>
      <c r="F11" s="7">
        <f>9121+F56</f>
        <v>964</v>
      </c>
      <c r="G11" s="7">
        <f>96279+G56</f>
        <v>573.58000000000175</v>
      </c>
      <c r="H11" s="7">
        <f>9315+H56</f>
        <v>22</v>
      </c>
      <c r="I11" s="7">
        <v>0</v>
      </c>
      <c r="J11" s="7">
        <v>0</v>
      </c>
      <c r="K11" s="7">
        <v>0</v>
      </c>
      <c r="L11" s="7">
        <v>0</v>
      </c>
      <c r="M11" s="7">
        <v>0</v>
      </c>
      <c r="N11" s="7">
        <f>SUM(B11:M11)</f>
        <v>110224.58</v>
      </c>
      <c r="O11" s="29"/>
    </row>
    <row r="12" spans="1:15" s="6" customFormat="1" ht="7.5" customHeight="1">
      <c r="B12" s="7"/>
      <c r="C12" s="7"/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  <c r="O12" s="29"/>
    </row>
    <row r="13" spans="1:15" s="6" customFormat="1" ht="13.5" thickBot="1">
      <c r="A13" s="13" t="s">
        <v>32</v>
      </c>
      <c r="B13" s="14">
        <f t="shared" ref="B13:N13" si="1">B9+B11</f>
        <v>1259624</v>
      </c>
      <c r="C13" s="14">
        <f>C9+C11</f>
        <v>2573877</v>
      </c>
      <c r="D13" s="14">
        <f t="shared" si="1"/>
        <v>5870765</v>
      </c>
      <c r="E13" s="14">
        <f t="shared" si="1"/>
        <v>4086948</v>
      </c>
      <c r="F13" s="14">
        <f t="shared" si="1"/>
        <v>2537761</v>
      </c>
      <c r="G13" s="14">
        <f t="shared" si="1"/>
        <v>2594082.58</v>
      </c>
      <c r="H13" s="14">
        <f t="shared" si="1"/>
        <v>3467917</v>
      </c>
      <c r="I13" s="14">
        <f t="shared" si="1"/>
        <v>3841736</v>
      </c>
      <c r="J13" s="14">
        <f t="shared" si="1"/>
        <v>3564598</v>
      </c>
      <c r="K13" s="14">
        <f t="shared" si="1"/>
        <v>3088326</v>
      </c>
      <c r="L13" s="14">
        <f t="shared" si="1"/>
        <v>3148319</v>
      </c>
      <c r="M13" s="14">
        <f t="shared" si="1"/>
        <v>1578845</v>
      </c>
      <c r="N13" s="14">
        <f t="shared" si="1"/>
        <v>37612798.579999998</v>
      </c>
      <c r="O13" s="29"/>
    </row>
    <row r="14" spans="1:15" s="6" customFormat="1" ht="13.5" thickTop="1">
      <c r="B14" s="7"/>
      <c r="C14" s="7"/>
      <c r="D14" s="7"/>
      <c r="E14" s="7"/>
      <c r="F14" s="7"/>
      <c r="G14" s="7"/>
      <c r="H14" s="7"/>
      <c r="I14" s="7"/>
      <c r="J14" s="7"/>
      <c r="K14" s="7"/>
      <c r="L14" s="7"/>
      <c r="M14" s="7"/>
    </row>
    <row r="15" spans="1:15" s="6" customFormat="1">
      <c r="A15" s="13" t="s">
        <v>33</v>
      </c>
      <c r="B15" s="7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</row>
    <row r="16" spans="1:15" s="6" customFormat="1">
      <c r="A16" s="6" t="s">
        <v>34</v>
      </c>
      <c r="B16" s="53">
        <v>444475</v>
      </c>
      <c r="C16" s="53">
        <v>1463048</v>
      </c>
      <c r="D16" s="53">
        <v>3023160</v>
      </c>
      <c r="E16" s="53">
        <v>1465276</v>
      </c>
      <c r="F16" s="53">
        <v>847496</v>
      </c>
      <c r="G16" s="53">
        <v>990047</v>
      </c>
      <c r="H16" s="53">
        <v>2082629</v>
      </c>
      <c r="I16" s="53">
        <v>1611344</v>
      </c>
      <c r="J16" s="53">
        <v>1215922</v>
      </c>
      <c r="K16" s="53">
        <v>1090469</v>
      </c>
      <c r="L16" s="53">
        <v>1126126</v>
      </c>
      <c r="M16" s="53">
        <v>849456</v>
      </c>
      <c r="N16" s="7">
        <f>SUM(B16:M16)</f>
        <v>16209448</v>
      </c>
      <c r="O16" s="29"/>
    </row>
    <row r="17" spans="1:44" s="6" customFormat="1">
      <c r="B17" s="27"/>
      <c r="C17" s="27"/>
      <c r="D17" s="27"/>
      <c r="E17" s="27"/>
      <c r="F17" s="27"/>
      <c r="G17" s="27"/>
      <c r="H17" s="27"/>
      <c r="I17" s="27"/>
      <c r="J17" s="27"/>
      <c r="K17" s="27"/>
      <c r="L17" s="27"/>
      <c r="M17" s="27"/>
      <c r="N17" s="7">
        <f>SUM(B17:M17)</f>
        <v>0</v>
      </c>
    </row>
    <row r="18" spans="1:44" s="6" customFormat="1">
      <c r="B18" s="7"/>
      <c r="C18" s="7"/>
      <c r="D18" s="7"/>
      <c r="E18" s="7"/>
      <c r="F18" s="7"/>
      <c r="G18" s="7"/>
      <c r="H18" s="7"/>
      <c r="I18" s="7"/>
      <c r="J18" s="7"/>
      <c r="K18" s="7"/>
      <c r="L18" s="7"/>
      <c r="M18" s="7"/>
      <c r="N18" s="7">
        <v>0</v>
      </c>
    </row>
    <row r="19" spans="1:44" s="6" customFormat="1">
      <c r="B19" s="15"/>
      <c r="C19" s="15"/>
      <c r="D19" s="15"/>
      <c r="E19" s="15"/>
      <c r="F19" s="15"/>
      <c r="G19" s="15"/>
      <c r="H19" s="15"/>
      <c r="I19" s="15"/>
      <c r="J19" s="15"/>
      <c r="K19" s="15"/>
      <c r="L19" s="15"/>
      <c r="M19" s="15"/>
      <c r="N19" s="15">
        <f>SUM(B19:M19)</f>
        <v>0</v>
      </c>
    </row>
    <row r="20" spans="1:44" s="6" customFormat="1">
      <c r="A20" s="13" t="s">
        <v>35</v>
      </c>
      <c r="B20" s="12">
        <f t="shared" ref="B20:N20" si="2">SUM(B16:B19)</f>
        <v>444475</v>
      </c>
      <c r="C20" s="12">
        <f t="shared" si="2"/>
        <v>1463048</v>
      </c>
      <c r="D20" s="12">
        <f t="shared" si="2"/>
        <v>3023160</v>
      </c>
      <c r="E20" s="12">
        <f t="shared" si="2"/>
        <v>1465276</v>
      </c>
      <c r="F20" s="12">
        <f t="shared" si="2"/>
        <v>847496</v>
      </c>
      <c r="G20" s="12">
        <f t="shared" si="2"/>
        <v>990047</v>
      </c>
      <c r="H20" s="12">
        <f t="shared" si="2"/>
        <v>2082629</v>
      </c>
      <c r="I20" s="12">
        <f t="shared" si="2"/>
        <v>1611344</v>
      </c>
      <c r="J20" s="12">
        <f t="shared" si="2"/>
        <v>1215922</v>
      </c>
      <c r="K20" s="12">
        <f t="shared" si="2"/>
        <v>1090469</v>
      </c>
      <c r="L20" s="12">
        <f t="shared" si="2"/>
        <v>1126126</v>
      </c>
      <c r="M20" s="12">
        <f t="shared" si="2"/>
        <v>849456</v>
      </c>
      <c r="N20" s="12">
        <f t="shared" si="2"/>
        <v>16209448</v>
      </c>
      <c r="O20" s="29"/>
    </row>
    <row r="21" spans="1:44" s="6" customFormat="1">
      <c r="B21" s="7"/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</row>
    <row r="22" spans="1:44" s="6" customFormat="1">
      <c r="A22" s="13" t="s">
        <v>36</v>
      </c>
      <c r="B22" s="7"/>
      <c r="C22" s="7"/>
      <c r="D22" s="7"/>
      <c r="E22" s="7"/>
      <c r="F22" s="7"/>
      <c r="G22" s="7"/>
      <c r="H22" s="7"/>
      <c r="I22" s="7"/>
      <c r="J22" s="7"/>
      <c r="K22" s="7"/>
      <c r="L22" s="7"/>
      <c r="M22" s="7"/>
    </row>
    <row r="23" spans="1:44" s="6" customFormat="1">
      <c r="A23" s="6" t="s">
        <v>37</v>
      </c>
      <c r="B23" s="7">
        <f t="shared" ref="B23:M26" si="3">+B5-B16</f>
        <v>657561</v>
      </c>
      <c r="C23" s="7">
        <f t="shared" si="3"/>
        <v>1040927</v>
      </c>
      <c r="D23" s="7">
        <f t="shared" si="3"/>
        <v>2568076</v>
      </c>
      <c r="E23" s="7">
        <f t="shared" si="3"/>
        <v>2532455</v>
      </c>
      <c r="F23" s="7">
        <f t="shared" si="3"/>
        <v>1560547</v>
      </c>
      <c r="G23" s="7">
        <f t="shared" si="3"/>
        <v>1530605</v>
      </c>
      <c r="H23" s="7">
        <f t="shared" si="3"/>
        <v>1310325</v>
      </c>
      <c r="I23" s="7">
        <f t="shared" si="3"/>
        <v>2144481</v>
      </c>
      <c r="J23" s="7">
        <f t="shared" si="3"/>
        <v>2119863</v>
      </c>
      <c r="K23" s="7">
        <f t="shared" si="3"/>
        <v>1907887</v>
      </c>
      <c r="L23" s="7">
        <f t="shared" si="3"/>
        <v>1705385</v>
      </c>
      <c r="M23" s="7">
        <f t="shared" si="3"/>
        <v>610950</v>
      </c>
      <c r="N23" s="7">
        <f>SUM(B23:M23)</f>
        <v>19689062</v>
      </c>
      <c r="O23" s="29"/>
    </row>
    <row r="24" spans="1:44" s="6" customFormat="1">
      <c r="A24" s="6" t="s">
        <v>37</v>
      </c>
      <c r="B24" s="7">
        <f t="shared" si="3"/>
        <v>70448</v>
      </c>
      <c r="C24" s="7">
        <f t="shared" si="3"/>
        <v>71234</v>
      </c>
      <c r="D24" s="7">
        <f t="shared" si="3"/>
        <v>278603</v>
      </c>
      <c r="E24" s="7">
        <f t="shared" si="3"/>
        <v>67286</v>
      </c>
      <c r="F24" s="7">
        <f t="shared" si="3"/>
        <v>128754</v>
      </c>
      <c r="G24" s="7">
        <f t="shared" si="3"/>
        <v>72857</v>
      </c>
      <c r="H24" s="7">
        <f t="shared" si="3"/>
        <v>74941</v>
      </c>
      <c r="I24" s="7">
        <f t="shared" si="3"/>
        <v>85911</v>
      </c>
      <c r="J24" s="7">
        <f t="shared" si="3"/>
        <v>228813</v>
      </c>
      <c r="K24" s="7">
        <f t="shared" si="3"/>
        <v>89970</v>
      </c>
      <c r="L24" s="7">
        <f t="shared" si="3"/>
        <v>316808</v>
      </c>
      <c r="M24" s="7">
        <f t="shared" si="3"/>
        <v>118439</v>
      </c>
      <c r="N24" s="7">
        <f>SUM(B24:M24)</f>
        <v>1604064</v>
      </c>
      <c r="O24" s="29"/>
    </row>
    <row r="25" spans="1:44" s="6" customFormat="1">
      <c r="A25" s="6" t="s">
        <v>38</v>
      </c>
      <c r="B25" s="7">
        <f t="shared" si="3"/>
        <v>0</v>
      </c>
      <c r="C25" s="7">
        <f t="shared" si="3"/>
        <v>0</v>
      </c>
      <c r="D25" s="7">
        <f t="shared" si="3"/>
        <v>0</v>
      </c>
      <c r="E25" s="7">
        <f t="shared" si="3"/>
        <v>0</v>
      </c>
      <c r="F25" s="7">
        <f t="shared" si="3"/>
        <v>0</v>
      </c>
      <c r="G25" s="7">
        <f t="shared" si="3"/>
        <v>0</v>
      </c>
      <c r="H25" s="7">
        <f t="shared" si="3"/>
        <v>0</v>
      </c>
      <c r="I25" s="7">
        <f t="shared" si="3"/>
        <v>0</v>
      </c>
      <c r="J25" s="7">
        <f t="shared" si="3"/>
        <v>0</v>
      </c>
      <c r="K25" s="7">
        <f t="shared" si="3"/>
        <v>0</v>
      </c>
      <c r="L25" s="7">
        <f t="shared" si="3"/>
        <v>0</v>
      </c>
      <c r="M25" s="7">
        <f t="shared" si="3"/>
        <v>0</v>
      </c>
      <c r="N25" s="7">
        <f>SUM(B25:M25)</f>
        <v>0</v>
      </c>
      <c r="O25" s="29"/>
    </row>
    <row r="26" spans="1:44" s="6" customFormat="1">
      <c r="A26" s="6" t="s">
        <v>38</v>
      </c>
      <c r="B26" s="15">
        <f t="shared" si="3"/>
        <v>0</v>
      </c>
      <c r="C26" s="15">
        <f t="shared" si="3"/>
        <v>0</v>
      </c>
      <c r="D26" s="15">
        <f t="shared" si="3"/>
        <v>0</v>
      </c>
      <c r="E26" s="15">
        <f t="shared" si="3"/>
        <v>0</v>
      </c>
      <c r="F26" s="15">
        <f t="shared" si="3"/>
        <v>0</v>
      </c>
      <c r="G26" s="15">
        <f t="shared" si="3"/>
        <v>0</v>
      </c>
      <c r="H26" s="15">
        <f t="shared" si="3"/>
        <v>0</v>
      </c>
      <c r="I26" s="15">
        <f t="shared" si="3"/>
        <v>0</v>
      </c>
      <c r="J26" s="15">
        <f t="shared" si="3"/>
        <v>0</v>
      </c>
      <c r="K26" s="15">
        <f t="shared" si="3"/>
        <v>0</v>
      </c>
      <c r="L26" s="15">
        <f t="shared" si="3"/>
        <v>0</v>
      </c>
      <c r="M26" s="15">
        <f t="shared" si="3"/>
        <v>0</v>
      </c>
      <c r="N26" s="15">
        <f>SUM(B26:M26)</f>
        <v>0</v>
      </c>
      <c r="O26" s="29"/>
    </row>
    <row r="27" spans="1:44" s="6" customFormat="1">
      <c r="A27" s="13" t="s">
        <v>39</v>
      </c>
      <c r="B27" s="12">
        <f t="shared" ref="B27:N27" si="4">SUM(B23:B26)</f>
        <v>728009</v>
      </c>
      <c r="C27" s="12">
        <f t="shared" si="4"/>
        <v>1112161</v>
      </c>
      <c r="D27" s="12">
        <f t="shared" si="4"/>
        <v>2846679</v>
      </c>
      <c r="E27" s="12">
        <f t="shared" si="4"/>
        <v>2599741</v>
      </c>
      <c r="F27" s="12">
        <f t="shared" si="4"/>
        <v>1689301</v>
      </c>
      <c r="G27" s="12">
        <f t="shared" si="4"/>
        <v>1603462</v>
      </c>
      <c r="H27" s="12">
        <f t="shared" si="4"/>
        <v>1385266</v>
      </c>
      <c r="I27" s="12">
        <f t="shared" si="4"/>
        <v>2230392</v>
      </c>
      <c r="J27" s="12">
        <f t="shared" si="4"/>
        <v>2348676</v>
      </c>
      <c r="K27" s="12">
        <f t="shared" si="4"/>
        <v>1997857</v>
      </c>
      <c r="L27" s="12">
        <f t="shared" si="4"/>
        <v>2022193</v>
      </c>
      <c r="M27" s="12">
        <f>SUM(M23:M26)</f>
        <v>729389</v>
      </c>
      <c r="N27" s="12">
        <f t="shared" si="4"/>
        <v>21293126</v>
      </c>
      <c r="O27" s="29"/>
    </row>
    <row r="28" spans="1:44" s="6" customFormat="1" ht="14.45" customHeight="1">
      <c r="B28" s="73">
        <f>+B27/B9</f>
        <v>0.620911671289331</v>
      </c>
      <c r="C28" s="73">
        <f t="shared" ref="C28:N28" si="5">+C27/C9</f>
        <v>0.43187213154349802</v>
      </c>
      <c r="D28" s="73">
        <f t="shared" si="5"/>
        <v>0.48496713453299145</v>
      </c>
      <c r="E28" s="73">
        <f t="shared" si="5"/>
        <v>0.63954000684375978</v>
      </c>
      <c r="F28" s="73">
        <f t="shared" si="5"/>
        <v>0.66591887328785082</v>
      </c>
      <c r="G28" s="73">
        <f t="shared" si="5"/>
        <v>0.6182596628737359</v>
      </c>
      <c r="H28" s="73">
        <f t="shared" si="5"/>
        <v>0.39945442408146731</v>
      </c>
      <c r="I28" s="73">
        <f t="shared" si="5"/>
        <v>0.58056878452866101</v>
      </c>
      <c r="J28" s="73">
        <f t="shared" si="5"/>
        <v>0.65888944559807305</v>
      </c>
      <c r="K28" s="73">
        <f t="shared" si="5"/>
        <v>0.64690612325253227</v>
      </c>
      <c r="L28" s="73">
        <f t="shared" si="5"/>
        <v>0.64230880034710591</v>
      </c>
      <c r="M28" s="73">
        <f t="shared" si="5"/>
        <v>0.4619763181312922</v>
      </c>
      <c r="N28" s="73">
        <f t="shared" si="5"/>
        <v>0.56777772107055902</v>
      </c>
    </row>
    <row r="29" spans="1:44" s="6" customFormat="1">
      <c r="A29" s="13" t="s">
        <v>40</v>
      </c>
      <c r="B29" s="7"/>
      <c r="C29" s="7"/>
      <c r="D29" s="7"/>
      <c r="E29" s="7"/>
      <c r="F29" s="7"/>
      <c r="G29" s="7"/>
      <c r="H29" s="7"/>
      <c r="I29" s="7"/>
      <c r="J29" s="7"/>
      <c r="K29" s="7"/>
      <c r="L29" s="7"/>
      <c r="M29" s="7"/>
    </row>
    <row r="30" spans="1:44" s="6" customFormat="1">
      <c r="A30" s="6" t="s">
        <v>93</v>
      </c>
      <c r="B30" s="53">
        <v>415779</v>
      </c>
      <c r="C30" s="53">
        <v>561495</v>
      </c>
      <c r="D30" s="53">
        <v>742338</v>
      </c>
      <c r="E30" s="53">
        <v>829683</v>
      </c>
      <c r="F30" s="53">
        <v>607435</v>
      </c>
      <c r="G30" s="53">
        <v>631393</v>
      </c>
      <c r="H30" s="53">
        <v>607413</v>
      </c>
      <c r="I30" s="53">
        <v>684805</v>
      </c>
      <c r="J30" s="53">
        <v>688935</v>
      </c>
      <c r="K30" s="53">
        <v>755862</v>
      </c>
      <c r="L30" s="53">
        <v>642868</v>
      </c>
      <c r="M30" s="53">
        <v>459430</v>
      </c>
      <c r="N30" s="7">
        <f>SUM(B30:M30)</f>
        <v>7627436</v>
      </c>
      <c r="O30" s="29"/>
    </row>
    <row r="31" spans="1:44" s="6" customFormat="1">
      <c r="A31" s="6" t="s">
        <v>42</v>
      </c>
      <c r="B31" s="53">
        <v>245383</v>
      </c>
      <c r="C31" s="53">
        <v>212042</v>
      </c>
      <c r="D31" s="53">
        <v>203129</v>
      </c>
      <c r="E31" s="53">
        <v>235434</v>
      </c>
      <c r="F31" s="53">
        <v>203129</v>
      </c>
      <c r="G31" s="53">
        <v>209186</v>
      </c>
      <c r="H31" s="53">
        <v>237769</v>
      </c>
      <c r="I31" s="53">
        <v>198285</v>
      </c>
      <c r="J31" s="53">
        <v>198545</v>
      </c>
      <c r="K31" s="53">
        <v>226530</v>
      </c>
      <c r="L31" s="53">
        <v>194439</v>
      </c>
      <c r="M31" s="53">
        <v>198004</v>
      </c>
      <c r="N31" s="7">
        <f>SUM(B31:M31)</f>
        <v>2561875</v>
      </c>
      <c r="O31" s="29"/>
    </row>
    <row r="32" spans="1:44" s="6" customFormat="1" ht="15">
      <c r="A32" s="6" t="s">
        <v>38</v>
      </c>
      <c r="B32" s="68"/>
      <c r="C32" s="68"/>
      <c r="D32" s="68"/>
      <c r="E32" s="68"/>
      <c r="F32" s="68"/>
      <c r="G32" s="68"/>
      <c r="H32" s="68"/>
      <c r="I32" s="68"/>
      <c r="J32" s="68"/>
      <c r="K32" s="68"/>
      <c r="L32" s="68"/>
      <c r="M32" s="68"/>
      <c r="N32" s="7">
        <f>SUM(B32:M32)</f>
        <v>0</v>
      </c>
      <c r="O32" s="29"/>
      <c r="P32" s="6">
        <f>+B32*-1</f>
        <v>0</v>
      </c>
      <c r="Q32" s="6">
        <f t="shared" ref="Q32:AF33" si="6">+C32*-1</f>
        <v>0</v>
      </c>
      <c r="R32" s="6">
        <f t="shared" si="6"/>
        <v>0</v>
      </c>
      <c r="S32" s="6">
        <f t="shared" si="6"/>
        <v>0</v>
      </c>
      <c r="T32" s="6">
        <f t="shared" si="6"/>
        <v>0</v>
      </c>
      <c r="U32" s="6">
        <f t="shared" si="6"/>
        <v>0</v>
      </c>
      <c r="V32" s="6">
        <f t="shared" si="6"/>
        <v>0</v>
      </c>
      <c r="W32" s="6">
        <f t="shared" si="6"/>
        <v>0</v>
      </c>
      <c r="X32" s="6">
        <f t="shared" si="6"/>
        <v>0</v>
      </c>
      <c r="Y32" s="6">
        <f t="shared" si="6"/>
        <v>0</v>
      </c>
      <c r="Z32" s="6">
        <f t="shared" si="6"/>
        <v>0</v>
      </c>
      <c r="AA32" s="6">
        <f t="shared" si="6"/>
        <v>0</v>
      </c>
      <c r="AB32" s="6">
        <f t="shared" si="6"/>
        <v>0</v>
      </c>
      <c r="AC32" s="6">
        <f t="shared" si="6"/>
        <v>0</v>
      </c>
      <c r="AD32" s="6">
        <f t="shared" si="6"/>
        <v>0</v>
      </c>
      <c r="AE32" s="6">
        <f t="shared" si="6"/>
        <v>0</v>
      </c>
      <c r="AF32" s="6">
        <f t="shared" si="6"/>
        <v>0</v>
      </c>
      <c r="AG32" s="6">
        <f t="shared" ref="AG32:AR33" si="7">+S32*-1</f>
        <v>0</v>
      </c>
      <c r="AH32" s="6">
        <f t="shared" si="7"/>
        <v>0</v>
      </c>
      <c r="AI32" s="6">
        <f t="shared" si="7"/>
        <v>0</v>
      </c>
      <c r="AJ32" s="6">
        <f t="shared" si="7"/>
        <v>0</v>
      </c>
      <c r="AK32" s="6">
        <f t="shared" si="7"/>
        <v>0</v>
      </c>
      <c r="AL32" s="6">
        <f t="shared" si="7"/>
        <v>0</v>
      </c>
      <c r="AM32" s="6">
        <f t="shared" si="7"/>
        <v>0</v>
      </c>
      <c r="AN32" s="6">
        <f t="shared" si="7"/>
        <v>0</v>
      </c>
      <c r="AO32" s="6">
        <f t="shared" si="7"/>
        <v>0</v>
      </c>
      <c r="AP32" s="6">
        <f t="shared" si="7"/>
        <v>0</v>
      </c>
      <c r="AQ32" s="6">
        <f t="shared" si="7"/>
        <v>0</v>
      </c>
      <c r="AR32" s="6">
        <f t="shared" si="7"/>
        <v>0</v>
      </c>
    </row>
    <row r="33" spans="1:44" s="6" customFormat="1">
      <c r="B33" s="15"/>
      <c r="C33" s="15"/>
      <c r="D33" s="15"/>
      <c r="E33" s="15"/>
      <c r="F33" s="15"/>
      <c r="G33" s="15"/>
      <c r="H33" s="15"/>
      <c r="I33" s="15"/>
      <c r="J33" s="15"/>
      <c r="K33" s="15"/>
      <c r="L33" s="15"/>
      <c r="M33" s="15"/>
      <c r="N33" s="15">
        <f>SUM(B33:M33)</f>
        <v>0</v>
      </c>
      <c r="O33" s="29"/>
      <c r="Q33" s="6">
        <f t="shared" si="6"/>
        <v>0</v>
      </c>
      <c r="R33" s="6">
        <f t="shared" si="6"/>
        <v>0</v>
      </c>
      <c r="S33" s="6">
        <f t="shared" si="6"/>
        <v>0</v>
      </c>
      <c r="T33" s="6">
        <f t="shared" si="6"/>
        <v>0</v>
      </c>
      <c r="U33" s="6">
        <f t="shared" si="6"/>
        <v>0</v>
      </c>
      <c r="V33" s="6">
        <f t="shared" si="6"/>
        <v>0</v>
      </c>
      <c r="W33" s="6">
        <f t="shared" si="6"/>
        <v>0</v>
      </c>
      <c r="X33" s="6">
        <f t="shared" si="6"/>
        <v>0</v>
      </c>
      <c r="Y33" s="6">
        <f t="shared" si="6"/>
        <v>0</v>
      </c>
      <c r="Z33" s="6">
        <f t="shared" si="6"/>
        <v>0</v>
      </c>
      <c r="AA33" s="6">
        <f t="shared" si="6"/>
        <v>0</v>
      </c>
      <c r="AB33" s="6">
        <f t="shared" si="6"/>
        <v>0</v>
      </c>
      <c r="AC33" s="6">
        <f t="shared" si="6"/>
        <v>0</v>
      </c>
      <c r="AD33" s="6">
        <f t="shared" si="6"/>
        <v>0</v>
      </c>
      <c r="AE33" s="6">
        <f t="shared" si="6"/>
        <v>0</v>
      </c>
      <c r="AF33" s="6">
        <f t="shared" si="6"/>
        <v>0</v>
      </c>
      <c r="AG33" s="6">
        <f t="shared" si="7"/>
        <v>0</v>
      </c>
      <c r="AH33" s="6">
        <f t="shared" si="7"/>
        <v>0</v>
      </c>
      <c r="AI33" s="6">
        <f t="shared" si="7"/>
        <v>0</v>
      </c>
      <c r="AJ33" s="6">
        <f t="shared" si="7"/>
        <v>0</v>
      </c>
      <c r="AK33" s="6">
        <f t="shared" si="7"/>
        <v>0</v>
      </c>
      <c r="AL33" s="6">
        <f t="shared" si="7"/>
        <v>0</v>
      </c>
      <c r="AM33" s="6">
        <f t="shared" si="7"/>
        <v>0</v>
      </c>
      <c r="AN33" s="6">
        <f t="shared" si="7"/>
        <v>0</v>
      </c>
      <c r="AO33" s="6">
        <f t="shared" si="7"/>
        <v>0</v>
      </c>
      <c r="AP33" s="6">
        <f t="shared" si="7"/>
        <v>0</v>
      </c>
      <c r="AQ33" s="6">
        <f t="shared" si="7"/>
        <v>0</v>
      </c>
      <c r="AR33" s="6">
        <f t="shared" si="7"/>
        <v>0</v>
      </c>
    </row>
    <row r="34" spans="1:44" s="6" customFormat="1">
      <c r="A34" s="13" t="s">
        <v>43</v>
      </c>
      <c r="B34" s="12">
        <f t="shared" ref="B34:N34" si="8">SUM(B30:B33)</f>
        <v>661162</v>
      </c>
      <c r="C34" s="12">
        <f t="shared" si="8"/>
        <v>773537</v>
      </c>
      <c r="D34" s="12">
        <f t="shared" si="8"/>
        <v>945467</v>
      </c>
      <c r="E34" s="12">
        <f t="shared" si="8"/>
        <v>1065117</v>
      </c>
      <c r="F34" s="12">
        <f t="shared" si="8"/>
        <v>810564</v>
      </c>
      <c r="G34" s="12">
        <f t="shared" si="8"/>
        <v>840579</v>
      </c>
      <c r="H34" s="12">
        <f t="shared" si="8"/>
        <v>845182</v>
      </c>
      <c r="I34" s="12">
        <f t="shared" si="8"/>
        <v>883090</v>
      </c>
      <c r="J34" s="12">
        <f t="shared" si="8"/>
        <v>887480</v>
      </c>
      <c r="K34" s="12">
        <f t="shared" si="8"/>
        <v>982392</v>
      </c>
      <c r="L34" s="12">
        <f t="shared" si="8"/>
        <v>837307</v>
      </c>
      <c r="M34" s="12">
        <f t="shared" si="8"/>
        <v>657434</v>
      </c>
      <c r="N34" s="12">
        <f t="shared" si="8"/>
        <v>10189311</v>
      </c>
      <c r="O34" s="29"/>
    </row>
    <row r="35" spans="1:44" s="6" customFormat="1">
      <c r="B35" s="7"/>
      <c r="C35" s="7"/>
      <c r="D35" s="7"/>
      <c r="E35" s="7"/>
      <c r="F35" s="7"/>
      <c r="G35" s="7"/>
      <c r="H35" s="7"/>
      <c r="I35" s="7"/>
      <c r="J35" s="7"/>
      <c r="K35" s="7"/>
      <c r="L35" s="7"/>
      <c r="M35" s="7"/>
    </row>
    <row r="36" spans="1:44" s="6" customFormat="1">
      <c r="A36" s="13" t="s">
        <v>44</v>
      </c>
      <c r="B36" s="7"/>
      <c r="C36" s="7"/>
      <c r="D36" s="7"/>
      <c r="E36" s="7"/>
      <c r="F36" s="7"/>
      <c r="G36" s="7"/>
      <c r="H36" s="7"/>
      <c r="I36" s="7"/>
      <c r="J36" s="7"/>
      <c r="K36" s="7"/>
      <c r="L36" s="7"/>
      <c r="M36" s="7"/>
    </row>
    <row r="37" spans="1:44" s="6" customFormat="1">
      <c r="A37" s="6" t="s">
        <v>45</v>
      </c>
      <c r="B37" s="53">
        <v>1168701</v>
      </c>
      <c r="C37" s="53">
        <v>1244422</v>
      </c>
      <c r="D37" s="53">
        <v>1461507</v>
      </c>
      <c r="E37" s="53">
        <v>1790911</v>
      </c>
      <c r="F37" s="53">
        <v>1370885</v>
      </c>
      <c r="G37" s="66">
        <v>1564207</v>
      </c>
      <c r="H37" s="66">
        <v>1269929</v>
      </c>
      <c r="I37" s="66">
        <v>1496169</v>
      </c>
      <c r="J37" s="66">
        <v>1531501</v>
      </c>
      <c r="K37" s="53">
        <v>1582030</v>
      </c>
      <c r="L37" s="53">
        <v>1425841</v>
      </c>
      <c r="M37" s="53">
        <v>1274220</v>
      </c>
      <c r="N37" s="7">
        <f>SUM(B37:M37)</f>
        <v>17180323</v>
      </c>
      <c r="O37" s="29"/>
      <c r="P37" s="69"/>
    </row>
    <row r="38" spans="1:44" s="6" customFormat="1">
      <c r="A38" s="6" t="s">
        <v>46</v>
      </c>
      <c r="B38" s="7">
        <f>-B34</f>
        <v>-661162</v>
      </c>
      <c r="C38" s="7">
        <f t="shared" ref="C38:M38" si="9">-C34</f>
        <v>-773537</v>
      </c>
      <c r="D38" s="7">
        <f t="shared" si="9"/>
        <v>-945467</v>
      </c>
      <c r="E38" s="7">
        <f t="shared" si="9"/>
        <v>-1065117</v>
      </c>
      <c r="F38" s="7">
        <f t="shared" si="9"/>
        <v>-810564</v>
      </c>
      <c r="G38" s="7">
        <f t="shared" si="9"/>
        <v>-840579</v>
      </c>
      <c r="H38" s="7">
        <f t="shared" si="9"/>
        <v>-845182</v>
      </c>
      <c r="I38" s="7">
        <f t="shared" si="9"/>
        <v>-883090</v>
      </c>
      <c r="J38" s="7">
        <f t="shared" si="9"/>
        <v>-887480</v>
      </c>
      <c r="K38" s="7">
        <f t="shared" si="9"/>
        <v>-982392</v>
      </c>
      <c r="L38" s="7">
        <f t="shared" si="9"/>
        <v>-837307</v>
      </c>
      <c r="M38" s="7">
        <f t="shared" si="9"/>
        <v>-657434</v>
      </c>
      <c r="N38" s="7">
        <f>SUM(B38:M38)</f>
        <v>-10189311</v>
      </c>
      <c r="O38" s="29"/>
    </row>
    <row r="39" spans="1:44" s="6" customFormat="1">
      <c r="A39" s="6" t="s">
        <v>47</v>
      </c>
      <c r="B39" s="72">
        <v>-77886</v>
      </c>
      <c r="C39" s="72">
        <v>-77317</v>
      </c>
      <c r="D39" s="72">
        <v>-76975</v>
      </c>
      <c r="E39" s="72">
        <v>-75957</v>
      </c>
      <c r="F39" s="72">
        <v>-75944</v>
      </c>
      <c r="G39" s="72">
        <v>-75944</v>
      </c>
      <c r="H39" s="72">
        <v>-75944</v>
      </c>
      <c r="I39" s="72">
        <v>-88964</v>
      </c>
      <c r="J39" s="72">
        <v>-88964</v>
      </c>
      <c r="K39" s="72">
        <v>-88563</v>
      </c>
      <c r="L39" s="72">
        <v>-97279</v>
      </c>
      <c r="M39" s="72">
        <v>-97277</v>
      </c>
      <c r="N39" s="7">
        <f>SUM(B39:M39)</f>
        <v>-997014</v>
      </c>
      <c r="O39" s="29"/>
    </row>
    <row r="40" spans="1:44" s="6" customFormat="1">
      <c r="A40" s="6" t="s">
        <v>78</v>
      </c>
      <c r="B40" s="53"/>
      <c r="C40" s="53"/>
      <c r="D40" s="53"/>
      <c r="E40" s="53"/>
      <c r="F40" s="53"/>
      <c r="G40" s="53"/>
      <c r="H40" s="53"/>
      <c r="I40" s="53"/>
      <c r="J40" s="53"/>
      <c r="K40" s="53"/>
      <c r="L40" s="53"/>
      <c r="M40" s="53"/>
      <c r="N40" s="7">
        <f>SUM(B40:M40)</f>
        <v>0</v>
      </c>
      <c r="O40" s="29"/>
    </row>
    <row r="41" spans="1:44" s="6" customFormat="1">
      <c r="A41" s="6" t="s">
        <v>48</v>
      </c>
      <c r="B41" s="60">
        <v>-8350</v>
      </c>
      <c r="C41" s="60">
        <v>-8250</v>
      </c>
      <c r="D41" s="60">
        <v>-8350</v>
      </c>
      <c r="E41" s="60">
        <v>-8350</v>
      </c>
      <c r="F41" s="60">
        <v>-8350</v>
      </c>
      <c r="G41" s="60">
        <v>-8350</v>
      </c>
      <c r="H41" s="60">
        <v>-8350</v>
      </c>
      <c r="I41" s="60">
        <v>-8350</v>
      </c>
      <c r="J41" s="60">
        <v>-8350</v>
      </c>
      <c r="K41" s="60">
        <v>-8350</v>
      </c>
      <c r="L41" s="60">
        <v>-8350</v>
      </c>
      <c r="M41" s="60">
        <v>-30300</v>
      </c>
      <c r="N41" s="15">
        <f>SUM(B41:M41)</f>
        <v>-122050</v>
      </c>
      <c r="O41" s="29"/>
    </row>
    <row r="42" spans="1:44" s="6" customFormat="1">
      <c r="A42" s="13" t="s">
        <v>49</v>
      </c>
      <c r="B42" s="12">
        <f t="shared" ref="B42:N42" si="10">SUM(B37:B41)</f>
        <v>421303</v>
      </c>
      <c r="C42" s="12">
        <f t="shared" si="10"/>
        <v>385318</v>
      </c>
      <c r="D42" s="12">
        <f t="shared" si="10"/>
        <v>430715</v>
      </c>
      <c r="E42" s="12">
        <f t="shared" si="10"/>
        <v>641487</v>
      </c>
      <c r="F42" s="12">
        <f t="shared" si="10"/>
        <v>476027</v>
      </c>
      <c r="G42" s="12">
        <f t="shared" si="10"/>
        <v>639334</v>
      </c>
      <c r="H42" s="12">
        <f t="shared" si="10"/>
        <v>340453</v>
      </c>
      <c r="I42" s="12">
        <f t="shared" si="10"/>
        <v>515765</v>
      </c>
      <c r="J42" s="12">
        <f t="shared" si="10"/>
        <v>546707</v>
      </c>
      <c r="K42" s="12">
        <f t="shared" si="10"/>
        <v>502725</v>
      </c>
      <c r="L42" s="12">
        <f t="shared" si="10"/>
        <v>482905</v>
      </c>
      <c r="M42" s="12">
        <f t="shared" si="10"/>
        <v>489209</v>
      </c>
      <c r="N42" s="12">
        <f t="shared" si="10"/>
        <v>5871948</v>
      </c>
      <c r="O42" s="29"/>
    </row>
    <row r="43" spans="1:44">
      <c r="A43" s="1"/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2"/>
      <c r="N43" s="12"/>
      <c r="O43" s="6"/>
    </row>
    <row r="44" spans="1:44">
      <c r="A44" s="13" t="s">
        <v>50</v>
      </c>
      <c r="B44" s="53">
        <v>296581</v>
      </c>
      <c r="C44" s="53">
        <v>244043</v>
      </c>
      <c r="D44" s="53">
        <v>272075</v>
      </c>
      <c r="E44" s="53">
        <v>331396</v>
      </c>
      <c r="F44" s="53">
        <v>346084</v>
      </c>
      <c r="G44" s="53">
        <v>278977</v>
      </c>
      <c r="H44" s="53">
        <v>350131</v>
      </c>
      <c r="I44" s="53">
        <v>287747</v>
      </c>
      <c r="J44" s="53">
        <v>322520</v>
      </c>
      <c r="K44" s="53">
        <v>378879</v>
      </c>
      <c r="L44" s="53">
        <v>307614</v>
      </c>
      <c r="M44" s="53">
        <v>705082</v>
      </c>
      <c r="N44" s="12">
        <f>SUM(B44:M44)</f>
        <v>4121129</v>
      </c>
      <c r="O44" s="29"/>
    </row>
    <row r="45" spans="1:44">
      <c r="A45" s="6" t="s">
        <v>51</v>
      </c>
      <c r="B45" s="22"/>
      <c r="C45" s="22"/>
      <c r="D45" s="22"/>
      <c r="E45" s="22"/>
      <c r="F45" s="22"/>
      <c r="G45" s="22"/>
      <c r="H45" s="22"/>
      <c r="I45" s="22"/>
      <c r="J45" s="22"/>
      <c r="K45" s="22"/>
      <c r="L45" s="22"/>
      <c r="M45" s="22"/>
      <c r="N45" s="22">
        <f>SUM(B45:M45)</f>
        <v>0</v>
      </c>
      <c r="O45" s="29"/>
    </row>
    <row r="46" spans="1:44">
      <c r="A46" s="1" t="s">
        <v>50</v>
      </c>
      <c r="B46" s="12">
        <f>SUM(B44:B45)</f>
        <v>296581</v>
      </c>
      <c r="C46" s="12">
        <f>SUM(C44:C45)</f>
        <v>244043</v>
      </c>
      <c r="D46" s="12">
        <f t="shared" ref="D46:N46" si="11">SUM(D44:D45)</f>
        <v>272075</v>
      </c>
      <c r="E46" s="12">
        <f t="shared" si="11"/>
        <v>331396</v>
      </c>
      <c r="F46" s="12">
        <f t="shared" si="11"/>
        <v>346084</v>
      </c>
      <c r="G46" s="12">
        <f t="shared" si="11"/>
        <v>278977</v>
      </c>
      <c r="H46" s="12">
        <f t="shared" si="11"/>
        <v>350131</v>
      </c>
      <c r="I46" s="12">
        <f t="shared" si="11"/>
        <v>287747</v>
      </c>
      <c r="J46" s="12">
        <f t="shared" si="11"/>
        <v>322520</v>
      </c>
      <c r="K46" s="12">
        <f t="shared" si="11"/>
        <v>378879</v>
      </c>
      <c r="L46" s="12">
        <f t="shared" si="11"/>
        <v>307614</v>
      </c>
      <c r="M46" s="12">
        <f t="shared" si="11"/>
        <v>705082</v>
      </c>
      <c r="N46" s="12">
        <f t="shared" si="11"/>
        <v>4121129</v>
      </c>
      <c r="O46" s="29"/>
    </row>
    <row r="47" spans="1:44">
      <c r="B47" s="7"/>
      <c r="C47" s="7"/>
      <c r="D47" s="7"/>
      <c r="E47" s="7"/>
      <c r="F47" s="7"/>
      <c r="G47" s="7"/>
      <c r="H47" s="7"/>
      <c r="I47" s="7"/>
      <c r="J47" s="7"/>
      <c r="K47" s="6"/>
      <c r="L47" s="6"/>
      <c r="M47" s="6"/>
      <c r="N47" s="6"/>
      <c r="O47" s="6"/>
    </row>
    <row r="48" spans="1:44">
      <c r="A48" s="13" t="s">
        <v>52</v>
      </c>
      <c r="B48" s="19">
        <f t="shared" ref="B48:N48" si="12">+B20+B34+B42+B46</f>
        <v>1823521</v>
      </c>
      <c r="C48" s="19">
        <f t="shared" si="12"/>
        <v>2865946</v>
      </c>
      <c r="D48" s="19">
        <f t="shared" si="12"/>
        <v>4671417</v>
      </c>
      <c r="E48" s="19">
        <f t="shared" si="12"/>
        <v>3503276</v>
      </c>
      <c r="F48" s="19">
        <f t="shared" si="12"/>
        <v>2480171</v>
      </c>
      <c r="G48" s="19">
        <f t="shared" si="12"/>
        <v>2748937</v>
      </c>
      <c r="H48" s="19">
        <f t="shared" si="12"/>
        <v>3618395</v>
      </c>
      <c r="I48" s="19">
        <f t="shared" si="12"/>
        <v>3297946</v>
      </c>
      <c r="J48" s="19">
        <f t="shared" si="12"/>
        <v>2972629</v>
      </c>
      <c r="K48" s="19">
        <f t="shared" si="12"/>
        <v>2954465</v>
      </c>
      <c r="L48" s="19">
        <f t="shared" si="12"/>
        <v>2753952</v>
      </c>
      <c r="M48" s="19">
        <f t="shared" si="12"/>
        <v>2701181</v>
      </c>
      <c r="N48" s="19">
        <f t="shared" si="12"/>
        <v>36391836</v>
      </c>
      <c r="O48" s="29"/>
    </row>
    <row r="49" spans="1:17">
      <c r="B49" s="7"/>
      <c r="C49" s="7"/>
      <c r="D49" s="7"/>
      <c r="E49" s="7"/>
      <c r="F49" s="7"/>
      <c r="G49" s="7"/>
      <c r="H49" s="7"/>
      <c r="I49" s="7"/>
      <c r="J49" s="7"/>
      <c r="K49" s="6"/>
      <c r="L49" s="6"/>
      <c r="M49" s="6"/>
      <c r="N49" s="6"/>
      <c r="O49" s="6"/>
    </row>
    <row r="50" spans="1:17">
      <c r="A50" s="1" t="s">
        <v>53</v>
      </c>
      <c r="B50" s="12">
        <f t="shared" ref="B50:M50" si="13">+B13-B48</f>
        <v>-563897</v>
      </c>
      <c r="C50" s="12">
        <f t="shared" si="13"/>
        <v>-292069</v>
      </c>
      <c r="D50" s="12">
        <f t="shared" si="13"/>
        <v>1199348</v>
      </c>
      <c r="E50" s="12">
        <f t="shared" si="13"/>
        <v>583672</v>
      </c>
      <c r="F50" s="12">
        <f t="shared" si="13"/>
        <v>57590</v>
      </c>
      <c r="G50" s="12">
        <f t="shared" si="13"/>
        <v>-154854.41999999993</v>
      </c>
      <c r="H50" s="12">
        <f t="shared" si="13"/>
        <v>-150478</v>
      </c>
      <c r="I50" s="12">
        <f t="shared" si="13"/>
        <v>543790</v>
      </c>
      <c r="J50" s="12">
        <f t="shared" si="13"/>
        <v>591969</v>
      </c>
      <c r="K50" s="12">
        <f t="shared" si="13"/>
        <v>133861</v>
      </c>
      <c r="L50" s="12">
        <f t="shared" si="13"/>
        <v>394367</v>
      </c>
      <c r="M50" s="12">
        <f t="shared" si="13"/>
        <v>-1122336</v>
      </c>
      <c r="N50" s="12">
        <f>SUM(B50:M50)</f>
        <v>1220962.58</v>
      </c>
      <c r="O50" s="6"/>
      <c r="P50" s="25"/>
    </row>
    <row r="51" spans="1:17" ht="7.5" customHeight="1">
      <c r="B51" s="7"/>
      <c r="C51" s="7"/>
      <c r="D51" s="7"/>
      <c r="E51" s="7"/>
      <c r="F51" s="7"/>
      <c r="G51" s="7"/>
      <c r="H51" s="7"/>
      <c r="I51" s="7"/>
      <c r="J51" s="7"/>
      <c r="K51" s="6"/>
      <c r="L51" s="6"/>
      <c r="M51" s="6"/>
      <c r="N51" s="6"/>
      <c r="O51" s="6"/>
    </row>
    <row r="52" spans="1:17">
      <c r="A52" s="1" t="s">
        <v>54</v>
      </c>
      <c r="B52" s="7"/>
      <c r="C52" s="7"/>
      <c r="D52" s="7"/>
      <c r="E52" s="7"/>
      <c r="F52" s="7"/>
      <c r="G52" s="7"/>
      <c r="H52" s="7"/>
      <c r="I52" s="7"/>
      <c r="J52" s="7"/>
      <c r="K52" s="6"/>
      <c r="L52" s="6"/>
      <c r="M52" s="6"/>
      <c r="N52" s="6"/>
      <c r="O52" s="6"/>
    </row>
    <row r="53" spans="1:17" s="6" customFormat="1">
      <c r="A53" s="6" t="s">
        <v>55</v>
      </c>
      <c r="B53" s="10">
        <v>101289</v>
      </c>
      <c r="C53" s="10">
        <v>230379</v>
      </c>
      <c r="D53" s="10">
        <v>5347</v>
      </c>
      <c r="E53" s="10">
        <f>740+15090+2192.65</f>
        <v>18022.650000000001</v>
      </c>
      <c r="F53" s="10">
        <v>85439</v>
      </c>
      <c r="G53" s="10">
        <v>23064</v>
      </c>
      <c r="H53" s="23">
        <v>15602</v>
      </c>
      <c r="I53" s="10">
        <v>265000</v>
      </c>
      <c r="J53" s="10">
        <v>0</v>
      </c>
      <c r="K53" s="10">
        <v>192250</v>
      </c>
      <c r="L53" s="10">
        <v>243000</v>
      </c>
      <c r="M53" s="10">
        <v>275000</v>
      </c>
      <c r="N53" s="10">
        <f>SUM(B53:M53)</f>
        <v>1454392.65</v>
      </c>
      <c r="P53" s="40"/>
    </row>
    <row r="54" spans="1:17" s="6" customFormat="1">
      <c r="A54" s="6" t="s">
        <v>96</v>
      </c>
      <c r="B54" s="10"/>
      <c r="C54" s="10"/>
      <c r="D54" s="10"/>
      <c r="E54" s="10"/>
      <c r="F54" s="10">
        <v>95000</v>
      </c>
      <c r="G54" s="10"/>
      <c r="H54" s="10"/>
      <c r="I54" s="10"/>
      <c r="J54" s="10"/>
      <c r="K54" s="10"/>
      <c r="L54" s="10"/>
      <c r="M54" s="10"/>
      <c r="N54" s="10">
        <f>SUM(B54:M54)</f>
        <v>95000</v>
      </c>
      <c r="P54" s="7"/>
      <c r="Q54" s="6">
        <v>0</v>
      </c>
    </row>
    <row r="55" spans="1:17" s="6" customFormat="1">
      <c r="A55" s="6" t="s">
        <v>97</v>
      </c>
      <c r="B55" s="10">
        <f>276228+184</f>
        <v>276412</v>
      </c>
      <c r="C55" s="10"/>
      <c r="D55" s="10"/>
      <c r="E55" s="10"/>
      <c r="F55" s="10"/>
      <c r="G55" s="10"/>
      <c r="H55" s="10"/>
      <c r="I55" s="10"/>
      <c r="J55" s="10"/>
      <c r="K55" s="10"/>
      <c r="L55" s="10">
        <v>0</v>
      </c>
      <c r="M55" s="10">
        <v>0</v>
      </c>
      <c r="N55" s="10">
        <f>SUM(B55:M55)</f>
        <v>276412</v>
      </c>
      <c r="P55" s="7"/>
    </row>
    <row r="56" spans="1:17" s="6" customFormat="1">
      <c r="A56" s="37" t="s">
        <v>58</v>
      </c>
      <c r="B56" s="7">
        <v>-12589</v>
      </c>
      <c r="C56" s="7">
        <v>-11612</v>
      </c>
      <c r="D56" s="7">
        <v>-12191</v>
      </c>
      <c r="E56" s="7">
        <v>-9918</v>
      </c>
      <c r="F56" s="7">
        <v>-8157</v>
      </c>
      <c r="G56" s="7">
        <v>-95705.42</v>
      </c>
      <c r="H56" s="10">
        <v>-9293</v>
      </c>
      <c r="I56" s="7">
        <v>-12500</v>
      </c>
      <c r="J56" s="7">
        <v>-12500</v>
      </c>
      <c r="K56" s="7">
        <v>-12500</v>
      </c>
      <c r="L56" s="7">
        <v>-12500</v>
      </c>
      <c r="M56" s="7">
        <v>-12500</v>
      </c>
      <c r="N56" s="7">
        <f>SUM(B56:M56)</f>
        <v>-221965.41999999998</v>
      </c>
      <c r="P56" s="56"/>
    </row>
    <row r="57" spans="1:17" s="6" customFormat="1">
      <c r="A57" s="6" t="s">
        <v>59</v>
      </c>
      <c r="B57" s="22">
        <v>-187388</v>
      </c>
      <c r="C57" s="22">
        <v>-40876</v>
      </c>
      <c r="D57" s="22">
        <v>-158851</v>
      </c>
      <c r="E57" s="22">
        <v>-155108</v>
      </c>
      <c r="F57" s="22">
        <v>-96958</v>
      </c>
      <c r="G57" s="22">
        <v>-18871.16</v>
      </c>
      <c r="H57" s="10">
        <v>-438304</v>
      </c>
      <c r="I57" s="22">
        <v>-25000</v>
      </c>
      <c r="J57" s="22">
        <v>-25000</v>
      </c>
      <c r="K57" s="22">
        <v>-25000</v>
      </c>
      <c r="L57" s="22">
        <v>-25000</v>
      </c>
      <c r="M57" s="22">
        <v>-25000</v>
      </c>
      <c r="N57" s="22">
        <f>SUM(B57:M57)</f>
        <v>-1221356.1600000001</v>
      </c>
      <c r="P57" s="7"/>
    </row>
    <row r="58" spans="1:17" s="6" customFormat="1">
      <c r="A58" s="13" t="s">
        <v>60</v>
      </c>
      <c r="B58" s="19">
        <f t="shared" ref="B58:N58" si="14">SUM(B53:B57)</f>
        <v>177724</v>
      </c>
      <c r="C58" s="19">
        <f t="shared" si="14"/>
        <v>177891</v>
      </c>
      <c r="D58" s="19">
        <f t="shared" si="14"/>
        <v>-165695</v>
      </c>
      <c r="E58" s="19">
        <f t="shared" si="14"/>
        <v>-147003.35</v>
      </c>
      <c r="F58" s="19">
        <f t="shared" si="14"/>
        <v>75324</v>
      </c>
      <c r="G58" s="19">
        <f t="shared" si="14"/>
        <v>-91512.58</v>
      </c>
      <c r="H58" s="19">
        <f>SUM(H53:H57)</f>
        <v>-431995</v>
      </c>
      <c r="I58" s="19">
        <f t="shared" si="14"/>
        <v>227500</v>
      </c>
      <c r="J58" s="19">
        <f t="shared" si="14"/>
        <v>-37500</v>
      </c>
      <c r="K58" s="19">
        <f t="shared" si="14"/>
        <v>154750</v>
      </c>
      <c r="L58" s="19">
        <f t="shared" si="14"/>
        <v>205500</v>
      </c>
      <c r="M58" s="19">
        <f t="shared" si="14"/>
        <v>237500</v>
      </c>
      <c r="N58" s="19">
        <f t="shared" si="14"/>
        <v>382483.06999999983</v>
      </c>
      <c r="O58" s="29"/>
    </row>
    <row r="59" spans="1:17">
      <c r="B59" s="7"/>
      <c r="C59" s="7"/>
      <c r="D59" s="7"/>
      <c r="E59" s="7"/>
      <c r="F59" s="7"/>
      <c r="G59" s="7"/>
      <c r="H59" s="7"/>
      <c r="I59" s="7"/>
      <c r="J59" s="7"/>
      <c r="K59" s="7"/>
      <c r="L59" s="7"/>
      <c r="M59" s="7"/>
      <c r="N59" s="7"/>
      <c r="O59" s="6"/>
    </row>
    <row r="60" spans="1:17">
      <c r="A60" s="1" t="s">
        <v>61</v>
      </c>
      <c r="B60" s="12">
        <v>13373023</v>
      </c>
      <c r="C60" s="7"/>
      <c r="D60" s="7"/>
      <c r="E60" s="7"/>
      <c r="F60" s="7"/>
      <c r="G60" s="7"/>
      <c r="H60" s="7" t="s">
        <v>38</v>
      </c>
      <c r="I60" s="7"/>
      <c r="J60" s="7"/>
      <c r="K60" s="6"/>
      <c r="L60" s="6"/>
      <c r="M60" s="6"/>
      <c r="N60" s="6"/>
      <c r="O60" s="6"/>
    </row>
    <row r="61" spans="1:17">
      <c r="A61" s="13" t="s">
        <v>62</v>
      </c>
      <c r="B61" s="19">
        <f t="shared" ref="B61:N61" si="15">+B58+B48</f>
        <v>2001245</v>
      </c>
      <c r="C61" s="19">
        <f t="shared" si="15"/>
        <v>3043837</v>
      </c>
      <c r="D61" s="19">
        <f t="shared" si="15"/>
        <v>4505722</v>
      </c>
      <c r="E61" s="19">
        <f t="shared" si="15"/>
        <v>3356272.65</v>
      </c>
      <c r="F61" s="19">
        <f t="shared" si="15"/>
        <v>2555495</v>
      </c>
      <c r="G61" s="19">
        <f t="shared" si="15"/>
        <v>2657424.42</v>
      </c>
      <c r="H61" s="19">
        <f t="shared" si="15"/>
        <v>3186400</v>
      </c>
      <c r="I61" s="19">
        <f t="shared" si="15"/>
        <v>3525446</v>
      </c>
      <c r="J61" s="19">
        <f t="shared" si="15"/>
        <v>2935129</v>
      </c>
      <c r="K61" s="19">
        <f t="shared" si="15"/>
        <v>3109215</v>
      </c>
      <c r="L61" s="19">
        <f t="shared" si="15"/>
        <v>2959452</v>
      </c>
      <c r="M61" s="19">
        <f t="shared" si="15"/>
        <v>2938681</v>
      </c>
      <c r="N61" s="19">
        <f t="shared" si="15"/>
        <v>36774319.07</v>
      </c>
      <c r="O61" s="29"/>
      <c r="P61" s="25">
        <f>+N61-O61</f>
        <v>36774319.07</v>
      </c>
    </row>
    <row r="62" spans="1:17" ht="13.5" thickBot="1">
      <c r="A62" s="13" t="s">
        <v>63</v>
      </c>
      <c r="B62" s="30">
        <f t="shared" ref="B62:N62" si="16">+B13-B61</f>
        <v>-741621</v>
      </c>
      <c r="C62" s="30">
        <f t="shared" si="16"/>
        <v>-469960</v>
      </c>
      <c r="D62" s="30">
        <f t="shared" si="16"/>
        <v>1365043</v>
      </c>
      <c r="E62" s="30">
        <f t="shared" si="16"/>
        <v>730675.35000000009</v>
      </c>
      <c r="F62" s="30">
        <f t="shared" si="16"/>
        <v>-17734</v>
      </c>
      <c r="G62" s="30">
        <f t="shared" si="16"/>
        <v>-63341.839999999851</v>
      </c>
      <c r="H62" s="30">
        <f t="shared" si="16"/>
        <v>281517</v>
      </c>
      <c r="I62" s="14">
        <f t="shared" si="16"/>
        <v>316290</v>
      </c>
      <c r="J62" s="14">
        <f t="shared" si="16"/>
        <v>629469</v>
      </c>
      <c r="K62" s="14">
        <f t="shared" si="16"/>
        <v>-20889</v>
      </c>
      <c r="L62" s="14">
        <f t="shared" si="16"/>
        <v>188867</v>
      </c>
      <c r="M62" s="14">
        <f t="shared" si="16"/>
        <v>-1359836</v>
      </c>
      <c r="N62" s="14">
        <f t="shared" si="16"/>
        <v>838479.50999999791</v>
      </c>
      <c r="O62" s="29"/>
      <c r="P62" s="25">
        <f>+N62-O62</f>
        <v>838479.50999999791</v>
      </c>
    </row>
    <row r="63" spans="1:17" s="6" customFormat="1" ht="13.5" thickTop="1">
      <c r="A63" s="13" t="s">
        <v>64</v>
      </c>
      <c r="B63" s="32">
        <f>+B62</f>
        <v>-741621</v>
      </c>
      <c r="C63" s="32">
        <f t="shared" ref="C63:M63" si="17">B63+C62</f>
        <v>-1211581</v>
      </c>
      <c r="D63" s="32">
        <f t="shared" si="17"/>
        <v>153462</v>
      </c>
      <c r="E63" s="32">
        <f t="shared" si="17"/>
        <v>884137.35000000009</v>
      </c>
      <c r="F63" s="32">
        <f t="shared" si="17"/>
        <v>866403.35000000009</v>
      </c>
      <c r="G63" s="32">
        <f t="shared" si="17"/>
        <v>803061.51000000024</v>
      </c>
      <c r="H63" s="32">
        <f t="shared" si="17"/>
        <v>1084578.5100000002</v>
      </c>
      <c r="I63" s="12">
        <f t="shared" si="17"/>
        <v>1400868.5100000002</v>
      </c>
      <c r="J63" s="12">
        <f t="shared" si="17"/>
        <v>2030337.5100000002</v>
      </c>
      <c r="K63" s="12">
        <f t="shared" si="17"/>
        <v>2009448.5100000002</v>
      </c>
      <c r="L63" s="12">
        <f t="shared" si="17"/>
        <v>2198315.5100000002</v>
      </c>
      <c r="M63" s="12">
        <f t="shared" si="17"/>
        <v>838479.51000000024</v>
      </c>
      <c r="N63" s="12"/>
    </row>
    <row r="64" spans="1:17">
      <c r="A64" s="13" t="s">
        <v>65</v>
      </c>
      <c r="B64" s="12">
        <f t="shared" ref="B64:M64" si="18">+$B$60+B63</f>
        <v>12631402</v>
      </c>
      <c r="C64" s="12">
        <f t="shared" si="18"/>
        <v>12161442</v>
      </c>
      <c r="D64" s="12">
        <f t="shared" si="18"/>
        <v>13526485</v>
      </c>
      <c r="E64" s="12">
        <f t="shared" si="18"/>
        <v>14257160.35</v>
      </c>
      <c r="F64" s="12">
        <f t="shared" si="18"/>
        <v>14239426.35</v>
      </c>
      <c r="G64" s="12">
        <f t="shared" si="18"/>
        <v>14176084.51</v>
      </c>
      <c r="H64" s="12">
        <f t="shared" si="18"/>
        <v>14457601.51</v>
      </c>
      <c r="I64" s="12">
        <f t="shared" si="18"/>
        <v>14773891.51</v>
      </c>
      <c r="J64" s="12">
        <f t="shared" si="18"/>
        <v>15403360.51</v>
      </c>
      <c r="K64" s="12">
        <f t="shared" si="18"/>
        <v>15382471.51</v>
      </c>
      <c r="L64" s="12">
        <f t="shared" si="18"/>
        <v>15571338.51</v>
      </c>
      <c r="M64" s="12">
        <f t="shared" si="18"/>
        <v>14211502.51</v>
      </c>
      <c r="N64" s="12"/>
      <c r="O64" s="6"/>
      <c r="P64" s="29"/>
    </row>
    <row r="65" spans="1:16">
      <c r="A65" s="6"/>
      <c r="B65" s="7"/>
      <c r="C65" s="7"/>
      <c r="D65" s="7"/>
      <c r="E65" s="7"/>
      <c r="F65" s="7"/>
      <c r="G65" s="7"/>
      <c r="H65" s="7"/>
      <c r="I65" s="7"/>
      <c r="J65" s="7"/>
      <c r="K65" s="6"/>
      <c r="L65" s="6"/>
      <c r="M65" s="6"/>
      <c r="N65" s="6"/>
      <c r="O65" s="6"/>
    </row>
    <row r="66" spans="1:16" s="6" customFormat="1">
      <c r="A66" s="17" t="s">
        <v>94</v>
      </c>
      <c r="B66" s="18"/>
      <c r="C66" s="18"/>
      <c r="D66" s="18"/>
      <c r="E66" s="18"/>
      <c r="F66" s="18"/>
      <c r="G66" s="18"/>
      <c r="H66" s="18"/>
      <c r="I66" s="18"/>
      <c r="J66" s="18"/>
      <c r="K66" s="18"/>
      <c r="L66" s="18"/>
      <c r="M66" s="18"/>
      <c r="N66" s="18"/>
    </row>
    <row r="67" spans="1:16" ht="13.5" thickBot="1">
      <c r="A67" s="13" t="s">
        <v>67</v>
      </c>
      <c r="B67" s="14">
        <v>-968259</v>
      </c>
      <c r="C67" s="14">
        <v>165657</v>
      </c>
      <c r="D67" s="14">
        <v>1175481</v>
      </c>
      <c r="E67" s="14">
        <v>388022</v>
      </c>
      <c r="F67" s="14">
        <v>-191039</v>
      </c>
      <c r="G67" s="14">
        <v>96436</v>
      </c>
      <c r="H67" s="14">
        <v>-114280</v>
      </c>
      <c r="I67" s="14">
        <v>316290</v>
      </c>
      <c r="J67" s="14">
        <v>629469</v>
      </c>
      <c r="K67" s="14">
        <v>-20889</v>
      </c>
      <c r="L67" s="14">
        <v>188867</v>
      </c>
      <c r="M67" s="14">
        <v>-1359836</v>
      </c>
      <c r="N67" s="16"/>
      <c r="O67" s="6"/>
    </row>
    <row r="68" spans="1:16" ht="13.5" thickTop="1">
      <c r="A68" s="13" t="s">
        <v>64</v>
      </c>
      <c r="B68" s="12">
        <f>+B67</f>
        <v>-968259</v>
      </c>
      <c r="C68" s="12">
        <f>+B68+C67</f>
        <v>-802602</v>
      </c>
      <c r="D68" s="12">
        <f t="shared" ref="D68:M68" si="19">+C68+D67</f>
        <v>372879</v>
      </c>
      <c r="E68" s="12">
        <f t="shared" si="19"/>
        <v>760901</v>
      </c>
      <c r="F68" s="12">
        <f t="shared" si="19"/>
        <v>569862</v>
      </c>
      <c r="G68" s="12">
        <f t="shared" si="19"/>
        <v>666298</v>
      </c>
      <c r="H68" s="12">
        <f t="shared" si="19"/>
        <v>552018</v>
      </c>
      <c r="I68" s="12">
        <f t="shared" si="19"/>
        <v>868308</v>
      </c>
      <c r="J68" s="12">
        <f t="shared" si="19"/>
        <v>1497777</v>
      </c>
      <c r="K68" s="12">
        <f t="shared" si="19"/>
        <v>1476888</v>
      </c>
      <c r="L68" s="12">
        <f t="shared" si="19"/>
        <v>1665755</v>
      </c>
      <c r="M68" s="12">
        <f t="shared" si="19"/>
        <v>305919</v>
      </c>
      <c r="N68" s="16"/>
      <c r="O68" s="6"/>
    </row>
    <row r="69" spans="1:16">
      <c r="A69" s="13" t="s">
        <v>65</v>
      </c>
      <c r="B69" s="12">
        <v>10066787.80069958</v>
      </c>
      <c r="C69" s="12">
        <v>10474885.82712047</v>
      </c>
      <c r="D69" s="12">
        <v>11546728.467384296</v>
      </c>
      <c r="E69" s="12">
        <v>11992721.928639133</v>
      </c>
      <c r="F69" s="12">
        <v>11726972.321587943</v>
      </c>
      <c r="G69" s="12">
        <v>11337269.706012141</v>
      </c>
      <c r="H69" s="12">
        <v>11322908.797641888</v>
      </c>
      <c r="I69" s="12">
        <v>11526789.393104676</v>
      </c>
      <c r="J69" s="12">
        <v>11837705.668475684</v>
      </c>
      <c r="K69" s="12">
        <v>12021264.778665379</v>
      </c>
      <c r="L69" s="12">
        <v>12475612.568366794</v>
      </c>
      <c r="M69" s="12">
        <v>11197948.23476476</v>
      </c>
      <c r="N69" s="12"/>
      <c r="O69" s="6"/>
    </row>
    <row r="70" spans="1:16">
      <c r="A70" s="6"/>
      <c r="B70" s="6"/>
      <c r="C70" s="6"/>
      <c r="D70" s="6"/>
      <c r="E70" s="6"/>
      <c r="F70" s="6"/>
      <c r="H70" s="6"/>
      <c r="I70" s="6"/>
      <c r="J70" s="6"/>
      <c r="K70" s="6"/>
      <c r="L70" s="6"/>
      <c r="M70" s="6"/>
      <c r="N70" s="6"/>
      <c r="O70" s="6"/>
    </row>
    <row r="71" spans="1:16">
      <c r="A71" s="24" t="s">
        <v>68</v>
      </c>
      <c r="B71" s="18"/>
      <c r="C71" s="18"/>
      <c r="D71" s="18"/>
      <c r="E71" s="18"/>
      <c r="F71" s="18"/>
      <c r="G71" s="18"/>
      <c r="H71" s="18"/>
      <c r="I71" s="18"/>
      <c r="J71" s="18"/>
      <c r="K71" s="18"/>
      <c r="L71" s="18"/>
      <c r="M71" s="18"/>
      <c r="N71" s="18"/>
      <c r="O71" s="6"/>
    </row>
    <row r="72" spans="1:16">
      <c r="A72" s="13" t="s">
        <v>63</v>
      </c>
      <c r="B72" s="31">
        <f t="shared" ref="B72:N74" si="20">+B62-B67</f>
        <v>226638</v>
      </c>
      <c r="C72" s="31">
        <f t="shared" si="20"/>
        <v>-635617</v>
      </c>
      <c r="D72" s="31">
        <f t="shared" si="20"/>
        <v>189562</v>
      </c>
      <c r="E72" s="31">
        <f t="shared" si="20"/>
        <v>342653.35000000009</v>
      </c>
      <c r="F72" s="31">
        <f t="shared" si="20"/>
        <v>173305</v>
      </c>
      <c r="G72" s="31">
        <f t="shared" si="20"/>
        <v>-159777.83999999985</v>
      </c>
      <c r="H72" s="31">
        <f t="shared" si="20"/>
        <v>395797</v>
      </c>
      <c r="I72" s="16">
        <f t="shared" si="20"/>
        <v>0</v>
      </c>
      <c r="J72" s="16">
        <f t="shared" si="20"/>
        <v>0</v>
      </c>
      <c r="K72" s="16">
        <f t="shared" si="20"/>
        <v>0</v>
      </c>
      <c r="L72" s="16">
        <f t="shared" si="20"/>
        <v>0</v>
      </c>
      <c r="M72" s="16">
        <f t="shared" si="20"/>
        <v>0</v>
      </c>
      <c r="N72" s="6"/>
      <c r="O72" s="6"/>
      <c r="P72" s="16">
        <f>+N62-N67</f>
        <v>838479.50999999791</v>
      </c>
    </row>
    <row r="73" spans="1:16" s="6" customFormat="1">
      <c r="A73" s="13" t="s">
        <v>64</v>
      </c>
      <c r="B73" s="31">
        <f t="shared" si="20"/>
        <v>226638</v>
      </c>
      <c r="C73" s="31">
        <f t="shared" si="20"/>
        <v>-408979</v>
      </c>
      <c r="D73" s="31">
        <f t="shared" si="20"/>
        <v>-219417</v>
      </c>
      <c r="E73" s="31">
        <f t="shared" si="20"/>
        <v>123236.35000000009</v>
      </c>
      <c r="F73" s="31">
        <f t="shared" si="20"/>
        <v>296541.35000000009</v>
      </c>
      <c r="G73" s="31">
        <f t="shared" si="20"/>
        <v>136763.51000000024</v>
      </c>
      <c r="H73" s="31">
        <f t="shared" si="20"/>
        <v>532560.51000000024</v>
      </c>
      <c r="I73" s="16">
        <f t="shared" si="20"/>
        <v>532560.51000000024</v>
      </c>
      <c r="J73" s="16">
        <f t="shared" si="20"/>
        <v>532560.51000000024</v>
      </c>
      <c r="K73" s="16">
        <f t="shared" si="20"/>
        <v>532560.51000000024</v>
      </c>
      <c r="L73" s="16">
        <f t="shared" si="20"/>
        <v>532560.51000000024</v>
      </c>
      <c r="M73" s="16">
        <f t="shared" si="20"/>
        <v>532560.51000000024</v>
      </c>
      <c r="N73" s="16">
        <f t="shared" si="20"/>
        <v>0</v>
      </c>
    </row>
    <row r="74" spans="1:16">
      <c r="A74" s="1" t="s">
        <v>65</v>
      </c>
      <c r="B74" s="16">
        <f t="shared" si="20"/>
        <v>2564614.1993004195</v>
      </c>
      <c r="C74" s="16">
        <f t="shared" si="20"/>
        <v>1686556.1728795301</v>
      </c>
      <c r="D74" s="16">
        <f t="shared" si="20"/>
        <v>1979756.5326157045</v>
      </c>
      <c r="E74" s="16">
        <f t="shared" si="20"/>
        <v>2264438.4213608671</v>
      </c>
      <c r="F74" s="16">
        <f t="shared" si="20"/>
        <v>2512454.0284120571</v>
      </c>
      <c r="G74" s="16">
        <f t="shared" si="20"/>
        <v>2838814.8039878588</v>
      </c>
      <c r="H74" s="16">
        <f t="shared" si="20"/>
        <v>3134692.7123581115</v>
      </c>
      <c r="I74" s="16">
        <f t="shared" si="20"/>
        <v>3247102.1168953236</v>
      </c>
      <c r="J74" s="16">
        <f t="shared" si="20"/>
        <v>3565654.841524316</v>
      </c>
      <c r="K74" s="16">
        <f t="shared" si="20"/>
        <v>3361206.7313346211</v>
      </c>
      <c r="L74" s="16">
        <f t="shared" si="20"/>
        <v>3095725.9416332059</v>
      </c>
      <c r="M74" s="16">
        <f t="shared" si="20"/>
        <v>3013554.2752352394</v>
      </c>
      <c r="N74" s="16"/>
      <c r="O74" s="6"/>
    </row>
    <row r="75" spans="1:16">
      <c r="B75" s="6"/>
      <c r="C75" s="6"/>
      <c r="D75" s="6"/>
      <c r="E75" s="6"/>
      <c r="F75" s="6"/>
      <c r="H75" s="6"/>
      <c r="I75" s="6"/>
      <c r="J75" s="6"/>
      <c r="K75" s="6"/>
      <c r="L75" s="6"/>
      <c r="M75" s="6"/>
      <c r="N75" s="6"/>
    </row>
    <row r="76" spans="1:16">
      <c r="A76" s="1"/>
      <c r="B76" s="4"/>
      <c r="C76" s="8"/>
      <c r="D76" s="8"/>
      <c r="E76" s="8"/>
      <c r="F76" s="8"/>
      <c r="H76" s="20"/>
      <c r="J76" s="6"/>
      <c r="K76" s="6"/>
    </row>
    <row r="77" spans="1:16">
      <c r="A77" s="1"/>
      <c r="B77" s="4"/>
      <c r="C77" s="8"/>
      <c r="D77" s="8"/>
      <c r="E77" s="8"/>
      <c r="F77" s="8"/>
      <c r="H77" s="20"/>
      <c r="J77" s="6"/>
    </row>
    <row r="78" spans="1:16">
      <c r="A78" s="1"/>
      <c r="B78" s="4"/>
      <c r="D78" s="8"/>
      <c r="E78" s="8"/>
      <c r="F78" s="8"/>
      <c r="H78" s="61"/>
      <c r="J78" s="6"/>
    </row>
    <row r="79" spans="1:16">
      <c r="E79" s="6"/>
      <c r="H79" s="20"/>
      <c r="J79" s="6"/>
      <c r="N79" s="25"/>
    </row>
    <row r="80" spans="1:16">
      <c r="A80" t="s">
        <v>69</v>
      </c>
      <c r="B80" t="s">
        <v>69</v>
      </c>
      <c r="C80" t="s">
        <v>69</v>
      </c>
      <c r="D80" t="s">
        <v>69</v>
      </c>
      <c r="E80" s="6" t="s">
        <v>69</v>
      </c>
      <c r="F80" t="s">
        <v>69</v>
      </c>
      <c r="G80" s="6" t="s">
        <v>69</v>
      </c>
      <c r="H80" t="s">
        <v>69</v>
      </c>
      <c r="I80" t="s">
        <v>69</v>
      </c>
      <c r="J80" s="6" t="s">
        <v>69</v>
      </c>
      <c r="K80" t="s">
        <v>69</v>
      </c>
      <c r="L80" t="s">
        <v>69</v>
      </c>
      <c r="M80" t="s">
        <v>69</v>
      </c>
      <c r="N80" t="s">
        <v>69</v>
      </c>
    </row>
    <row r="81" spans="1:14">
      <c r="E81" s="6"/>
      <c r="J81" s="6"/>
    </row>
    <row r="82" spans="1:14">
      <c r="A82" s="33" t="s">
        <v>70</v>
      </c>
      <c r="B82" s="47">
        <v>52000</v>
      </c>
      <c r="C82" s="47">
        <v>20000</v>
      </c>
      <c r="D82" s="47">
        <v>10000</v>
      </c>
      <c r="E82" s="47">
        <v>44355</v>
      </c>
      <c r="F82" s="47">
        <v>186840</v>
      </c>
      <c r="G82" s="10">
        <v>202000</v>
      </c>
      <c r="H82" s="54">
        <v>197000</v>
      </c>
      <c r="I82" s="47">
        <v>142000</v>
      </c>
      <c r="J82" s="47">
        <v>119000</v>
      </c>
      <c r="K82" s="47">
        <v>0</v>
      </c>
      <c r="L82" s="47">
        <v>0</v>
      </c>
      <c r="M82" s="47">
        <v>455000</v>
      </c>
      <c r="N82" s="7">
        <v>1428195</v>
      </c>
    </row>
    <row r="83" spans="1:14">
      <c r="A83" s="33" t="s">
        <v>71</v>
      </c>
      <c r="B83" s="2">
        <f>+B82</f>
        <v>52000</v>
      </c>
      <c r="C83" s="2">
        <f>+B83+C82</f>
        <v>72000</v>
      </c>
      <c r="D83" s="2">
        <f t="shared" ref="D83:M83" si="21">+C83+D82</f>
        <v>82000</v>
      </c>
      <c r="E83" s="7">
        <f t="shared" si="21"/>
        <v>126355</v>
      </c>
      <c r="F83" s="2">
        <f t="shared" si="21"/>
        <v>313195</v>
      </c>
      <c r="G83" s="7">
        <f t="shared" si="21"/>
        <v>515195</v>
      </c>
      <c r="H83" s="2">
        <f t="shared" si="21"/>
        <v>712195</v>
      </c>
      <c r="I83" s="2">
        <f t="shared" si="21"/>
        <v>854195</v>
      </c>
      <c r="J83" s="7">
        <f t="shared" si="21"/>
        <v>973195</v>
      </c>
      <c r="K83" s="2">
        <f t="shared" si="21"/>
        <v>973195</v>
      </c>
      <c r="L83" s="2">
        <f t="shared" si="21"/>
        <v>973195</v>
      </c>
      <c r="M83" s="2">
        <f t="shared" si="21"/>
        <v>1428195</v>
      </c>
    </row>
    <row r="84" spans="1:14">
      <c r="A84" s="33" t="s">
        <v>72</v>
      </c>
      <c r="B84" s="7">
        <f>+B53</f>
        <v>101289</v>
      </c>
      <c r="C84" s="7">
        <f>SUM($B53:C53)</f>
        <v>331668</v>
      </c>
      <c r="D84" s="7">
        <f>SUM($B53:D53)</f>
        <v>337015</v>
      </c>
      <c r="E84" s="7">
        <f>SUM($B53:E53)</f>
        <v>355037.65</v>
      </c>
      <c r="F84" s="7">
        <f>SUM($B53:F53)</f>
        <v>440476.65</v>
      </c>
      <c r="G84" s="7">
        <f>SUM($B53:G53)</f>
        <v>463540.65</v>
      </c>
      <c r="H84" s="7">
        <f>SUM(B53:H53)</f>
        <v>479142.65</v>
      </c>
      <c r="I84" s="7">
        <f>SUM(B53:I53)</f>
        <v>744142.65</v>
      </c>
      <c r="J84" s="7">
        <f>SUM(B53:J53)</f>
        <v>744142.65</v>
      </c>
      <c r="K84" s="7">
        <f>SUM(B53:K53)</f>
        <v>936392.65</v>
      </c>
      <c r="L84" s="7">
        <f>SUM(B53:L53)</f>
        <v>1179392.6499999999</v>
      </c>
      <c r="M84" s="7">
        <f>SUM(B53:M53)</f>
        <v>1454392.65</v>
      </c>
    </row>
    <row r="85" spans="1:14">
      <c r="A85" s="33" t="s">
        <v>73</v>
      </c>
      <c r="B85" s="7">
        <f t="shared" ref="B85:G85" si="22">+B83-B84</f>
        <v>-49289</v>
      </c>
      <c r="C85" s="7">
        <f t="shared" si="22"/>
        <v>-259668</v>
      </c>
      <c r="D85" s="7">
        <f t="shared" si="22"/>
        <v>-255015</v>
      </c>
      <c r="E85" s="7">
        <f t="shared" si="22"/>
        <v>-228682.65000000002</v>
      </c>
      <c r="F85" s="7">
        <f t="shared" si="22"/>
        <v>-127281.65000000002</v>
      </c>
      <c r="G85" s="7">
        <f t="shared" si="22"/>
        <v>51654.349999999977</v>
      </c>
      <c r="H85" s="7">
        <f t="shared" ref="H85:M85" si="23">+H83-H84</f>
        <v>233052.34999999998</v>
      </c>
      <c r="I85" s="7">
        <f t="shared" si="23"/>
        <v>110052.34999999998</v>
      </c>
      <c r="J85" s="7">
        <f t="shared" si="23"/>
        <v>229052.34999999998</v>
      </c>
      <c r="K85" s="7">
        <f t="shared" si="23"/>
        <v>36802.349999999977</v>
      </c>
      <c r="L85" s="7">
        <f t="shared" si="23"/>
        <v>-206197.64999999991</v>
      </c>
      <c r="M85" s="7">
        <f t="shared" si="23"/>
        <v>-26197.649999999907</v>
      </c>
    </row>
    <row r="86" spans="1:14">
      <c r="J86" s="6"/>
      <c r="K86" s="6"/>
    </row>
    <row r="87" spans="1:14">
      <c r="A87" t="s">
        <v>74</v>
      </c>
      <c r="B87" s="35">
        <f>-B56-B57</f>
        <v>199977</v>
      </c>
      <c r="C87" s="35">
        <f t="shared" ref="C87:N87" si="24">-C56-C57</f>
        <v>52488</v>
      </c>
      <c r="D87" s="35">
        <f t="shared" si="24"/>
        <v>171042</v>
      </c>
      <c r="E87" s="35">
        <f t="shared" si="24"/>
        <v>165026</v>
      </c>
      <c r="F87" s="35">
        <f t="shared" si="24"/>
        <v>105115</v>
      </c>
      <c r="G87" s="40">
        <f t="shared" si="24"/>
        <v>114576.58</v>
      </c>
      <c r="H87" s="40">
        <f t="shared" si="24"/>
        <v>447597</v>
      </c>
      <c r="I87" s="35">
        <f t="shared" si="24"/>
        <v>37500</v>
      </c>
      <c r="J87" s="35">
        <f t="shared" si="24"/>
        <v>37500</v>
      </c>
      <c r="K87" s="40">
        <f t="shared" si="24"/>
        <v>37500</v>
      </c>
      <c r="L87" s="35">
        <f t="shared" si="24"/>
        <v>37500</v>
      </c>
      <c r="M87" s="35">
        <f t="shared" si="24"/>
        <v>37500</v>
      </c>
      <c r="N87" s="35">
        <f t="shared" si="24"/>
        <v>1443321.58</v>
      </c>
    </row>
    <row r="88" spans="1:14">
      <c r="C88" s="35">
        <f>+B87+C87</f>
        <v>252465</v>
      </c>
      <c r="D88" s="35">
        <f>+C88+D87</f>
        <v>423507</v>
      </c>
      <c r="E88" s="35">
        <f t="shared" ref="E88:M88" si="25">+D88+E87</f>
        <v>588533</v>
      </c>
      <c r="F88" s="35">
        <f t="shared" si="25"/>
        <v>693648</v>
      </c>
      <c r="G88" s="40">
        <f t="shared" si="25"/>
        <v>808224.58</v>
      </c>
      <c r="H88" s="35">
        <f t="shared" si="25"/>
        <v>1255821.58</v>
      </c>
      <c r="I88" s="40">
        <f t="shared" si="25"/>
        <v>1293321.58</v>
      </c>
      <c r="J88" s="40">
        <f t="shared" si="25"/>
        <v>1330821.58</v>
      </c>
      <c r="K88" s="40">
        <f t="shared" si="25"/>
        <v>1368321.58</v>
      </c>
      <c r="L88" s="35">
        <f t="shared" si="25"/>
        <v>1405821.58</v>
      </c>
      <c r="M88" s="35">
        <f t="shared" si="25"/>
        <v>1443321.58</v>
      </c>
    </row>
    <row r="89" spans="1:14">
      <c r="B89" s="6"/>
      <c r="C89" s="6"/>
      <c r="D89" s="6"/>
      <c r="E89" s="6"/>
    </row>
    <row r="90" spans="1:14">
      <c r="B90" s="6"/>
      <c r="C90" s="6"/>
      <c r="D90" s="21"/>
      <c r="E90" s="6"/>
    </row>
    <row r="91" spans="1:14">
      <c r="B91" s="6"/>
      <c r="C91" s="6"/>
      <c r="D91" s="6"/>
      <c r="E91" s="6"/>
    </row>
    <row r="92" spans="1:14">
      <c r="B92" s="70">
        <v>78554</v>
      </c>
      <c r="C92" s="70">
        <v>78293</v>
      </c>
      <c r="D92" s="70">
        <v>79025</v>
      </c>
      <c r="E92" s="70">
        <v>81090</v>
      </c>
      <c r="F92" s="71">
        <v>81090</v>
      </c>
      <c r="G92" s="70">
        <v>81079</v>
      </c>
      <c r="H92" s="71">
        <v>89229</v>
      </c>
      <c r="I92" s="71">
        <v>88964</v>
      </c>
      <c r="J92" s="71">
        <v>88964</v>
      </c>
      <c r="K92" s="71">
        <v>88563</v>
      </c>
      <c r="L92" s="71">
        <v>97279</v>
      </c>
      <c r="M92" s="71">
        <v>97277</v>
      </c>
    </row>
    <row r="93" spans="1:14">
      <c r="B93" s="6">
        <f>+B92*-1</f>
        <v>-78554</v>
      </c>
      <c r="C93" s="6">
        <f t="shared" ref="C93:M93" si="26">+C92*-1</f>
        <v>-78293</v>
      </c>
      <c r="D93" s="6">
        <f t="shared" si="26"/>
        <v>-79025</v>
      </c>
      <c r="E93" s="6">
        <f t="shared" si="26"/>
        <v>-81090</v>
      </c>
      <c r="F93" s="6">
        <f t="shared" si="26"/>
        <v>-81090</v>
      </c>
      <c r="G93" s="6">
        <f t="shared" si="26"/>
        <v>-81079</v>
      </c>
      <c r="H93" s="6">
        <f t="shared" si="26"/>
        <v>-89229</v>
      </c>
      <c r="I93" s="6">
        <f t="shared" si="26"/>
        <v>-88964</v>
      </c>
      <c r="J93" s="6">
        <f t="shared" si="26"/>
        <v>-88964</v>
      </c>
      <c r="K93" s="6">
        <f t="shared" si="26"/>
        <v>-88563</v>
      </c>
      <c r="L93" s="6">
        <f t="shared" si="26"/>
        <v>-97279</v>
      </c>
      <c r="M93" s="6">
        <f t="shared" si="26"/>
        <v>-97277</v>
      </c>
    </row>
    <row r="94" spans="1:14">
      <c r="B94" s="6"/>
      <c r="C94" s="6"/>
      <c r="D94" s="34"/>
      <c r="E94" s="6"/>
    </row>
    <row r="95" spans="1:14">
      <c r="B95" s="6"/>
      <c r="C95" s="6"/>
      <c r="D95" s="6"/>
      <c r="E95" s="6"/>
    </row>
    <row r="96" spans="1:14">
      <c r="B96" s="6"/>
      <c r="C96" s="6"/>
      <c r="D96" s="6"/>
      <c r="E96" s="6"/>
    </row>
    <row r="97" spans="7:9">
      <c r="G97" s="6">
        <v>95705.42</v>
      </c>
      <c r="I97">
        <v>18871.16</v>
      </c>
    </row>
  </sheetData>
  <pageMargins left="0.28000000000000003" right="0.25" top="0.99" bottom="0.75" header="0.63" footer="0.23"/>
  <pageSetup scale="61" orientation="landscape" r:id="rId1"/>
  <headerFooter alignWithMargins="0">
    <oddHeader xml:space="preserve">&amp;C&amp;"Arial,Bold"&amp;11 49ER SHOPS, INC.
&amp;UFY2017/2018 OPERATIONAL CASH FLOW </oddHeader>
    <oddFooter>&amp;CCash Flow - FY2017/2018
January 2018</oddFooter>
  </headerFooter>
  <legacyDrawing r:id="rId2"/>
</worksheet>
</file>

<file path=xl/worksheets/sheet2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FF00"/>
    <pageSetUpPr fitToPage="1"/>
  </sheetPr>
  <dimension ref="A1:AR97"/>
  <sheetViews>
    <sheetView showGridLines="0" zoomScale="90" zoomScaleNormal="90" workbookViewId="0">
      <pane xSplit="1" ySplit="3" topLeftCell="B4" activePane="bottomRight" state="frozen"/>
      <selection pane="topRight" activeCell="B72" sqref="B72"/>
      <selection pane="bottomLeft" activeCell="B72" sqref="B72"/>
      <selection pane="bottomRight" activeCell="A54" sqref="A54"/>
    </sheetView>
  </sheetViews>
  <sheetFormatPr defaultRowHeight="12.75"/>
  <cols>
    <col min="1" max="1" width="35.42578125" customWidth="1"/>
    <col min="2" max="2" width="14" customWidth="1"/>
    <col min="3" max="3" width="12.5703125" customWidth="1"/>
    <col min="4" max="4" width="12.140625" customWidth="1"/>
    <col min="5" max="5" width="13.5703125" customWidth="1"/>
    <col min="6" max="6" width="12.85546875" customWidth="1"/>
    <col min="7" max="7" width="12.5703125" style="6" customWidth="1"/>
    <col min="8" max="9" width="12.85546875" customWidth="1"/>
    <col min="10" max="11" width="12.140625" customWidth="1"/>
    <col min="12" max="13" width="12.85546875" customWidth="1"/>
    <col min="14" max="14" width="12.85546875" bestFit="1" customWidth="1"/>
    <col min="15" max="15" width="12.42578125" bestFit="1" customWidth="1"/>
    <col min="16" max="16" width="13.140625" bestFit="1" customWidth="1"/>
  </cols>
  <sheetData>
    <row r="1" spans="1:15" ht="13.5" thickBot="1">
      <c r="A1" s="46" t="s">
        <v>105</v>
      </c>
      <c r="E1" s="6"/>
      <c r="F1" s="6"/>
      <c r="J1" s="6"/>
      <c r="K1" s="6"/>
      <c r="N1" s="3"/>
    </row>
    <row r="2" spans="1:15">
      <c r="B2" s="45" t="s">
        <v>24</v>
      </c>
      <c r="C2" s="45" t="s">
        <v>24</v>
      </c>
      <c r="D2" s="45" t="s">
        <v>24</v>
      </c>
      <c r="E2" s="45" t="s">
        <v>24</v>
      </c>
      <c r="F2" s="45" t="s">
        <v>24</v>
      </c>
      <c r="G2" s="45" t="s">
        <v>24</v>
      </c>
      <c r="H2" s="45" t="s">
        <v>24</v>
      </c>
      <c r="I2" s="45" t="s">
        <v>24</v>
      </c>
      <c r="J2" s="48" t="s">
        <v>76</v>
      </c>
      <c r="K2" s="48" t="s">
        <v>76</v>
      </c>
      <c r="L2" s="48" t="s">
        <v>76</v>
      </c>
      <c r="M2" s="48" t="s">
        <v>76</v>
      </c>
      <c r="N2" s="28" t="s">
        <v>25</v>
      </c>
    </row>
    <row r="3" spans="1:15" s="5" customFormat="1">
      <c r="B3" s="11">
        <v>42918</v>
      </c>
      <c r="C3" s="11">
        <v>42949</v>
      </c>
      <c r="D3" s="11">
        <v>42980</v>
      </c>
      <c r="E3" s="11">
        <v>43010</v>
      </c>
      <c r="F3" s="11">
        <v>43041</v>
      </c>
      <c r="G3" s="11">
        <v>43071</v>
      </c>
      <c r="H3" s="11">
        <v>43102</v>
      </c>
      <c r="I3" s="11">
        <v>43133</v>
      </c>
      <c r="J3" s="11">
        <v>43161</v>
      </c>
      <c r="K3" s="11">
        <v>43192</v>
      </c>
      <c r="L3" s="11">
        <v>43222</v>
      </c>
      <c r="M3" s="11">
        <v>43253</v>
      </c>
      <c r="N3" s="57" t="s">
        <v>100</v>
      </c>
    </row>
    <row r="4" spans="1:15" hidden="1">
      <c r="A4" s="1" t="s">
        <v>27</v>
      </c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>
        <f>SUM(B4:M4)</f>
        <v>0</v>
      </c>
      <c r="O4" s="29"/>
    </row>
    <row r="5" spans="1:15" s="6" customFormat="1" hidden="1">
      <c r="A5" s="6" t="s">
        <v>28</v>
      </c>
      <c r="B5" s="53">
        <v>1102036</v>
      </c>
      <c r="C5" s="53">
        <v>2503975</v>
      </c>
      <c r="D5" s="53">
        <v>5591236</v>
      </c>
      <c r="E5" s="53">
        <v>3997731</v>
      </c>
      <c r="F5" s="53">
        <v>2408043</v>
      </c>
      <c r="G5" s="53">
        <v>2520652</v>
      </c>
      <c r="H5" s="53">
        <v>3392954</v>
      </c>
      <c r="I5" s="53">
        <v>3526195</v>
      </c>
      <c r="J5" s="53">
        <v>3335785</v>
      </c>
      <c r="K5" s="53">
        <v>2998356</v>
      </c>
      <c r="L5" s="53">
        <v>2831511</v>
      </c>
      <c r="M5" s="53">
        <v>1460406</v>
      </c>
      <c r="N5" s="12">
        <f>SUM(B5:M5)</f>
        <v>35668880</v>
      </c>
      <c r="O5" s="29"/>
    </row>
    <row r="6" spans="1:15" s="6" customFormat="1" hidden="1">
      <c r="A6" s="6" t="s">
        <v>29</v>
      </c>
      <c r="B6" s="53">
        <v>70448</v>
      </c>
      <c r="C6" s="53">
        <v>71234</v>
      </c>
      <c r="D6" s="53">
        <v>278603</v>
      </c>
      <c r="E6" s="53">
        <v>67286</v>
      </c>
      <c r="F6" s="53">
        <v>128754</v>
      </c>
      <c r="G6" s="53">
        <v>72857</v>
      </c>
      <c r="H6" s="53">
        <v>74941</v>
      </c>
      <c r="I6" s="53">
        <v>131161</v>
      </c>
      <c r="J6" s="53">
        <v>228813</v>
      </c>
      <c r="K6" s="53">
        <v>89970</v>
      </c>
      <c r="L6" s="53">
        <v>316808</v>
      </c>
      <c r="M6" s="53">
        <v>118439</v>
      </c>
      <c r="N6" s="7">
        <f>SUM(B6:M6)</f>
        <v>1649314</v>
      </c>
      <c r="O6" s="29"/>
    </row>
    <row r="7" spans="1:15" s="6" customFormat="1" hidden="1">
      <c r="B7" s="7"/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7">
        <f>SUM(B7:M7)</f>
        <v>0</v>
      </c>
      <c r="O7" s="29"/>
    </row>
    <row r="8" spans="1:15" s="6" customFormat="1" hidden="1">
      <c r="B8" s="15"/>
      <c r="C8" s="15"/>
      <c r="D8" s="15"/>
      <c r="E8" s="15"/>
      <c r="F8" s="15"/>
      <c r="G8" s="15"/>
      <c r="H8" s="15"/>
      <c r="I8" s="15"/>
      <c r="J8" s="15"/>
      <c r="K8" s="15"/>
      <c r="L8" s="15"/>
      <c r="M8" s="15"/>
      <c r="N8" s="15">
        <f>SUM(B8:M8)</f>
        <v>0</v>
      </c>
      <c r="O8" s="29"/>
    </row>
    <row r="9" spans="1:15" s="6" customFormat="1">
      <c r="A9" s="13" t="s">
        <v>30</v>
      </c>
      <c r="B9" s="12">
        <f t="shared" ref="B9:N9" si="0">SUM(B5:B8)</f>
        <v>1172484</v>
      </c>
      <c r="C9" s="12">
        <f t="shared" si="0"/>
        <v>2575209</v>
      </c>
      <c r="D9" s="12">
        <f t="shared" si="0"/>
        <v>5869839</v>
      </c>
      <c r="E9" s="12">
        <f t="shared" si="0"/>
        <v>4065017</v>
      </c>
      <c r="F9" s="12">
        <f t="shared" si="0"/>
        <v>2536797</v>
      </c>
      <c r="G9" s="12">
        <f t="shared" si="0"/>
        <v>2593509</v>
      </c>
      <c r="H9" s="12">
        <f t="shared" si="0"/>
        <v>3467895</v>
      </c>
      <c r="I9" s="12">
        <f t="shared" si="0"/>
        <v>3657356</v>
      </c>
      <c r="J9" s="12">
        <f t="shared" si="0"/>
        <v>3564598</v>
      </c>
      <c r="K9" s="12">
        <f t="shared" si="0"/>
        <v>3088326</v>
      </c>
      <c r="L9" s="12">
        <f t="shared" si="0"/>
        <v>3148319</v>
      </c>
      <c r="M9" s="12">
        <f t="shared" si="0"/>
        <v>1578845</v>
      </c>
      <c r="N9" s="12">
        <f t="shared" si="0"/>
        <v>37318194</v>
      </c>
      <c r="O9" s="29"/>
    </row>
    <row r="10" spans="1:15" s="6" customFormat="1" ht="6.75" customHeight="1"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29"/>
    </row>
    <row r="11" spans="1:15" s="6" customFormat="1">
      <c r="A11" s="13" t="s">
        <v>31</v>
      </c>
      <c r="B11" s="7">
        <f>99729+B56</f>
        <v>87140</v>
      </c>
      <c r="C11" s="7">
        <f>10280+C56</f>
        <v>-1332</v>
      </c>
      <c r="D11" s="7">
        <f>13117+D56</f>
        <v>926</v>
      </c>
      <c r="E11" s="7">
        <f>31849+E56</f>
        <v>21931</v>
      </c>
      <c r="F11" s="7">
        <f>9121+F56</f>
        <v>964</v>
      </c>
      <c r="G11" s="7">
        <f>96279+G56</f>
        <v>573.58000000000175</v>
      </c>
      <c r="H11" s="7">
        <f>9315+H56</f>
        <v>22</v>
      </c>
      <c r="I11" s="7">
        <f>26695+I56</f>
        <v>18172</v>
      </c>
      <c r="J11" s="7">
        <v>0</v>
      </c>
      <c r="K11" s="7">
        <v>0</v>
      </c>
      <c r="L11" s="7">
        <v>0</v>
      </c>
      <c r="M11" s="7">
        <v>0</v>
      </c>
      <c r="N11" s="7">
        <f>SUM(B11:M11)</f>
        <v>128396.58</v>
      </c>
      <c r="O11" s="29"/>
    </row>
    <row r="12" spans="1:15" s="6" customFormat="1" ht="7.5" customHeight="1">
      <c r="B12" s="7"/>
      <c r="C12" s="7"/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  <c r="O12" s="29"/>
    </row>
    <row r="13" spans="1:15" s="6" customFormat="1" ht="13.5" thickBot="1">
      <c r="A13" s="13" t="s">
        <v>32</v>
      </c>
      <c r="B13" s="14">
        <f t="shared" ref="B13:N13" si="1">B9+B11</f>
        <v>1259624</v>
      </c>
      <c r="C13" s="14">
        <f>C9+C11</f>
        <v>2573877</v>
      </c>
      <c r="D13" s="14">
        <f t="shared" si="1"/>
        <v>5870765</v>
      </c>
      <c r="E13" s="14">
        <f t="shared" si="1"/>
        <v>4086948</v>
      </c>
      <c r="F13" s="14">
        <f t="shared" si="1"/>
        <v>2537761</v>
      </c>
      <c r="G13" s="14">
        <f t="shared" si="1"/>
        <v>2594082.58</v>
      </c>
      <c r="H13" s="14">
        <f t="shared" si="1"/>
        <v>3467917</v>
      </c>
      <c r="I13" s="14">
        <f t="shared" si="1"/>
        <v>3675528</v>
      </c>
      <c r="J13" s="14">
        <f t="shared" si="1"/>
        <v>3564598</v>
      </c>
      <c r="K13" s="14">
        <f t="shared" si="1"/>
        <v>3088326</v>
      </c>
      <c r="L13" s="14">
        <f t="shared" si="1"/>
        <v>3148319</v>
      </c>
      <c r="M13" s="14">
        <f t="shared" si="1"/>
        <v>1578845</v>
      </c>
      <c r="N13" s="14">
        <f t="shared" si="1"/>
        <v>37446590.579999998</v>
      </c>
      <c r="O13" s="29"/>
    </row>
    <row r="14" spans="1:15" s="6" customFormat="1" ht="13.5" thickTop="1">
      <c r="B14" s="7"/>
      <c r="C14" s="7"/>
      <c r="D14" s="7"/>
      <c r="E14" s="7"/>
      <c r="F14" s="7"/>
      <c r="G14" s="7"/>
      <c r="H14" s="7"/>
      <c r="I14" s="7"/>
      <c r="J14" s="7"/>
      <c r="K14" s="7"/>
      <c r="L14" s="7"/>
      <c r="M14" s="7"/>
    </row>
    <row r="15" spans="1:15" s="6" customFormat="1" hidden="1">
      <c r="A15" s="13" t="s">
        <v>33</v>
      </c>
      <c r="B15" s="7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</row>
    <row r="16" spans="1:15" s="6" customFormat="1" hidden="1">
      <c r="A16" s="6" t="s">
        <v>34</v>
      </c>
      <c r="B16" s="53">
        <v>444475</v>
      </c>
      <c r="C16" s="53">
        <v>1463048</v>
      </c>
      <c r="D16" s="53">
        <v>3023160</v>
      </c>
      <c r="E16" s="53">
        <v>1465276</v>
      </c>
      <c r="F16" s="53">
        <v>847496</v>
      </c>
      <c r="G16" s="53">
        <v>990047</v>
      </c>
      <c r="H16" s="53">
        <v>2082629</v>
      </c>
      <c r="I16" s="53">
        <v>1500369</v>
      </c>
      <c r="J16" s="53">
        <v>1215922</v>
      </c>
      <c r="K16" s="53">
        <v>1090469</v>
      </c>
      <c r="L16" s="53">
        <v>1126126</v>
      </c>
      <c r="M16" s="53">
        <v>849456</v>
      </c>
      <c r="N16" s="7">
        <f>SUM(B16:M16)</f>
        <v>16098473</v>
      </c>
      <c r="O16" s="29"/>
    </row>
    <row r="17" spans="1:44" s="6" customFormat="1" hidden="1">
      <c r="B17" s="27"/>
      <c r="C17" s="27"/>
      <c r="D17" s="27"/>
      <c r="E17" s="27"/>
      <c r="F17" s="27"/>
      <c r="G17" s="27"/>
      <c r="H17" s="27"/>
      <c r="I17" s="27"/>
      <c r="J17" s="27"/>
      <c r="K17" s="27"/>
      <c r="L17" s="27"/>
      <c r="M17" s="27"/>
      <c r="N17" s="7">
        <f>SUM(B17:M17)</f>
        <v>0</v>
      </c>
    </row>
    <row r="18" spans="1:44" s="6" customFormat="1" hidden="1">
      <c r="B18" s="7"/>
      <c r="C18" s="7"/>
      <c r="D18" s="7"/>
      <c r="E18" s="7"/>
      <c r="F18" s="7"/>
      <c r="G18" s="7"/>
      <c r="H18" s="7"/>
      <c r="I18" s="7"/>
      <c r="J18" s="7"/>
      <c r="K18" s="7"/>
      <c r="L18" s="7"/>
      <c r="M18" s="7"/>
      <c r="N18" s="7">
        <v>0</v>
      </c>
    </row>
    <row r="19" spans="1:44" s="6" customFormat="1" hidden="1">
      <c r="B19" s="15"/>
      <c r="C19" s="15"/>
      <c r="D19" s="15"/>
      <c r="E19" s="15"/>
      <c r="F19" s="15"/>
      <c r="G19" s="15"/>
      <c r="H19" s="15"/>
      <c r="I19" s="15"/>
      <c r="J19" s="15"/>
      <c r="K19" s="15"/>
      <c r="L19" s="15"/>
      <c r="M19" s="15"/>
      <c r="N19" s="15">
        <f>SUM(B19:M19)</f>
        <v>0</v>
      </c>
    </row>
    <row r="20" spans="1:44" s="6" customFormat="1">
      <c r="A20" s="13" t="s">
        <v>35</v>
      </c>
      <c r="B20" s="12">
        <f t="shared" ref="B20:N20" si="2">SUM(B16:B19)</f>
        <v>444475</v>
      </c>
      <c r="C20" s="12">
        <f t="shared" si="2"/>
        <v>1463048</v>
      </c>
      <c r="D20" s="12">
        <f t="shared" si="2"/>
        <v>3023160</v>
      </c>
      <c r="E20" s="12">
        <f t="shared" si="2"/>
        <v>1465276</v>
      </c>
      <c r="F20" s="12">
        <f t="shared" si="2"/>
        <v>847496</v>
      </c>
      <c r="G20" s="12">
        <f t="shared" si="2"/>
        <v>990047</v>
      </c>
      <c r="H20" s="12">
        <f t="shared" si="2"/>
        <v>2082629</v>
      </c>
      <c r="I20" s="12">
        <f t="shared" si="2"/>
        <v>1500369</v>
      </c>
      <c r="J20" s="12">
        <f t="shared" si="2"/>
        <v>1215922</v>
      </c>
      <c r="K20" s="12">
        <f t="shared" si="2"/>
        <v>1090469</v>
      </c>
      <c r="L20" s="12">
        <f t="shared" si="2"/>
        <v>1126126</v>
      </c>
      <c r="M20" s="12">
        <f t="shared" si="2"/>
        <v>849456</v>
      </c>
      <c r="N20" s="12">
        <f t="shared" si="2"/>
        <v>16098473</v>
      </c>
      <c r="O20" s="29"/>
    </row>
    <row r="21" spans="1:44" s="6" customFormat="1">
      <c r="B21" s="7"/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</row>
    <row r="22" spans="1:44" s="6" customFormat="1" hidden="1">
      <c r="A22" s="13" t="s">
        <v>36</v>
      </c>
      <c r="B22" s="7"/>
      <c r="C22" s="7"/>
      <c r="D22" s="7"/>
      <c r="E22" s="7"/>
      <c r="F22" s="7"/>
      <c r="G22" s="7"/>
      <c r="H22" s="7"/>
      <c r="I22" s="7"/>
      <c r="J22" s="7"/>
      <c r="K22" s="7"/>
      <c r="L22" s="7"/>
      <c r="M22" s="7"/>
    </row>
    <row r="23" spans="1:44" s="6" customFormat="1" hidden="1">
      <c r="A23" s="6" t="s">
        <v>37</v>
      </c>
      <c r="B23" s="7">
        <f t="shared" ref="B23:M26" si="3">+B5-B16</f>
        <v>657561</v>
      </c>
      <c r="C23" s="7">
        <f t="shared" si="3"/>
        <v>1040927</v>
      </c>
      <c r="D23" s="7">
        <f t="shared" si="3"/>
        <v>2568076</v>
      </c>
      <c r="E23" s="7">
        <f t="shared" si="3"/>
        <v>2532455</v>
      </c>
      <c r="F23" s="7">
        <f t="shared" si="3"/>
        <v>1560547</v>
      </c>
      <c r="G23" s="7">
        <f t="shared" si="3"/>
        <v>1530605</v>
      </c>
      <c r="H23" s="7">
        <f t="shared" si="3"/>
        <v>1310325</v>
      </c>
      <c r="I23" s="7">
        <f t="shared" si="3"/>
        <v>2025826</v>
      </c>
      <c r="J23" s="7">
        <f t="shared" si="3"/>
        <v>2119863</v>
      </c>
      <c r="K23" s="7">
        <f t="shared" si="3"/>
        <v>1907887</v>
      </c>
      <c r="L23" s="7">
        <f t="shared" si="3"/>
        <v>1705385</v>
      </c>
      <c r="M23" s="7">
        <f t="shared" si="3"/>
        <v>610950</v>
      </c>
      <c r="N23" s="7">
        <f>SUM(B23:M23)</f>
        <v>19570407</v>
      </c>
      <c r="O23" s="29"/>
    </row>
    <row r="24" spans="1:44" s="6" customFormat="1" hidden="1">
      <c r="A24" s="6" t="s">
        <v>37</v>
      </c>
      <c r="B24" s="7">
        <f t="shared" si="3"/>
        <v>70448</v>
      </c>
      <c r="C24" s="7">
        <f t="shared" si="3"/>
        <v>71234</v>
      </c>
      <c r="D24" s="7">
        <f t="shared" si="3"/>
        <v>278603</v>
      </c>
      <c r="E24" s="7">
        <f t="shared" si="3"/>
        <v>67286</v>
      </c>
      <c r="F24" s="7">
        <f t="shared" si="3"/>
        <v>128754</v>
      </c>
      <c r="G24" s="7">
        <f t="shared" si="3"/>
        <v>72857</v>
      </c>
      <c r="H24" s="7">
        <f t="shared" si="3"/>
        <v>74941</v>
      </c>
      <c r="I24" s="7">
        <f t="shared" si="3"/>
        <v>131161</v>
      </c>
      <c r="J24" s="7">
        <f t="shared" si="3"/>
        <v>228813</v>
      </c>
      <c r="K24" s="7">
        <f t="shared" si="3"/>
        <v>89970</v>
      </c>
      <c r="L24" s="7">
        <f t="shared" si="3"/>
        <v>316808</v>
      </c>
      <c r="M24" s="7">
        <f t="shared" si="3"/>
        <v>118439</v>
      </c>
      <c r="N24" s="7">
        <f>SUM(B24:M24)</f>
        <v>1649314</v>
      </c>
      <c r="O24" s="29"/>
    </row>
    <row r="25" spans="1:44" s="6" customFormat="1" hidden="1">
      <c r="A25" s="6" t="s">
        <v>38</v>
      </c>
      <c r="B25" s="7">
        <f t="shared" si="3"/>
        <v>0</v>
      </c>
      <c r="C25" s="7">
        <f t="shared" si="3"/>
        <v>0</v>
      </c>
      <c r="D25" s="7">
        <f t="shared" si="3"/>
        <v>0</v>
      </c>
      <c r="E25" s="7">
        <f t="shared" si="3"/>
        <v>0</v>
      </c>
      <c r="F25" s="7">
        <f t="shared" si="3"/>
        <v>0</v>
      </c>
      <c r="G25" s="7">
        <f t="shared" si="3"/>
        <v>0</v>
      </c>
      <c r="H25" s="7">
        <f t="shared" si="3"/>
        <v>0</v>
      </c>
      <c r="I25" s="7">
        <f t="shared" si="3"/>
        <v>0</v>
      </c>
      <c r="J25" s="7">
        <f t="shared" si="3"/>
        <v>0</v>
      </c>
      <c r="K25" s="7">
        <f t="shared" si="3"/>
        <v>0</v>
      </c>
      <c r="L25" s="7">
        <f t="shared" si="3"/>
        <v>0</v>
      </c>
      <c r="M25" s="7">
        <f t="shared" si="3"/>
        <v>0</v>
      </c>
      <c r="N25" s="7">
        <f>SUM(B25:M25)</f>
        <v>0</v>
      </c>
      <c r="O25" s="29"/>
    </row>
    <row r="26" spans="1:44" s="6" customFormat="1" hidden="1">
      <c r="A26" s="6" t="s">
        <v>38</v>
      </c>
      <c r="B26" s="15">
        <f t="shared" si="3"/>
        <v>0</v>
      </c>
      <c r="C26" s="15">
        <f t="shared" si="3"/>
        <v>0</v>
      </c>
      <c r="D26" s="15">
        <f t="shared" si="3"/>
        <v>0</v>
      </c>
      <c r="E26" s="15">
        <f t="shared" si="3"/>
        <v>0</v>
      </c>
      <c r="F26" s="15">
        <f t="shared" si="3"/>
        <v>0</v>
      </c>
      <c r="G26" s="15">
        <f t="shared" si="3"/>
        <v>0</v>
      </c>
      <c r="H26" s="15">
        <f t="shared" si="3"/>
        <v>0</v>
      </c>
      <c r="I26" s="15">
        <f t="shared" si="3"/>
        <v>0</v>
      </c>
      <c r="J26" s="15">
        <f t="shared" si="3"/>
        <v>0</v>
      </c>
      <c r="K26" s="15">
        <f t="shared" si="3"/>
        <v>0</v>
      </c>
      <c r="L26" s="15">
        <f t="shared" si="3"/>
        <v>0</v>
      </c>
      <c r="M26" s="15">
        <f t="shared" si="3"/>
        <v>0</v>
      </c>
      <c r="N26" s="15">
        <f>SUM(B26:M26)</f>
        <v>0</v>
      </c>
      <c r="O26" s="29"/>
    </row>
    <row r="27" spans="1:44" s="6" customFormat="1">
      <c r="A27" s="13" t="s">
        <v>39</v>
      </c>
      <c r="B27" s="12">
        <f t="shared" ref="B27:N27" si="4">SUM(B23:B26)</f>
        <v>728009</v>
      </c>
      <c r="C27" s="12">
        <f t="shared" si="4"/>
        <v>1112161</v>
      </c>
      <c r="D27" s="12">
        <f t="shared" si="4"/>
        <v>2846679</v>
      </c>
      <c r="E27" s="12">
        <f t="shared" si="4"/>
        <v>2599741</v>
      </c>
      <c r="F27" s="12">
        <f t="shared" si="4"/>
        <v>1689301</v>
      </c>
      <c r="G27" s="12">
        <f t="shared" si="4"/>
        <v>1603462</v>
      </c>
      <c r="H27" s="12">
        <f t="shared" si="4"/>
        <v>1385266</v>
      </c>
      <c r="I27" s="12">
        <f t="shared" si="4"/>
        <v>2156987</v>
      </c>
      <c r="J27" s="12">
        <f t="shared" si="4"/>
        <v>2348676</v>
      </c>
      <c r="K27" s="12">
        <f t="shared" si="4"/>
        <v>1997857</v>
      </c>
      <c r="L27" s="12">
        <f t="shared" si="4"/>
        <v>2022193</v>
      </c>
      <c r="M27" s="12">
        <f>SUM(M23:M26)</f>
        <v>729389</v>
      </c>
      <c r="N27" s="12">
        <f t="shared" si="4"/>
        <v>21219721</v>
      </c>
      <c r="O27" s="29"/>
    </row>
    <row r="28" spans="1:44" s="6" customFormat="1" ht="14.45" customHeight="1">
      <c r="B28" s="73">
        <f>+B27/B9</f>
        <v>0.620911671289331</v>
      </c>
      <c r="C28" s="73">
        <f t="shared" ref="C28:N28" si="5">+C27/C9</f>
        <v>0.43187213154349802</v>
      </c>
      <c r="D28" s="73">
        <f t="shared" si="5"/>
        <v>0.48496713453299145</v>
      </c>
      <c r="E28" s="73">
        <f t="shared" si="5"/>
        <v>0.63954000684375978</v>
      </c>
      <c r="F28" s="73">
        <f t="shared" si="5"/>
        <v>0.66591887328785082</v>
      </c>
      <c r="G28" s="73">
        <f t="shared" si="5"/>
        <v>0.6182596628737359</v>
      </c>
      <c r="H28" s="73">
        <f t="shared" si="5"/>
        <v>0.39945442408146731</v>
      </c>
      <c r="I28" s="73">
        <f t="shared" si="5"/>
        <v>0.58976676046849141</v>
      </c>
      <c r="J28" s="73">
        <f t="shared" si="5"/>
        <v>0.65888944559807305</v>
      </c>
      <c r="K28" s="73">
        <f t="shared" si="5"/>
        <v>0.64690612325253227</v>
      </c>
      <c r="L28" s="73">
        <f t="shared" si="5"/>
        <v>0.64230880034710591</v>
      </c>
      <c r="M28" s="73">
        <f t="shared" si="5"/>
        <v>0.4619763181312922</v>
      </c>
      <c r="N28" s="73">
        <f t="shared" si="5"/>
        <v>0.56861596785739421</v>
      </c>
    </row>
    <row r="29" spans="1:44" s="6" customFormat="1" hidden="1">
      <c r="A29" s="13" t="s">
        <v>40</v>
      </c>
      <c r="B29" s="7"/>
      <c r="C29" s="7"/>
      <c r="D29" s="7"/>
      <c r="E29" s="7"/>
      <c r="F29" s="7"/>
      <c r="G29" s="7"/>
      <c r="H29" s="7"/>
      <c r="I29" s="7"/>
      <c r="J29" s="7"/>
      <c r="K29" s="7"/>
      <c r="L29" s="7"/>
      <c r="M29" s="7"/>
    </row>
    <row r="30" spans="1:44" s="6" customFormat="1" hidden="1">
      <c r="A30" s="6" t="s">
        <v>93</v>
      </c>
      <c r="B30" s="53">
        <v>415779</v>
      </c>
      <c r="C30" s="53">
        <v>561495</v>
      </c>
      <c r="D30" s="53">
        <v>742338</v>
      </c>
      <c r="E30" s="53">
        <v>829683</v>
      </c>
      <c r="F30" s="53">
        <v>607435</v>
      </c>
      <c r="G30" s="53">
        <v>631393</v>
      </c>
      <c r="H30" s="53">
        <v>607413</v>
      </c>
      <c r="I30" s="53">
        <v>721705</v>
      </c>
      <c r="J30" s="53">
        <v>688935</v>
      </c>
      <c r="K30" s="53">
        <v>755862</v>
      </c>
      <c r="L30" s="53">
        <v>642868</v>
      </c>
      <c r="M30" s="53">
        <v>459430</v>
      </c>
      <c r="N30" s="7">
        <f>SUM(B30:M30)</f>
        <v>7664336</v>
      </c>
      <c r="O30" s="29"/>
    </row>
    <row r="31" spans="1:44" s="6" customFormat="1" hidden="1">
      <c r="A31" s="6" t="s">
        <v>42</v>
      </c>
      <c r="B31" s="53">
        <v>245383</v>
      </c>
      <c r="C31" s="53">
        <v>212042</v>
      </c>
      <c r="D31" s="53">
        <v>203129</v>
      </c>
      <c r="E31" s="53">
        <v>235434</v>
      </c>
      <c r="F31" s="53">
        <v>203129</v>
      </c>
      <c r="G31" s="53">
        <v>209186</v>
      </c>
      <c r="H31" s="53">
        <v>237769</v>
      </c>
      <c r="I31" s="53">
        <v>201008</v>
      </c>
      <c r="J31" s="53">
        <v>198545</v>
      </c>
      <c r="K31" s="53">
        <v>226530</v>
      </c>
      <c r="L31" s="53">
        <v>194439</v>
      </c>
      <c r="M31" s="53">
        <v>198004</v>
      </c>
      <c r="N31" s="7">
        <f>SUM(B31:M31)</f>
        <v>2564598</v>
      </c>
      <c r="O31" s="29"/>
    </row>
    <row r="32" spans="1:44" s="6" customFormat="1" ht="15" hidden="1">
      <c r="A32" s="6" t="s">
        <v>38</v>
      </c>
      <c r="B32" s="68"/>
      <c r="C32" s="68"/>
      <c r="D32" s="68"/>
      <c r="E32" s="68"/>
      <c r="F32" s="68"/>
      <c r="G32" s="68"/>
      <c r="H32" s="68"/>
      <c r="I32" s="68"/>
      <c r="J32" s="68"/>
      <c r="K32" s="68"/>
      <c r="L32" s="68"/>
      <c r="M32" s="68"/>
      <c r="N32" s="7">
        <f>SUM(B32:M32)</f>
        <v>0</v>
      </c>
      <c r="O32" s="29"/>
      <c r="P32" s="6">
        <f>+B32*-1</f>
        <v>0</v>
      </c>
      <c r="Q32" s="6">
        <f t="shared" ref="Q32:AF33" si="6">+C32*-1</f>
        <v>0</v>
      </c>
      <c r="R32" s="6">
        <f t="shared" si="6"/>
        <v>0</v>
      </c>
      <c r="S32" s="6">
        <f t="shared" si="6"/>
        <v>0</v>
      </c>
      <c r="T32" s="6">
        <f t="shared" si="6"/>
        <v>0</v>
      </c>
      <c r="U32" s="6">
        <f t="shared" si="6"/>
        <v>0</v>
      </c>
      <c r="V32" s="6">
        <f t="shared" si="6"/>
        <v>0</v>
      </c>
      <c r="W32" s="6">
        <f t="shared" si="6"/>
        <v>0</v>
      </c>
      <c r="X32" s="6">
        <f t="shared" si="6"/>
        <v>0</v>
      </c>
      <c r="Y32" s="6">
        <f t="shared" si="6"/>
        <v>0</v>
      </c>
      <c r="Z32" s="6">
        <f t="shared" si="6"/>
        <v>0</v>
      </c>
      <c r="AA32" s="6">
        <f t="shared" si="6"/>
        <v>0</v>
      </c>
      <c r="AB32" s="6">
        <f t="shared" si="6"/>
        <v>0</v>
      </c>
      <c r="AC32" s="6">
        <f t="shared" si="6"/>
        <v>0</v>
      </c>
      <c r="AD32" s="6">
        <f t="shared" si="6"/>
        <v>0</v>
      </c>
      <c r="AE32" s="6">
        <f t="shared" si="6"/>
        <v>0</v>
      </c>
      <c r="AF32" s="6">
        <f t="shared" si="6"/>
        <v>0</v>
      </c>
      <c r="AG32" s="6">
        <f t="shared" ref="AG32:AR33" si="7">+S32*-1</f>
        <v>0</v>
      </c>
      <c r="AH32" s="6">
        <f t="shared" si="7"/>
        <v>0</v>
      </c>
      <c r="AI32" s="6">
        <f t="shared" si="7"/>
        <v>0</v>
      </c>
      <c r="AJ32" s="6">
        <f t="shared" si="7"/>
        <v>0</v>
      </c>
      <c r="AK32" s="6">
        <f t="shared" si="7"/>
        <v>0</v>
      </c>
      <c r="AL32" s="6">
        <f t="shared" si="7"/>
        <v>0</v>
      </c>
      <c r="AM32" s="6">
        <f t="shared" si="7"/>
        <v>0</v>
      </c>
      <c r="AN32" s="6">
        <f t="shared" si="7"/>
        <v>0</v>
      </c>
      <c r="AO32" s="6">
        <f t="shared" si="7"/>
        <v>0</v>
      </c>
      <c r="AP32" s="6">
        <f t="shared" si="7"/>
        <v>0</v>
      </c>
      <c r="AQ32" s="6">
        <f t="shared" si="7"/>
        <v>0</v>
      </c>
      <c r="AR32" s="6">
        <f t="shared" si="7"/>
        <v>0</v>
      </c>
    </row>
    <row r="33" spans="1:44" s="6" customFormat="1" hidden="1">
      <c r="B33" s="15"/>
      <c r="C33" s="15"/>
      <c r="D33" s="15"/>
      <c r="E33" s="15"/>
      <c r="F33" s="15"/>
      <c r="G33" s="15"/>
      <c r="H33" s="15"/>
      <c r="I33" s="15"/>
      <c r="J33" s="15"/>
      <c r="K33" s="15"/>
      <c r="L33" s="15"/>
      <c r="M33" s="15"/>
      <c r="N33" s="15">
        <f>SUM(B33:M33)</f>
        <v>0</v>
      </c>
      <c r="O33" s="29"/>
      <c r="Q33" s="6">
        <f t="shared" si="6"/>
        <v>0</v>
      </c>
      <c r="R33" s="6">
        <f t="shared" si="6"/>
        <v>0</v>
      </c>
      <c r="S33" s="6">
        <f t="shared" si="6"/>
        <v>0</v>
      </c>
      <c r="T33" s="6">
        <f t="shared" si="6"/>
        <v>0</v>
      </c>
      <c r="U33" s="6">
        <f t="shared" si="6"/>
        <v>0</v>
      </c>
      <c r="V33" s="6">
        <f t="shared" si="6"/>
        <v>0</v>
      </c>
      <c r="W33" s="6">
        <f t="shared" si="6"/>
        <v>0</v>
      </c>
      <c r="X33" s="6">
        <f t="shared" si="6"/>
        <v>0</v>
      </c>
      <c r="Y33" s="6">
        <f t="shared" si="6"/>
        <v>0</v>
      </c>
      <c r="Z33" s="6">
        <f t="shared" si="6"/>
        <v>0</v>
      </c>
      <c r="AA33" s="6">
        <f t="shared" si="6"/>
        <v>0</v>
      </c>
      <c r="AB33" s="6">
        <f t="shared" si="6"/>
        <v>0</v>
      </c>
      <c r="AC33" s="6">
        <f t="shared" si="6"/>
        <v>0</v>
      </c>
      <c r="AD33" s="6">
        <f t="shared" si="6"/>
        <v>0</v>
      </c>
      <c r="AE33" s="6">
        <f t="shared" si="6"/>
        <v>0</v>
      </c>
      <c r="AF33" s="6">
        <f t="shared" si="6"/>
        <v>0</v>
      </c>
      <c r="AG33" s="6">
        <f t="shared" si="7"/>
        <v>0</v>
      </c>
      <c r="AH33" s="6">
        <f t="shared" si="7"/>
        <v>0</v>
      </c>
      <c r="AI33" s="6">
        <f t="shared" si="7"/>
        <v>0</v>
      </c>
      <c r="AJ33" s="6">
        <f t="shared" si="7"/>
        <v>0</v>
      </c>
      <c r="AK33" s="6">
        <f t="shared" si="7"/>
        <v>0</v>
      </c>
      <c r="AL33" s="6">
        <f t="shared" si="7"/>
        <v>0</v>
      </c>
      <c r="AM33" s="6">
        <f t="shared" si="7"/>
        <v>0</v>
      </c>
      <c r="AN33" s="6">
        <f t="shared" si="7"/>
        <v>0</v>
      </c>
      <c r="AO33" s="6">
        <f t="shared" si="7"/>
        <v>0</v>
      </c>
      <c r="AP33" s="6">
        <f t="shared" si="7"/>
        <v>0</v>
      </c>
      <c r="AQ33" s="6">
        <f t="shared" si="7"/>
        <v>0</v>
      </c>
      <c r="AR33" s="6">
        <f t="shared" si="7"/>
        <v>0</v>
      </c>
    </row>
    <row r="34" spans="1:44" s="6" customFormat="1">
      <c r="A34" s="13" t="s">
        <v>43</v>
      </c>
      <c r="B34" s="12">
        <f t="shared" ref="B34:N34" si="8">SUM(B30:B33)</f>
        <v>661162</v>
      </c>
      <c r="C34" s="12">
        <f t="shared" si="8"/>
        <v>773537</v>
      </c>
      <c r="D34" s="12">
        <f t="shared" si="8"/>
        <v>945467</v>
      </c>
      <c r="E34" s="12">
        <f t="shared" si="8"/>
        <v>1065117</v>
      </c>
      <c r="F34" s="12">
        <f t="shared" si="8"/>
        <v>810564</v>
      </c>
      <c r="G34" s="12">
        <f t="shared" si="8"/>
        <v>840579</v>
      </c>
      <c r="H34" s="12">
        <f t="shared" si="8"/>
        <v>845182</v>
      </c>
      <c r="I34" s="12">
        <f t="shared" si="8"/>
        <v>922713</v>
      </c>
      <c r="J34" s="12">
        <f t="shared" si="8"/>
        <v>887480</v>
      </c>
      <c r="K34" s="12">
        <f t="shared" si="8"/>
        <v>982392</v>
      </c>
      <c r="L34" s="12">
        <f t="shared" si="8"/>
        <v>837307</v>
      </c>
      <c r="M34" s="12">
        <f t="shared" si="8"/>
        <v>657434</v>
      </c>
      <c r="N34" s="12">
        <f t="shared" si="8"/>
        <v>10228934</v>
      </c>
      <c r="O34" s="29"/>
    </row>
    <row r="35" spans="1:44" s="6" customFormat="1">
      <c r="B35" s="7"/>
      <c r="C35" s="7"/>
      <c r="D35" s="7"/>
      <c r="E35" s="7"/>
      <c r="F35" s="7"/>
      <c r="G35" s="7"/>
      <c r="H35" s="7"/>
      <c r="I35" s="7"/>
      <c r="J35" s="7"/>
      <c r="K35" s="7"/>
      <c r="L35" s="7"/>
      <c r="M35" s="7"/>
    </row>
    <row r="36" spans="1:44" s="6" customFormat="1" hidden="1">
      <c r="A36" s="13" t="s">
        <v>44</v>
      </c>
      <c r="B36" s="7"/>
      <c r="C36" s="7"/>
      <c r="D36" s="7"/>
      <c r="E36" s="7"/>
      <c r="F36" s="7"/>
      <c r="G36" s="7"/>
      <c r="H36" s="7"/>
      <c r="I36" s="7"/>
      <c r="J36" s="7"/>
      <c r="K36" s="7"/>
      <c r="L36" s="7"/>
      <c r="M36" s="7"/>
    </row>
    <row r="37" spans="1:44" s="6" customFormat="1" hidden="1">
      <c r="A37" s="6" t="s">
        <v>45</v>
      </c>
      <c r="B37" s="53">
        <v>1168701</v>
      </c>
      <c r="C37" s="53">
        <v>1244422</v>
      </c>
      <c r="D37" s="53">
        <v>1461507</v>
      </c>
      <c r="E37" s="53">
        <v>1790911</v>
      </c>
      <c r="F37" s="53">
        <v>1370885</v>
      </c>
      <c r="G37" s="66">
        <v>1564207</v>
      </c>
      <c r="H37" s="66">
        <v>1269929</v>
      </c>
      <c r="I37" s="66">
        <v>1483414</v>
      </c>
      <c r="J37" s="66">
        <v>1531501</v>
      </c>
      <c r="K37" s="53">
        <v>1582030</v>
      </c>
      <c r="L37" s="53">
        <v>1425841</v>
      </c>
      <c r="M37" s="53">
        <v>1274220</v>
      </c>
      <c r="N37" s="7">
        <f>SUM(B37:M37)</f>
        <v>17167568</v>
      </c>
      <c r="O37" s="29"/>
      <c r="P37" s="69"/>
    </row>
    <row r="38" spans="1:44" s="6" customFormat="1" hidden="1">
      <c r="A38" s="6" t="s">
        <v>46</v>
      </c>
      <c r="B38" s="7">
        <f>-B34</f>
        <v>-661162</v>
      </c>
      <c r="C38" s="7">
        <f t="shared" ref="C38:M38" si="9">-C34</f>
        <v>-773537</v>
      </c>
      <c r="D38" s="7">
        <f t="shared" si="9"/>
        <v>-945467</v>
      </c>
      <c r="E38" s="7">
        <f t="shared" si="9"/>
        <v>-1065117</v>
      </c>
      <c r="F38" s="7">
        <f t="shared" si="9"/>
        <v>-810564</v>
      </c>
      <c r="G38" s="7">
        <f t="shared" si="9"/>
        <v>-840579</v>
      </c>
      <c r="H38" s="7">
        <f t="shared" si="9"/>
        <v>-845182</v>
      </c>
      <c r="I38" s="7">
        <f t="shared" si="9"/>
        <v>-922713</v>
      </c>
      <c r="J38" s="7">
        <f t="shared" si="9"/>
        <v>-887480</v>
      </c>
      <c r="K38" s="7">
        <f t="shared" si="9"/>
        <v>-982392</v>
      </c>
      <c r="L38" s="7">
        <f t="shared" si="9"/>
        <v>-837307</v>
      </c>
      <c r="M38" s="7">
        <f t="shared" si="9"/>
        <v>-657434</v>
      </c>
      <c r="N38" s="7">
        <f>SUM(B38:M38)</f>
        <v>-10228934</v>
      </c>
      <c r="O38" s="29"/>
    </row>
    <row r="39" spans="1:44" s="6" customFormat="1" hidden="1">
      <c r="A39" s="6" t="s">
        <v>47</v>
      </c>
      <c r="B39" s="72">
        <v>-77886</v>
      </c>
      <c r="C39" s="72">
        <v>-77317</v>
      </c>
      <c r="D39" s="72">
        <v>-76975</v>
      </c>
      <c r="E39" s="72">
        <v>-75957</v>
      </c>
      <c r="F39" s="72">
        <v>-75944</v>
      </c>
      <c r="G39" s="72">
        <v>-75944</v>
      </c>
      <c r="H39" s="72">
        <v>-75944</v>
      </c>
      <c r="I39" s="72">
        <v>-75679</v>
      </c>
      <c r="J39" s="72">
        <v>-88964</v>
      </c>
      <c r="K39" s="72">
        <v>-88563</v>
      </c>
      <c r="L39" s="72">
        <v>-97279</v>
      </c>
      <c r="M39" s="72">
        <v>-97277</v>
      </c>
      <c r="N39" s="7">
        <f>SUM(B39:M39)</f>
        <v>-983729</v>
      </c>
      <c r="O39" s="29"/>
    </row>
    <row r="40" spans="1:44" s="6" customFormat="1" hidden="1">
      <c r="A40" s="6" t="s">
        <v>78</v>
      </c>
      <c r="B40" s="53"/>
      <c r="C40" s="53"/>
      <c r="D40" s="53"/>
      <c r="E40" s="53"/>
      <c r="F40" s="53"/>
      <c r="G40" s="53"/>
      <c r="H40" s="53"/>
      <c r="I40" s="53"/>
      <c r="J40" s="53"/>
      <c r="K40" s="53"/>
      <c r="L40" s="53"/>
      <c r="M40" s="53"/>
      <c r="N40" s="7">
        <f>SUM(B40:M40)</f>
        <v>0</v>
      </c>
      <c r="O40" s="29"/>
    </row>
    <row r="41" spans="1:44" s="6" customFormat="1" hidden="1">
      <c r="A41" s="6" t="s">
        <v>48</v>
      </c>
      <c r="B41" s="60">
        <v>-8350</v>
      </c>
      <c r="C41" s="60">
        <v>-8250</v>
      </c>
      <c r="D41" s="60">
        <v>-8350</v>
      </c>
      <c r="E41" s="60">
        <v>-8350</v>
      </c>
      <c r="F41" s="60">
        <v>-8350</v>
      </c>
      <c r="G41" s="60">
        <v>-8350</v>
      </c>
      <c r="H41" s="60">
        <v>-8350</v>
      </c>
      <c r="I41" s="60">
        <v>-8350</v>
      </c>
      <c r="J41" s="60">
        <v>-8350</v>
      </c>
      <c r="K41" s="60">
        <v>-8350</v>
      </c>
      <c r="L41" s="60">
        <v>-8350</v>
      </c>
      <c r="M41" s="60">
        <v>-30300</v>
      </c>
      <c r="N41" s="15">
        <f>SUM(B41:M41)</f>
        <v>-122050</v>
      </c>
      <c r="O41" s="29"/>
    </row>
    <row r="42" spans="1:44" s="6" customFormat="1">
      <c r="A42" s="13" t="s">
        <v>49</v>
      </c>
      <c r="B42" s="12">
        <f t="shared" ref="B42:N42" si="10">SUM(B37:B41)</f>
        <v>421303</v>
      </c>
      <c r="C42" s="12">
        <f t="shared" si="10"/>
        <v>385318</v>
      </c>
      <c r="D42" s="12">
        <f t="shared" si="10"/>
        <v>430715</v>
      </c>
      <c r="E42" s="12">
        <f t="shared" si="10"/>
        <v>641487</v>
      </c>
      <c r="F42" s="12">
        <f t="shared" si="10"/>
        <v>476027</v>
      </c>
      <c r="G42" s="12">
        <f t="shared" si="10"/>
        <v>639334</v>
      </c>
      <c r="H42" s="12">
        <f t="shared" si="10"/>
        <v>340453</v>
      </c>
      <c r="I42" s="12">
        <f t="shared" si="10"/>
        <v>476672</v>
      </c>
      <c r="J42" s="12">
        <f t="shared" si="10"/>
        <v>546707</v>
      </c>
      <c r="K42" s="12">
        <f t="shared" si="10"/>
        <v>502725</v>
      </c>
      <c r="L42" s="12">
        <f t="shared" si="10"/>
        <v>482905</v>
      </c>
      <c r="M42" s="12">
        <f t="shared" si="10"/>
        <v>489209</v>
      </c>
      <c r="N42" s="12">
        <f t="shared" si="10"/>
        <v>5832855</v>
      </c>
      <c r="O42" s="29"/>
    </row>
    <row r="43" spans="1:44">
      <c r="A43" s="1"/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2"/>
      <c r="N43" s="12"/>
      <c r="O43" s="6"/>
    </row>
    <row r="44" spans="1:44" hidden="1">
      <c r="A44" s="13" t="s">
        <v>50</v>
      </c>
      <c r="B44" s="53">
        <v>296581</v>
      </c>
      <c r="C44" s="53">
        <v>244043</v>
      </c>
      <c r="D44" s="53">
        <v>272075</v>
      </c>
      <c r="E44" s="53">
        <v>331396</v>
      </c>
      <c r="F44" s="53">
        <v>346084</v>
      </c>
      <c r="G44" s="53">
        <v>278977</v>
      </c>
      <c r="H44" s="53">
        <v>350131</v>
      </c>
      <c r="I44" s="53">
        <v>267034</v>
      </c>
      <c r="J44" s="53">
        <v>322520</v>
      </c>
      <c r="K44" s="53">
        <v>378879</v>
      </c>
      <c r="L44" s="53">
        <v>307614</v>
      </c>
      <c r="M44" s="53">
        <v>705082</v>
      </c>
      <c r="N44" s="12">
        <f>SUM(B44:M44)</f>
        <v>4100416</v>
      </c>
      <c r="O44" s="29"/>
    </row>
    <row r="45" spans="1:44" hidden="1">
      <c r="A45" s="6" t="s">
        <v>51</v>
      </c>
      <c r="B45" s="22"/>
      <c r="C45" s="22"/>
      <c r="D45" s="22"/>
      <c r="E45" s="22"/>
      <c r="F45" s="22"/>
      <c r="G45" s="22"/>
      <c r="H45" s="22"/>
      <c r="I45" s="22"/>
      <c r="J45" s="22"/>
      <c r="K45" s="22"/>
      <c r="L45" s="22"/>
      <c r="M45" s="22"/>
      <c r="N45" s="22">
        <f>SUM(B45:M45)</f>
        <v>0</v>
      </c>
      <c r="O45" s="29"/>
    </row>
    <row r="46" spans="1:44">
      <c r="A46" s="1" t="s">
        <v>50</v>
      </c>
      <c r="B46" s="12">
        <f>SUM(B44:B45)</f>
        <v>296581</v>
      </c>
      <c r="C46" s="12">
        <f>SUM(C44:C45)</f>
        <v>244043</v>
      </c>
      <c r="D46" s="12">
        <f t="shared" ref="D46:N46" si="11">SUM(D44:D45)</f>
        <v>272075</v>
      </c>
      <c r="E46" s="12">
        <f t="shared" si="11"/>
        <v>331396</v>
      </c>
      <c r="F46" s="12">
        <f t="shared" si="11"/>
        <v>346084</v>
      </c>
      <c r="G46" s="12">
        <f t="shared" si="11"/>
        <v>278977</v>
      </c>
      <c r="H46" s="12">
        <f t="shared" si="11"/>
        <v>350131</v>
      </c>
      <c r="I46" s="12">
        <f t="shared" si="11"/>
        <v>267034</v>
      </c>
      <c r="J46" s="12">
        <f t="shared" si="11"/>
        <v>322520</v>
      </c>
      <c r="K46" s="12">
        <f t="shared" si="11"/>
        <v>378879</v>
      </c>
      <c r="L46" s="12">
        <f t="shared" si="11"/>
        <v>307614</v>
      </c>
      <c r="M46" s="12">
        <f t="shared" si="11"/>
        <v>705082</v>
      </c>
      <c r="N46" s="12">
        <f t="shared" si="11"/>
        <v>4100416</v>
      </c>
      <c r="O46" s="29"/>
    </row>
    <row r="47" spans="1:44">
      <c r="B47" s="7"/>
      <c r="C47" s="7"/>
      <c r="D47" s="7"/>
      <c r="E47" s="7"/>
      <c r="F47" s="7"/>
      <c r="G47" s="7"/>
      <c r="H47" s="7"/>
      <c r="I47" s="7"/>
      <c r="J47" s="7"/>
      <c r="K47" s="6"/>
      <c r="L47" s="6"/>
      <c r="M47" s="6"/>
      <c r="N47" s="6"/>
      <c r="O47" s="6"/>
    </row>
    <row r="48" spans="1:44">
      <c r="A48" s="13" t="s">
        <v>52</v>
      </c>
      <c r="B48" s="19">
        <f t="shared" ref="B48:N48" si="12">+B20+B34+B42+B46</f>
        <v>1823521</v>
      </c>
      <c r="C48" s="19">
        <f t="shared" si="12"/>
        <v>2865946</v>
      </c>
      <c r="D48" s="19">
        <f t="shared" si="12"/>
        <v>4671417</v>
      </c>
      <c r="E48" s="19">
        <f t="shared" si="12"/>
        <v>3503276</v>
      </c>
      <c r="F48" s="19">
        <f t="shared" si="12"/>
        <v>2480171</v>
      </c>
      <c r="G48" s="19">
        <f t="shared" si="12"/>
        <v>2748937</v>
      </c>
      <c r="H48" s="19">
        <f t="shared" si="12"/>
        <v>3618395</v>
      </c>
      <c r="I48" s="19">
        <f t="shared" si="12"/>
        <v>3166788</v>
      </c>
      <c r="J48" s="19">
        <f t="shared" si="12"/>
        <v>2972629</v>
      </c>
      <c r="K48" s="19">
        <f t="shared" si="12"/>
        <v>2954465</v>
      </c>
      <c r="L48" s="19">
        <f t="shared" si="12"/>
        <v>2753952</v>
      </c>
      <c r="M48" s="19">
        <f t="shared" si="12"/>
        <v>2701181</v>
      </c>
      <c r="N48" s="19">
        <f t="shared" si="12"/>
        <v>36260678</v>
      </c>
      <c r="O48" s="29"/>
    </row>
    <row r="49" spans="1:17">
      <c r="B49" s="7"/>
      <c r="C49" s="7"/>
      <c r="D49" s="7"/>
      <c r="E49" s="7"/>
      <c r="F49" s="7"/>
      <c r="G49" s="7"/>
      <c r="H49" s="7"/>
      <c r="I49" s="7"/>
      <c r="J49" s="7"/>
      <c r="K49" s="6"/>
      <c r="L49" s="6"/>
      <c r="M49" s="6"/>
      <c r="N49" s="6"/>
      <c r="O49" s="6"/>
    </row>
    <row r="50" spans="1:17">
      <c r="A50" s="1" t="s">
        <v>53</v>
      </c>
      <c r="B50" s="12">
        <f t="shared" ref="B50:M50" si="13">+B13-B48</f>
        <v>-563897</v>
      </c>
      <c r="C50" s="12">
        <f t="shared" si="13"/>
        <v>-292069</v>
      </c>
      <c r="D50" s="12">
        <f t="shared" si="13"/>
        <v>1199348</v>
      </c>
      <c r="E50" s="12">
        <f t="shared" si="13"/>
        <v>583672</v>
      </c>
      <c r="F50" s="12">
        <f t="shared" si="13"/>
        <v>57590</v>
      </c>
      <c r="G50" s="12">
        <f t="shared" si="13"/>
        <v>-154854.41999999993</v>
      </c>
      <c r="H50" s="12">
        <f t="shared" si="13"/>
        <v>-150478</v>
      </c>
      <c r="I50" s="12">
        <f t="shared" si="13"/>
        <v>508740</v>
      </c>
      <c r="J50" s="12">
        <f t="shared" si="13"/>
        <v>591969</v>
      </c>
      <c r="K50" s="12">
        <f t="shared" si="13"/>
        <v>133861</v>
      </c>
      <c r="L50" s="12">
        <f t="shared" si="13"/>
        <v>394367</v>
      </c>
      <c r="M50" s="12">
        <f t="shared" si="13"/>
        <v>-1122336</v>
      </c>
      <c r="N50" s="12">
        <f>SUM(B50:M50)</f>
        <v>1185912.58</v>
      </c>
      <c r="O50" s="6"/>
      <c r="P50" s="25"/>
    </row>
    <row r="51" spans="1:17" ht="7.5" customHeight="1">
      <c r="B51" s="7"/>
      <c r="C51" s="7"/>
      <c r="D51" s="7"/>
      <c r="E51" s="7"/>
      <c r="F51" s="7"/>
      <c r="G51" s="7"/>
      <c r="H51" s="7"/>
      <c r="I51" s="7"/>
      <c r="J51" s="7"/>
      <c r="K51" s="6"/>
      <c r="L51" s="6"/>
      <c r="M51" s="6"/>
      <c r="N51" s="6"/>
      <c r="O51" s="6"/>
    </row>
    <row r="52" spans="1:17">
      <c r="A52" s="1" t="s">
        <v>54</v>
      </c>
      <c r="B52" s="7"/>
      <c r="C52" s="7"/>
      <c r="D52" s="7"/>
      <c r="E52" s="7"/>
      <c r="F52" s="7"/>
      <c r="G52" s="7"/>
      <c r="H52" s="7"/>
      <c r="I52" s="7"/>
      <c r="J52" s="7"/>
      <c r="K52" s="6"/>
      <c r="L52" s="6"/>
      <c r="M52" s="6"/>
      <c r="N52" s="6"/>
      <c r="O52" s="6"/>
    </row>
    <row r="53" spans="1:17" s="6" customFormat="1">
      <c r="A53" s="6" t="s">
        <v>55</v>
      </c>
      <c r="B53" s="10">
        <v>101289</v>
      </c>
      <c r="C53" s="10">
        <v>230379</v>
      </c>
      <c r="D53" s="10">
        <v>5347</v>
      </c>
      <c r="E53" s="10">
        <f>740+15090+2192.65</f>
        <v>18022.650000000001</v>
      </c>
      <c r="F53" s="10">
        <v>85439</v>
      </c>
      <c r="G53" s="10">
        <v>23064</v>
      </c>
      <c r="H53" s="23">
        <v>15602</v>
      </c>
      <c r="I53" s="10">
        <v>68439.69</v>
      </c>
      <c r="J53" s="10">
        <v>0</v>
      </c>
      <c r="K53" s="10">
        <v>192250</v>
      </c>
      <c r="L53" s="10">
        <v>243000</v>
      </c>
      <c r="M53" s="10">
        <v>275000</v>
      </c>
      <c r="N53" s="10">
        <f>SUM(B53:M53)</f>
        <v>1257832.3400000001</v>
      </c>
      <c r="P53" s="40"/>
    </row>
    <row r="54" spans="1:17" s="6" customFormat="1">
      <c r="A54" s="6" t="s">
        <v>96</v>
      </c>
      <c r="B54" s="10"/>
      <c r="C54" s="10"/>
      <c r="D54" s="10"/>
      <c r="E54" s="10"/>
      <c r="F54" s="10">
        <v>95000</v>
      </c>
      <c r="G54" s="10"/>
      <c r="H54" s="10"/>
      <c r="I54" s="10"/>
      <c r="J54" s="10"/>
      <c r="K54" s="10"/>
      <c r="L54" s="10"/>
      <c r="M54" s="10"/>
      <c r="N54" s="10">
        <f>SUM(B54:M54)</f>
        <v>95000</v>
      </c>
      <c r="P54" s="7"/>
      <c r="Q54" s="6">
        <v>0</v>
      </c>
    </row>
    <row r="55" spans="1:17" s="6" customFormat="1">
      <c r="A55" s="6" t="s">
        <v>97</v>
      </c>
      <c r="B55" s="10">
        <f>276228+184</f>
        <v>276412</v>
      </c>
      <c r="C55" s="10"/>
      <c r="D55" s="10"/>
      <c r="E55" s="10"/>
      <c r="F55" s="10"/>
      <c r="G55" s="10"/>
      <c r="H55" s="10"/>
      <c r="I55" s="10"/>
      <c r="J55" s="10"/>
      <c r="K55" s="10"/>
      <c r="L55" s="10">
        <v>0</v>
      </c>
      <c r="M55" s="10">
        <v>0</v>
      </c>
      <c r="N55" s="10">
        <f>SUM(B55:M55)</f>
        <v>276412</v>
      </c>
      <c r="P55" s="7"/>
    </row>
    <row r="56" spans="1:17" s="6" customFormat="1">
      <c r="A56" s="37" t="s">
        <v>58</v>
      </c>
      <c r="B56" s="7">
        <v>-12589</v>
      </c>
      <c r="C56" s="7">
        <v>-11612</v>
      </c>
      <c r="D56" s="7">
        <v>-12191</v>
      </c>
      <c r="E56" s="7">
        <v>-9918</v>
      </c>
      <c r="F56" s="7">
        <v>-8157</v>
      </c>
      <c r="G56" s="7">
        <v>-95705.42</v>
      </c>
      <c r="H56" s="10">
        <v>-9293</v>
      </c>
      <c r="I56" s="7">
        <v>-8523</v>
      </c>
      <c r="J56" s="7">
        <v>-12500</v>
      </c>
      <c r="K56" s="7">
        <v>-12500</v>
      </c>
      <c r="L56" s="7">
        <v>-12500</v>
      </c>
      <c r="M56" s="7">
        <v>-12500</v>
      </c>
      <c r="N56" s="7">
        <f>SUM(B56:M56)</f>
        <v>-217988.41999999998</v>
      </c>
      <c r="P56" s="56"/>
    </row>
    <row r="57" spans="1:17" s="6" customFormat="1">
      <c r="A57" s="6" t="s">
        <v>59</v>
      </c>
      <c r="B57" s="22">
        <v>-187388</v>
      </c>
      <c r="C57" s="22">
        <v>-40876</v>
      </c>
      <c r="D57" s="22">
        <v>-158851</v>
      </c>
      <c r="E57" s="22">
        <v>-155108</v>
      </c>
      <c r="F57" s="22">
        <v>-96958</v>
      </c>
      <c r="G57" s="22">
        <v>-18871.16</v>
      </c>
      <c r="H57" s="10">
        <v>-438304</v>
      </c>
      <c r="I57" s="22">
        <v>313386</v>
      </c>
      <c r="J57" s="22">
        <v>-25000</v>
      </c>
      <c r="K57" s="22">
        <v>-25000</v>
      </c>
      <c r="L57" s="22">
        <v>-25000</v>
      </c>
      <c r="M57" s="22">
        <v>-25000</v>
      </c>
      <c r="N57" s="22">
        <f>SUM(B57:M57)</f>
        <v>-882970.16000000015</v>
      </c>
      <c r="P57" s="56"/>
    </row>
    <row r="58" spans="1:17" s="6" customFormat="1">
      <c r="A58" s="13" t="s">
        <v>60</v>
      </c>
      <c r="B58" s="19">
        <f t="shared" ref="B58:N58" si="14">SUM(B53:B57)</f>
        <v>177724</v>
      </c>
      <c r="C58" s="19">
        <f t="shared" si="14"/>
        <v>177891</v>
      </c>
      <c r="D58" s="19">
        <f t="shared" si="14"/>
        <v>-165695</v>
      </c>
      <c r="E58" s="19">
        <f t="shared" si="14"/>
        <v>-147003.35</v>
      </c>
      <c r="F58" s="19">
        <f t="shared" si="14"/>
        <v>75324</v>
      </c>
      <c r="G58" s="19">
        <f t="shared" si="14"/>
        <v>-91512.58</v>
      </c>
      <c r="H58" s="19">
        <f>SUM(H53:H57)</f>
        <v>-431995</v>
      </c>
      <c r="I58" s="19">
        <f t="shared" si="14"/>
        <v>373302.69</v>
      </c>
      <c r="J58" s="19">
        <f t="shared" si="14"/>
        <v>-37500</v>
      </c>
      <c r="K58" s="19">
        <f t="shared" si="14"/>
        <v>154750</v>
      </c>
      <c r="L58" s="19">
        <f t="shared" si="14"/>
        <v>205500</v>
      </c>
      <c r="M58" s="19">
        <f t="shared" si="14"/>
        <v>237500</v>
      </c>
      <c r="N58" s="19">
        <f t="shared" si="14"/>
        <v>528285.76</v>
      </c>
      <c r="O58" s="29"/>
      <c r="P58" s="40"/>
    </row>
    <row r="59" spans="1:17">
      <c r="B59" s="7"/>
      <c r="C59" s="7"/>
      <c r="D59" s="7"/>
      <c r="E59" s="7"/>
      <c r="F59" s="7"/>
      <c r="G59" s="7"/>
      <c r="H59" s="7"/>
      <c r="I59" s="7"/>
      <c r="J59" s="7"/>
      <c r="K59" s="7"/>
      <c r="L59" s="7"/>
      <c r="M59" s="7"/>
      <c r="N59" s="7"/>
      <c r="O59" s="6"/>
    </row>
    <row r="60" spans="1:17">
      <c r="A60" s="1" t="s">
        <v>61</v>
      </c>
      <c r="B60" s="12">
        <v>13373023</v>
      </c>
      <c r="C60" s="7"/>
      <c r="D60" s="7"/>
      <c r="E60" s="7"/>
      <c r="F60" s="7"/>
      <c r="G60" s="7"/>
      <c r="H60" s="7" t="s">
        <v>38</v>
      </c>
      <c r="I60" s="7"/>
      <c r="J60" s="7"/>
      <c r="K60" s="6"/>
      <c r="L60" s="6"/>
      <c r="M60" s="6"/>
      <c r="N60" s="6"/>
      <c r="O60" s="6"/>
    </row>
    <row r="61" spans="1:17">
      <c r="A61" s="13" t="s">
        <v>62</v>
      </c>
      <c r="B61" s="19">
        <f t="shared" ref="B61:N61" si="15">+B58+B48</f>
        <v>2001245</v>
      </c>
      <c r="C61" s="19">
        <f t="shared" si="15"/>
        <v>3043837</v>
      </c>
      <c r="D61" s="19">
        <f t="shared" si="15"/>
        <v>4505722</v>
      </c>
      <c r="E61" s="19">
        <f t="shared" si="15"/>
        <v>3356272.65</v>
      </c>
      <c r="F61" s="19">
        <f t="shared" si="15"/>
        <v>2555495</v>
      </c>
      <c r="G61" s="19">
        <f t="shared" si="15"/>
        <v>2657424.42</v>
      </c>
      <c r="H61" s="19">
        <f t="shared" si="15"/>
        <v>3186400</v>
      </c>
      <c r="I61" s="19">
        <f t="shared" si="15"/>
        <v>3540090.69</v>
      </c>
      <c r="J61" s="19">
        <f t="shared" si="15"/>
        <v>2935129</v>
      </c>
      <c r="K61" s="19">
        <f t="shared" si="15"/>
        <v>3109215</v>
      </c>
      <c r="L61" s="19">
        <f t="shared" si="15"/>
        <v>2959452</v>
      </c>
      <c r="M61" s="19">
        <f t="shared" si="15"/>
        <v>2938681</v>
      </c>
      <c r="N61" s="19">
        <f t="shared" si="15"/>
        <v>36788963.759999998</v>
      </c>
      <c r="O61" s="29"/>
      <c r="P61" s="25"/>
    </row>
    <row r="62" spans="1:17" ht="13.5" thickBot="1">
      <c r="A62" s="13" t="s">
        <v>63</v>
      </c>
      <c r="B62" s="30">
        <f t="shared" ref="B62:N62" si="16">+B13-B61</f>
        <v>-741621</v>
      </c>
      <c r="C62" s="30">
        <f t="shared" si="16"/>
        <v>-469960</v>
      </c>
      <c r="D62" s="30">
        <f t="shared" si="16"/>
        <v>1365043</v>
      </c>
      <c r="E62" s="30">
        <f t="shared" si="16"/>
        <v>730675.35000000009</v>
      </c>
      <c r="F62" s="30">
        <f t="shared" si="16"/>
        <v>-17734</v>
      </c>
      <c r="G62" s="30">
        <f t="shared" si="16"/>
        <v>-63341.839999999851</v>
      </c>
      <c r="H62" s="30">
        <f t="shared" si="16"/>
        <v>281517</v>
      </c>
      <c r="I62" s="30">
        <f t="shared" si="16"/>
        <v>135437.31000000006</v>
      </c>
      <c r="J62" s="14">
        <f t="shared" si="16"/>
        <v>629469</v>
      </c>
      <c r="K62" s="14">
        <f t="shared" si="16"/>
        <v>-20889</v>
      </c>
      <c r="L62" s="14">
        <f t="shared" si="16"/>
        <v>188867</v>
      </c>
      <c r="M62" s="14">
        <f t="shared" si="16"/>
        <v>-1359836</v>
      </c>
      <c r="N62" s="14">
        <f t="shared" si="16"/>
        <v>657626.8200000003</v>
      </c>
      <c r="O62" s="29"/>
      <c r="P62" s="25"/>
    </row>
    <row r="63" spans="1:17" s="6" customFormat="1" ht="13.5" thickTop="1">
      <c r="A63" s="13" t="s">
        <v>64</v>
      </c>
      <c r="B63" s="32">
        <f>+B62</f>
        <v>-741621</v>
      </c>
      <c r="C63" s="32">
        <f t="shared" ref="C63:M63" si="17">B63+C62</f>
        <v>-1211581</v>
      </c>
      <c r="D63" s="32">
        <f t="shared" si="17"/>
        <v>153462</v>
      </c>
      <c r="E63" s="32">
        <f t="shared" si="17"/>
        <v>884137.35000000009</v>
      </c>
      <c r="F63" s="32">
        <f t="shared" si="17"/>
        <v>866403.35000000009</v>
      </c>
      <c r="G63" s="32">
        <f t="shared" si="17"/>
        <v>803061.51000000024</v>
      </c>
      <c r="H63" s="32">
        <f t="shared" si="17"/>
        <v>1084578.5100000002</v>
      </c>
      <c r="I63" s="32">
        <f t="shared" si="17"/>
        <v>1220015.8200000003</v>
      </c>
      <c r="J63" s="12">
        <f t="shared" si="17"/>
        <v>1849484.8200000003</v>
      </c>
      <c r="K63" s="12">
        <f t="shared" si="17"/>
        <v>1828595.8200000003</v>
      </c>
      <c r="L63" s="12">
        <f t="shared" si="17"/>
        <v>2017462.8200000003</v>
      </c>
      <c r="M63" s="12">
        <f t="shared" si="17"/>
        <v>657626.8200000003</v>
      </c>
      <c r="N63" s="12"/>
    </row>
    <row r="64" spans="1:17">
      <c r="A64" s="13" t="s">
        <v>65</v>
      </c>
      <c r="B64" s="12">
        <f t="shared" ref="B64:M64" si="18">+$B$60+B63</f>
        <v>12631402</v>
      </c>
      <c r="C64" s="12">
        <f t="shared" si="18"/>
        <v>12161442</v>
      </c>
      <c r="D64" s="12">
        <f t="shared" si="18"/>
        <v>13526485</v>
      </c>
      <c r="E64" s="12">
        <f t="shared" si="18"/>
        <v>14257160.35</v>
      </c>
      <c r="F64" s="12">
        <f t="shared" si="18"/>
        <v>14239426.35</v>
      </c>
      <c r="G64" s="12">
        <f t="shared" si="18"/>
        <v>14176084.51</v>
      </c>
      <c r="H64" s="12">
        <f t="shared" si="18"/>
        <v>14457601.51</v>
      </c>
      <c r="I64" s="12">
        <f t="shared" si="18"/>
        <v>14593038.82</v>
      </c>
      <c r="J64" s="12">
        <f t="shared" si="18"/>
        <v>15222507.82</v>
      </c>
      <c r="K64" s="12">
        <f t="shared" si="18"/>
        <v>15201618.82</v>
      </c>
      <c r="L64" s="12">
        <f t="shared" si="18"/>
        <v>15390485.82</v>
      </c>
      <c r="M64" s="12">
        <f t="shared" si="18"/>
        <v>14030649.82</v>
      </c>
      <c r="N64" s="12"/>
      <c r="O64" s="6"/>
      <c r="P64" s="29"/>
    </row>
    <row r="65" spans="1:16">
      <c r="A65" s="6"/>
      <c r="B65" s="7"/>
      <c r="C65" s="7"/>
      <c r="D65" s="7"/>
      <c r="E65" s="7"/>
      <c r="F65" s="7"/>
      <c r="G65" s="7"/>
      <c r="H65" s="7"/>
      <c r="I65" s="7"/>
      <c r="J65" s="7"/>
      <c r="K65" s="6"/>
      <c r="L65" s="6"/>
      <c r="M65" s="6"/>
      <c r="N65" s="6"/>
      <c r="O65" s="6"/>
    </row>
    <row r="66" spans="1:16" s="6" customFormat="1">
      <c r="A66" s="17" t="s">
        <v>94</v>
      </c>
      <c r="B66" s="18"/>
      <c r="C66" s="18"/>
      <c r="D66" s="18"/>
      <c r="E66" s="18"/>
      <c r="F66" s="18"/>
      <c r="G66" s="18"/>
      <c r="H66" s="18"/>
      <c r="I66" s="18"/>
      <c r="J66" s="18"/>
      <c r="K66" s="18"/>
      <c r="L66" s="18"/>
      <c r="M66" s="18"/>
      <c r="N66" s="18"/>
    </row>
    <row r="67" spans="1:16" ht="13.5" thickBot="1">
      <c r="A67" s="13" t="s">
        <v>67</v>
      </c>
      <c r="B67" s="14">
        <v>-968259</v>
      </c>
      <c r="C67" s="14">
        <v>165657</v>
      </c>
      <c r="D67" s="14">
        <v>1175481</v>
      </c>
      <c r="E67" s="14">
        <v>388022</v>
      </c>
      <c r="F67" s="14">
        <v>-191039</v>
      </c>
      <c r="G67" s="14">
        <v>96436</v>
      </c>
      <c r="H67" s="14">
        <v>-114280</v>
      </c>
      <c r="I67" s="14">
        <v>316290</v>
      </c>
      <c r="J67" s="14">
        <v>629469</v>
      </c>
      <c r="K67" s="14">
        <v>-20889</v>
      </c>
      <c r="L67" s="14">
        <v>188867</v>
      </c>
      <c r="M67" s="14">
        <v>-1359836</v>
      </c>
      <c r="N67" s="16"/>
      <c r="O67" s="6"/>
    </row>
    <row r="68" spans="1:16" ht="13.5" thickTop="1">
      <c r="A68" s="13" t="s">
        <v>64</v>
      </c>
      <c r="B68" s="12">
        <f>+B67</f>
        <v>-968259</v>
      </c>
      <c r="C68" s="12">
        <f>+B68+C67</f>
        <v>-802602</v>
      </c>
      <c r="D68" s="12">
        <f t="shared" ref="D68:M68" si="19">+C68+D67</f>
        <v>372879</v>
      </c>
      <c r="E68" s="12">
        <f t="shared" si="19"/>
        <v>760901</v>
      </c>
      <c r="F68" s="12">
        <f t="shared" si="19"/>
        <v>569862</v>
      </c>
      <c r="G68" s="12">
        <f t="shared" si="19"/>
        <v>666298</v>
      </c>
      <c r="H68" s="12">
        <f t="shared" si="19"/>
        <v>552018</v>
      </c>
      <c r="I68" s="12">
        <f t="shared" si="19"/>
        <v>868308</v>
      </c>
      <c r="J68" s="12">
        <f t="shared" si="19"/>
        <v>1497777</v>
      </c>
      <c r="K68" s="12">
        <f t="shared" si="19"/>
        <v>1476888</v>
      </c>
      <c r="L68" s="12">
        <f t="shared" si="19"/>
        <v>1665755</v>
      </c>
      <c r="M68" s="12">
        <f t="shared" si="19"/>
        <v>305919</v>
      </c>
      <c r="N68" s="16"/>
      <c r="O68" s="6"/>
    </row>
    <row r="69" spans="1:16">
      <c r="A69" s="13" t="s">
        <v>65</v>
      </c>
      <c r="B69" s="12">
        <v>10066787.80069958</v>
      </c>
      <c r="C69" s="12">
        <v>10474885.82712047</v>
      </c>
      <c r="D69" s="12">
        <v>11546728.467384296</v>
      </c>
      <c r="E69" s="12">
        <v>11992721.928639133</v>
      </c>
      <c r="F69" s="12">
        <v>11726972.321587943</v>
      </c>
      <c r="G69" s="12">
        <v>11337269.706012141</v>
      </c>
      <c r="H69" s="12">
        <v>11322908.797641888</v>
      </c>
      <c r="I69" s="12">
        <v>11526789.393104676</v>
      </c>
      <c r="J69" s="12">
        <v>11837705.668475684</v>
      </c>
      <c r="K69" s="12">
        <v>12021264.778665379</v>
      </c>
      <c r="L69" s="12">
        <v>12475612.568366794</v>
      </c>
      <c r="M69" s="12">
        <v>11197948.23476476</v>
      </c>
      <c r="N69" s="12"/>
      <c r="O69" s="6"/>
    </row>
    <row r="70" spans="1:16">
      <c r="A70" s="6"/>
      <c r="B70" s="6"/>
      <c r="C70" s="6"/>
      <c r="D70" s="6"/>
      <c r="E70" s="6"/>
      <c r="F70" s="6"/>
      <c r="H70" s="6"/>
      <c r="I70" s="6"/>
      <c r="J70" s="6"/>
      <c r="K70" s="6"/>
      <c r="L70" s="6"/>
      <c r="M70" s="6"/>
      <c r="N70" s="6"/>
      <c r="O70" s="6"/>
    </row>
    <row r="71" spans="1:16">
      <c r="A71" s="24" t="s">
        <v>68</v>
      </c>
      <c r="B71" s="18"/>
      <c r="C71" s="18"/>
      <c r="D71" s="18"/>
      <c r="E71" s="18"/>
      <c r="F71" s="18"/>
      <c r="G71" s="18"/>
      <c r="H71" s="18"/>
      <c r="I71" s="18"/>
      <c r="J71" s="18"/>
      <c r="K71" s="18"/>
      <c r="L71" s="18"/>
      <c r="M71" s="18"/>
      <c r="N71" s="18"/>
      <c r="O71" s="6"/>
    </row>
    <row r="72" spans="1:16">
      <c r="A72" s="13" t="s">
        <v>63</v>
      </c>
      <c r="B72" s="31">
        <f t="shared" ref="B72:N74" si="20">+B62-B67</f>
        <v>226638</v>
      </c>
      <c r="C72" s="31">
        <f t="shared" si="20"/>
        <v>-635617</v>
      </c>
      <c r="D72" s="31">
        <f t="shared" si="20"/>
        <v>189562</v>
      </c>
      <c r="E72" s="31">
        <f t="shared" si="20"/>
        <v>342653.35000000009</v>
      </c>
      <c r="F72" s="31">
        <f t="shared" si="20"/>
        <v>173305</v>
      </c>
      <c r="G72" s="31">
        <f t="shared" si="20"/>
        <v>-159777.83999999985</v>
      </c>
      <c r="H72" s="31">
        <f t="shared" si="20"/>
        <v>395797</v>
      </c>
      <c r="I72" s="31">
        <f t="shared" si="20"/>
        <v>-180852.68999999994</v>
      </c>
      <c r="J72" s="16">
        <f t="shared" si="20"/>
        <v>0</v>
      </c>
      <c r="K72" s="16">
        <f t="shared" si="20"/>
        <v>0</v>
      </c>
      <c r="L72" s="16">
        <f t="shared" si="20"/>
        <v>0</v>
      </c>
      <c r="M72" s="16">
        <f t="shared" si="20"/>
        <v>0</v>
      </c>
      <c r="N72" s="6"/>
      <c r="O72" s="6"/>
      <c r="P72" s="16">
        <f>+N62-N67</f>
        <v>657626.8200000003</v>
      </c>
    </row>
    <row r="73" spans="1:16" s="6" customFormat="1">
      <c r="A73" s="13" t="s">
        <v>64</v>
      </c>
      <c r="B73" s="31">
        <f t="shared" si="20"/>
        <v>226638</v>
      </c>
      <c r="C73" s="31">
        <f t="shared" si="20"/>
        <v>-408979</v>
      </c>
      <c r="D73" s="31">
        <f t="shared" si="20"/>
        <v>-219417</v>
      </c>
      <c r="E73" s="31">
        <f t="shared" si="20"/>
        <v>123236.35000000009</v>
      </c>
      <c r="F73" s="31">
        <f t="shared" si="20"/>
        <v>296541.35000000009</v>
      </c>
      <c r="G73" s="31">
        <f t="shared" si="20"/>
        <v>136763.51000000024</v>
      </c>
      <c r="H73" s="31">
        <f t="shared" si="20"/>
        <v>532560.51000000024</v>
      </c>
      <c r="I73" s="31">
        <f t="shared" si="20"/>
        <v>351707.8200000003</v>
      </c>
      <c r="J73" s="16">
        <f t="shared" si="20"/>
        <v>351707.8200000003</v>
      </c>
      <c r="K73" s="16">
        <f t="shared" si="20"/>
        <v>351707.8200000003</v>
      </c>
      <c r="L73" s="16">
        <f t="shared" si="20"/>
        <v>351707.8200000003</v>
      </c>
      <c r="M73" s="16">
        <f t="shared" si="20"/>
        <v>351707.8200000003</v>
      </c>
      <c r="N73" s="16">
        <f t="shared" si="20"/>
        <v>0</v>
      </c>
    </row>
    <row r="74" spans="1:16">
      <c r="A74" s="1" t="s">
        <v>65</v>
      </c>
      <c r="B74" s="16">
        <f t="shared" si="20"/>
        <v>2564614.1993004195</v>
      </c>
      <c r="C74" s="16">
        <f t="shared" si="20"/>
        <v>1686556.1728795301</v>
      </c>
      <c r="D74" s="16">
        <f t="shared" si="20"/>
        <v>1979756.5326157045</v>
      </c>
      <c r="E74" s="16">
        <f t="shared" si="20"/>
        <v>2264438.4213608671</v>
      </c>
      <c r="F74" s="16">
        <f t="shared" si="20"/>
        <v>2512454.0284120571</v>
      </c>
      <c r="G74" s="16">
        <f t="shared" si="20"/>
        <v>2838814.8039878588</v>
      </c>
      <c r="H74" s="16">
        <f t="shared" si="20"/>
        <v>3134692.7123581115</v>
      </c>
      <c r="I74" s="16">
        <f t="shared" si="20"/>
        <v>3066249.4268953241</v>
      </c>
      <c r="J74" s="16">
        <f t="shared" si="20"/>
        <v>3384802.1515243165</v>
      </c>
      <c r="K74" s="16">
        <f t="shared" si="20"/>
        <v>3180354.0413346216</v>
      </c>
      <c r="L74" s="16">
        <f t="shared" si="20"/>
        <v>2914873.2516332064</v>
      </c>
      <c r="M74" s="16">
        <f t="shared" si="20"/>
        <v>2832701.5852352399</v>
      </c>
      <c r="N74" s="16"/>
      <c r="O74" s="6"/>
    </row>
    <row r="75" spans="1:16">
      <c r="B75" s="6"/>
      <c r="C75" s="6"/>
      <c r="D75" s="6"/>
      <c r="E75" s="6"/>
      <c r="F75" s="6"/>
      <c r="H75" s="6"/>
      <c r="I75" s="6"/>
      <c r="J75" s="6"/>
      <c r="K75" s="6"/>
      <c r="L75" s="6"/>
      <c r="M75" s="6"/>
      <c r="N75" s="6"/>
    </row>
    <row r="76" spans="1:16">
      <c r="A76" s="1"/>
      <c r="B76" s="4"/>
      <c r="C76" s="8"/>
      <c r="D76" s="8"/>
      <c r="E76" s="8"/>
      <c r="F76" s="8"/>
      <c r="H76" s="20"/>
      <c r="J76" s="6"/>
      <c r="K76" s="6"/>
    </row>
    <row r="77" spans="1:16">
      <c r="A77" s="1"/>
      <c r="B77" s="4"/>
      <c r="C77" s="8"/>
      <c r="D77" s="8"/>
      <c r="E77" s="8"/>
      <c r="F77" s="8"/>
      <c r="H77" s="20"/>
      <c r="J77" s="6"/>
    </row>
    <row r="78" spans="1:16">
      <c r="A78" s="1"/>
      <c r="B78" s="4"/>
      <c r="D78" s="8"/>
      <c r="E78" s="8"/>
      <c r="F78" s="8"/>
      <c r="H78" s="61"/>
      <c r="J78" s="6"/>
    </row>
    <row r="79" spans="1:16">
      <c r="E79" s="6"/>
      <c r="H79" s="20"/>
      <c r="J79" s="6"/>
      <c r="N79" s="25"/>
    </row>
    <row r="80" spans="1:16">
      <c r="A80" t="s">
        <v>69</v>
      </c>
      <c r="B80" t="s">
        <v>69</v>
      </c>
      <c r="C80" t="s">
        <v>69</v>
      </c>
      <c r="D80" t="s">
        <v>69</v>
      </c>
      <c r="E80" s="6" t="s">
        <v>69</v>
      </c>
      <c r="F80" t="s">
        <v>69</v>
      </c>
      <c r="G80" s="6" t="s">
        <v>69</v>
      </c>
      <c r="H80" t="s">
        <v>69</v>
      </c>
      <c r="I80" t="s">
        <v>69</v>
      </c>
      <c r="J80" s="6" t="s">
        <v>69</v>
      </c>
      <c r="K80" t="s">
        <v>69</v>
      </c>
      <c r="L80" t="s">
        <v>69</v>
      </c>
      <c r="M80" t="s">
        <v>69</v>
      </c>
      <c r="N80" t="s">
        <v>69</v>
      </c>
    </row>
    <row r="81" spans="1:14">
      <c r="E81" s="6"/>
      <c r="J81" s="6"/>
    </row>
    <row r="82" spans="1:14">
      <c r="A82" s="33" t="s">
        <v>70</v>
      </c>
      <c r="B82" s="47">
        <v>52000</v>
      </c>
      <c r="C82" s="47">
        <v>20000</v>
      </c>
      <c r="D82" s="47">
        <v>10000</v>
      </c>
      <c r="E82" s="47">
        <v>44355</v>
      </c>
      <c r="F82" s="47">
        <v>186840</v>
      </c>
      <c r="G82" s="10">
        <v>202000</v>
      </c>
      <c r="H82" s="54">
        <v>197000</v>
      </c>
      <c r="I82" s="47">
        <v>142000</v>
      </c>
      <c r="J82" s="47">
        <v>119000</v>
      </c>
      <c r="K82" s="47">
        <v>0</v>
      </c>
      <c r="L82" s="47">
        <v>0</v>
      </c>
      <c r="M82" s="47">
        <v>455000</v>
      </c>
      <c r="N82" s="7">
        <v>1428195</v>
      </c>
    </row>
    <row r="83" spans="1:14">
      <c r="A83" s="33" t="s">
        <v>71</v>
      </c>
      <c r="B83" s="2">
        <f>+B82</f>
        <v>52000</v>
      </c>
      <c r="C83" s="2">
        <f>+B83+C82</f>
        <v>72000</v>
      </c>
      <c r="D83" s="2">
        <f t="shared" ref="D83:M83" si="21">+C83+D82</f>
        <v>82000</v>
      </c>
      <c r="E83" s="7">
        <f t="shared" si="21"/>
        <v>126355</v>
      </c>
      <c r="F83" s="2">
        <f t="shared" si="21"/>
        <v>313195</v>
      </c>
      <c r="G83" s="7">
        <f t="shared" si="21"/>
        <v>515195</v>
      </c>
      <c r="H83" s="2">
        <f t="shared" si="21"/>
        <v>712195</v>
      </c>
      <c r="I83" s="2">
        <f t="shared" si="21"/>
        <v>854195</v>
      </c>
      <c r="J83" s="7">
        <f t="shared" si="21"/>
        <v>973195</v>
      </c>
      <c r="K83" s="2">
        <f t="shared" si="21"/>
        <v>973195</v>
      </c>
      <c r="L83" s="2">
        <f t="shared" si="21"/>
        <v>973195</v>
      </c>
      <c r="M83" s="2">
        <f t="shared" si="21"/>
        <v>1428195</v>
      </c>
    </row>
    <row r="84" spans="1:14">
      <c r="A84" s="33" t="s">
        <v>72</v>
      </c>
      <c r="B84" s="7">
        <f>+B53</f>
        <v>101289</v>
      </c>
      <c r="C84" s="7">
        <f>SUM($B53:C53)</f>
        <v>331668</v>
      </c>
      <c r="D84" s="7">
        <f>SUM($B53:D53)</f>
        <v>337015</v>
      </c>
      <c r="E84" s="7">
        <f>SUM($B53:E53)</f>
        <v>355037.65</v>
      </c>
      <c r="F84" s="7">
        <f>SUM($B53:F53)</f>
        <v>440476.65</v>
      </c>
      <c r="G84" s="7">
        <f>SUM($B53:G53)</f>
        <v>463540.65</v>
      </c>
      <c r="H84" s="7">
        <f>SUM(B53:H53)</f>
        <v>479142.65</v>
      </c>
      <c r="I84" s="7">
        <f>SUM(B53:I53)</f>
        <v>547582.34000000008</v>
      </c>
      <c r="J84" s="7">
        <f>SUM(B53:J53)</f>
        <v>547582.34000000008</v>
      </c>
      <c r="K84" s="7">
        <f>SUM(B53:K53)</f>
        <v>739832.34000000008</v>
      </c>
      <c r="L84" s="7">
        <f>SUM(B53:L53)</f>
        <v>982832.34000000008</v>
      </c>
      <c r="M84" s="7">
        <f>SUM(B53:M53)</f>
        <v>1257832.3400000001</v>
      </c>
    </row>
    <row r="85" spans="1:14">
      <c r="A85" s="33" t="s">
        <v>73</v>
      </c>
      <c r="B85" s="7">
        <f t="shared" ref="B85:G85" si="22">+B83-B84</f>
        <v>-49289</v>
      </c>
      <c r="C85" s="7">
        <f t="shared" si="22"/>
        <v>-259668</v>
      </c>
      <c r="D85" s="7">
        <f t="shared" si="22"/>
        <v>-255015</v>
      </c>
      <c r="E85" s="7">
        <f t="shared" si="22"/>
        <v>-228682.65000000002</v>
      </c>
      <c r="F85" s="7">
        <f t="shared" si="22"/>
        <v>-127281.65000000002</v>
      </c>
      <c r="G85" s="7">
        <f t="shared" si="22"/>
        <v>51654.349999999977</v>
      </c>
      <c r="H85" s="7">
        <f t="shared" ref="H85:M85" si="23">+H83-H84</f>
        <v>233052.34999999998</v>
      </c>
      <c r="I85" s="7">
        <f t="shared" si="23"/>
        <v>306612.65999999992</v>
      </c>
      <c r="J85" s="7">
        <f t="shared" si="23"/>
        <v>425612.65999999992</v>
      </c>
      <c r="K85" s="7">
        <f t="shared" si="23"/>
        <v>233362.65999999992</v>
      </c>
      <c r="L85" s="7">
        <f t="shared" si="23"/>
        <v>-9637.3400000000838</v>
      </c>
      <c r="M85" s="7">
        <f t="shared" si="23"/>
        <v>170362.65999999992</v>
      </c>
    </row>
    <row r="86" spans="1:14">
      <c r="J86" s="6"/>
      <c r="K86" s="6"/>
    </row>
    <row r="87" spans="1:14">
      <c r="A87" t="s">
        <v>74</v>
      </c>
      <c r="B87" s="35">
        <f>-B56-B57</f>
        <v>199977</v>
      </c>
      <c r="C87" s="35">
        <f t="shared" ref="C87:N87" si="24">-C56-C57</f>
        <v>52488</v>
      </c>
      <c r="D87" s="35">
        <f t="shared" si="24"/>
        <v>171042</v>
      </c>
      <c r="E87" s="35">
        <f t="shared" si="24"/>
        <v>165026</v>
      </c>
      <c r="F87" s="35">
        <f t="shared" si="24"/>
        <v>105115</v>
      </c>
      <c r="G87" s="40">
        <f t="shared" si="24"/>
        <v>114576.58</v>
      </c>
      <c r="H87" s="40">
        <f t="shared" si="24"/>
        <v>447597</v>
      </c>
      <c r="I87" s="35">
        <f t="shared" si="24"/>
        <v>-304863</v>
      </c>
      <c r="J87" s="35">
        <f t="shared" si="24"/>
        <v>37500</v>
      </c>
      <c r="K87" s="40">
        <f t="shared" si="24"/>
        <v>37500</v>
      </c>
      <c r="L87" s="35">
        <f t="shared" si="24"/>
        <v>37500</v>
      </c>
      <c r="M87" s="35">
        <f t="shared" si="24"/>
        <v>37500</v>
      </c>
      <c r="N87" s="35">
        <f t="shared" si="24"/>
        <v>1100958.58</v>
      </c>
    </row>
    <row r="88" spans="1:14">
      <c r="C88" s="35">
        <f>+B87+C87</f>
        <v>252465</v>
      </c>
      <c r="D88" s="35">
        <f>+C88+D87</f>
        <v>423507</v>
      </c>
      <c r="E88" s="35">
        <f t="shared" ref="E88:M88" si="25">+D88+E87</f>
        <v>588533</v>
      </c>
      <c r="F88" s="35">
        <f t="shared" si="25"/>
        <v>693648</v>
      </c>
      <c r="G88" s="40">
        <f t="shared" si="25"/>
        <v>808224.58</v>
      </c>
      <c r="H88" s="35">
        <f t="shared" si="25"/>
        <v>1255821.58</v>
      </c>
      <c r="I88" s="40">
        <f t="shared" si="25"/>
        <v>950958.58000000007</v>
      </c>
      <c r="J88" s="40">
        <f t="shared" si="25"/>
        <v>988458.58000000007</v>
      </c>
      <c r="K88" s="40">
        <f t="shared" si="25"/>
        <v>1025958.5800000001</v>
      </c>
      <c r="L88" s="35">
        <f t="shared" si="25"/>
        <v>1063458.58</v>
      </c>
      <c r="M88" s="35">
        <f t="shared" si="25"/>
        <v>1100958.58</v>
      </c>
    </row>
    <row r="89" spans="1:14">
      <c r="B89" s="6"/>
      <c r="C89" s="6"/>
      <c r="D89" s="6"/>
      <c r="E89" s="6"/>
    </row>
    <row r="90" spans="1:14">
      <c r="B90" s="6"/>
      <c r="C90" s="6"/>
      <c r="D90" s="21"/>
      <c r="E90" s="6"/>
    </row>
    <row r="91" spans="1:14">
      <c r="B91" s="6"/>
      <c r="C91" s="6"/>
      <c r="D91" s="6"/>
      <c r="E91" s="6"/>
    </row>
    <row r="92" spans="1:14">
      <c r="B92" s="70">
        <v>78554</v>
      </c>
      <c r="C92" s="70">
        <v>78293</v>
      </c>
      <c r="D92" s="70">
        <v>79025</v>
      </c>
      <c r="E92" s="70">
        <v>81090</v>
      </c>
      <c r="F92" s="71">
        <v>81090</v>
      </c>
      <c r="G92" s="70">
        <v>81079</v>
      </c>
      <c r="H92" s="71">
        <v>89229</v>
      </c>
      <c r="I92" s="71">
        <v>88964</v>
      </c>
      <c r="J92" s="71">
        <v>88964</v>
      </c>
      <c r="K92" s="71">
        <v>88563</v>
      </c>
      <c r="L92" s="71">
        <v>97279</v>
      </c>
      <c r="M92" s="71">
        <v>97277</v>
      </c>
    </row>
    <row r="93" spans="1:14">
      <c r="B93" s="6">
        <f>+B92*-1</f>
        <v>-78554</v>
      </c>
      <c r="C93" s="6">
        <f t="shared" ref="C93:M93" si="26">+C92*-1</f>
        <v>-78293</v>
      </c>
      <c r="D93" s="6">
        <f t="shared" si="26"/>
        <v>-79025</v>
      </c>
      <c r="E93" s="6">
        <f t="shared" si="26"/>
        <v>-81090</v>
      </c>
      <c r="F93" s="6">
        <f t="shared" si="26"/>
        <v>-81090</v>
      </c>
      <c r="G93" s="6">
        <f t="shared" si="26"/>
        <v>-81079</v>
      </c>
      <c r="H93" s="6">
        <f t="shared" si="26"/>
        <v>-89229</v>
      </c>
      <c r="I93" s="6">
        <f t="shared" si="26"/>
        <v>-88964</v>
      </c>
      <c r="J93" s="6">
        <f t="shared" si="26"/>
        <v>-88964</v>
      </c>
      <c r="K93" s="6">
        <f t="shared" si="26"/>
        <v>-88563</v>
      </c>
      <c r="L93" s="6">
        <f t="shared" si="26"/>
        <v>-97279</v>
      </c>
      <c r="M93" s="6">
        <f t="shared" si="26"/>
        <v>-97277</v>
      </c>
    </row>
    <row r="94" spans="1:14">
      <c r="B94" s="6"/>
      <c r="C94" s="6"/>
      <c r="D94" s="34"/>
      <c r="E94" s="6"/>
    </row>
    <row r="95" spans="1:14">
      <c r="B95" s="6"/>
      <c r="C95" s="6"/>
      <c r="D95" s="6"/>
      <c r="E95" s="6"/>
    </row>
    <row r="96" spans="1:14">
      <c r="B96" s="6"/>
      <c r="C96" s="6"/>
      <c r="D96" s="6"/>
      <c r="E96" s="6"/>
    </row>
    <row r="97" spans="7:9">
      <c r="G97" s="6">
        <v>95705.42</v>
      </c>
      <c r="I97">
        <v>18871.16</v>
      </c>
    </row>
  </sheetData>
  <pageMargins left="0.28000000000000003" right="0.25" top="0.99" bottom="0.75" header="0.63" footer="0.23"/>
  <pageSetup scale="67" orientation="landscape" r:id="rId1"/>
  <headerFooter alignWithMargins="0">
    <oddHeader xml:space="preserve">&amp;C&amp;"Arial,Bold"&amp;11 49ER SHOPS, INC.
&amp;UFY2017/2018 OPERATIONAL CASH FLOW </oddHeader>
    <oddFooter>&amp;CCash Flow - FY2017/2018
February 2018</oddFooter>
  </headerFooter>
  <legacyDrawing r:id="rId2"/>
</worksheet>
</file>

<file path=xl/worksheets/sheet2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FF00"/>
    <pageSetUpPr fitToPage="1"/>
  </sheetPr>
  <dimension ref="A1:AR97"/>
  <sheetViews>
    <sheetView showGridLines="0" topLeftCell="C42" zoomScale="90" zoomScaleNormal="90" workbookViewId="0">
      <selection activeCell="Q62" sqref="Q62"/>
    </sheetView>
  </sheetViews>
  <sheetFormatPr defaultRowHeight="12.75"/>
  <cols>
    <col min="1" max="1" width="35.42578125" customWidth="1"/>
    <col min="2" max="2" width="14" customWidth="1"/>
    <col min="3" max="3" width="12.5703125" customWidth="1"/>
    <col min="4" max="4" width="12.140625" customWidth="1"/>
    <col min="5" max="5" width="13.5703125" customWidth="1"/>
    <col min="6" max="6" width="12.85546875" customWidth="1"/>
    <col min="7" max="7" width="12.5703125" style="6" customWidth="1"/>
    <col min="8" max="9" width="12.85546875" customWidth="1"/>
    <col min="10" max="11" width="12.140625" customWidth="1"/>
    <col min="12" max="13" width="12.85546875" customWidth="1"/>
    <col min="14" max="14" width="12.85546875" bestFit="1" customWidth="1"/>
    <col min="15" max="15" width="12.42578125" bestFit="1" customWidth="1"/>
    <col min="16" max="16" width="13.140625" bestFit="1" customWidth="1"/>
  </cols>
  <sheetData>
    <row r="1" spans="1:15" ht="13.5" thickBot="1">
      <c r="A1" s="46" t="s">
        <v>106</v>
      </c>
      <c r="E1" s="6"/>
      <c r="F1" s="6"/>
      <c r="J1" s="6"/>
      <c r="K1" s="6"/>
      <c r="N1" s="3"/>
    </row>
    <row r="2" spans="1:15">
      <c r="B2" s="45" t="s">
        <v>24</v>
      </c>
      <c r="C2" s="45" t="s">
        <v>24</v>
      </c>
      <c r="D2" s="45" t="s">
        <v>24</v>
      </c>
      <c r="E2" s="45" t="s">
        <v>24</v>
      </c>
      <c r="F2" s="45" t="s">
        <v>24</v>
      </c>
      <c r="G2" s="45" t="s">
        <v>24</v>
      </c>
      <c r="H2" s="45" t="s">
        <v>24</v>
      </c>
      <c r="I2" s="45" t="s">
        <v>24</v>
      </c>
      <c r="J2" s="45" t="s">
        <v>24</v>
      </c>
      <c r="K2" s="48" t="s">
        <v>76</v>
      </c>
      <c r="L2" s="48" t="s">
        <v>76</v>
      </c>
      <c r="M2" s="48" t="s">
        <v>76</v>
      </c>
      <c r="N2" s="28" t="s">
        <v>25</v>
      </c>
    </row>
    <row r="3" spans="1:15" s="5" customFormat="1">
      <c r="B3" s="11">
        <v>42918</v>
      </c>
      <c r="C3" s="11">
        <v>42949</v>
      </c>
      <c r="D3" s="11">
        <v>42980</v>
      </c>
      <c r="E3" s="11">
        <v>43010</v>
      </c>
      <c r="F3" s="11">
        <v>43041</v>
      </c>
      <c r="G3" s="11">
        <v>43071</v>
      </c>
      <c r="H3" s="11">
        <v>43102</v>
      </c>
      <c r="I3" s="11">
        <v>43133</v>
      </c>
      <c r="J3" s="11">
        <v>43161</v>
      </c>
      <c r="K3" s="11">
        <v>43192</v>
      </c>
      <c r="L3" s="11">
        <v>43222</v>
      </c>
      <c r="M3" s="11">
        <v>43253</v>
      </c>
      <c r="N3" s="57" t="s">
        <v>100</v>
      </c>
    </row>
    <row r="4" spans="1:15" hidden="1">
      <c r="A4" s="1" t="s">
        <v>27</v>
      </c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>
        <f>SUM(B4:M4)</f>
        <v>0</v>
      </c>
      <c r="O4" s="29"/>
    </row>
    <row r="5" spans="1:15" s="6" customFormat="1" hidden="1">
      <c r="A5" s="6" t="s">
        <v>28</v>
      </c>
      <c r="B5" s="53">
        <v>1102036</v>
      </c>
      <c r="C5" s="53">
        <v>2503975</v>
      </c>
      <c r="D5" s="53">
        <v>5591236</v>
      </c>
      <c r="E5" s="53">
        <v>3997731</v>
      </c>
      <c r="F5" s="53">
        <v>2408043</v>
      </c>
      <c r="G5" s="53">
        <v>2520652</v>
      </c>
      <c r="H5" s="53">
        <v>3392954</v>
      </c>
      <c r="I5" s="53">
        <v>3526195</v>
      </c>
      <c r="J5" s="53">
        <v>3275212</v>
      </c>
      <c r="K5" s="53">
        <v>2998356</v>
      </c>
      <c r="L5" s="53">
        <v>2831511</v>
      </c>
      <c r="M5" s="53">
        <v>1460406</v>
      </c>
      <c r="N5" s="12">
        <f>SUM(B5:M5)</f>
        <v>35608307</v>
      </c>
      <c r="O5" s="29"/>
    </row>
    <row r="6" spans="1:15" s="6" customFormat="1" hidden="1">
      <c r="A6" s="6" t="s">
        <v>29</v>
      </c>
      <c r="B6" s="53">
        <v>70448</v>
      </c>
      <c r="C6" s="53">
        <v>71234</v>
      </c>
      <c r="D6" s="53">
        <v>278603</v>
      </c>
      <c r="E6" s="53">
        <v>67286</v>
      </c>
      <c r="F6" s="53">
        <v>128754</v>
      </c>
      <c r="G6" s="53">
        <v>72857</v>
      </c>
      <c r="H6" s="53">
        <v>74941</v>
      </c>
      <c r="I6" s="53">
        <v>131161</v>
      </c>
      <c r="J6" s="53">
        <v>330162</v>
      </c>
      <c r="K6" s="53">
        <v>89970</v>
      </c>
      <c r="L6" s="53">
        <v>316808</v>
      </c>
      <c r="M6" s="53">
        <v>118439</v>
      </c>
      <c r="N6" s="7">
        <f>SUM(B6:M6)</f>
        <v>1750663</v>
      </c>
      <c r="O6" s="29"/>
    </row>
    <row r="7" spans="1:15" s="6" customFormat="1" hidden="1">
      <c r="B7" s="7"/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7">
        <f>SUM(B7:M7)</f>
        <v>0</v>
      </c>
      <c r="O7" s="29"/>
    </row>
    <row r="8" spans="1:15" s="6" customFormat="1" hidden="1">
      <c r="B8" s="15"/>
      <c r="C8" s="15"/>
      <c r="D8" s="15"/>
      <c r="E8" s="15"/>
      <c r="F8" s="15"/>
      <c r="G8" s="15"/>
      <c r="H8" s="15"/>
      <c r="I8" s="15"/>
      <c r="J8" s="15"/>
      <c r="K8" s="15"/>
      <c r="L8" s="15"/>
      <c r="M8" s="15"/>
      <c r="N8" s="15">
        <f>SUM(B8:M8)</f>
        <v>0</v>
      </c>
      <c r="O8" s="29"/>
    </row>
    <row r="9" spans="1:15" s="6" customFormat="1">
      <c r="A9" s="13" t="s">
        <v>30</v>
      </c>
      <c r="B9" s="12">
        <f t="shared" ref="B9:N9" si="0">SUM(B5:B8)</f>
        <v>1172484</v>
      </c>
      <c r="C9" s="12">
        <f t="shared" si="0"/>
        <v>2575209</v>
      </c>
      <c r="D9" s="12">
        <f t="shared" si="0"/>
        <v>5869839</v>
      </c>
      <c r="E9" s="12">
        <f t="shared" si="0"/>
        <v>4065017</v>
      </c>
      <c r="F9" s="12">
        <f t="shared" si="0"/>
        <v>2536797</v>
      </c>
      <c r="G9" s="12">
        <f t="shared" si="0"/>
        <v>2593509</v>
      </c>
      <c r="H9" s="12">
        <f t="shared" si="0"/>
        <v>3467895</v>
      </c>
      <c r="I9" s="12">
        <f t="shared" si="0"/>
        <v>3657356</v>
      </c>
      <c r="J9" s="12">
        <f t="shared" si="0"/>
        <v>3605374</v>
      </c>
      <c r="K9" s="12">
        <f t="shared" si="0"/>
        <v>3088326</v>
      </c>
      <c r="L9" s="12">
        <f t="shared" si="0"/>
        <v>3148319</v>
      </c>
      <c r="M9" s="12">
        <f t="shared" si="0"/>
        <v>1578845</v>
      </c>
      <c r="N9" s="12">
        <f t="shared" si="0"/>
        <v>37358970</v>
      </c>
      <c r="O9" s="29"/>
    </row>
    <row r="10" spans="1:15" s="6" customFormat="1" ht="6.75" customHeight="1"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29"/>
    </row>
    <row r="11" spans="1:15" s="6" customFormat="1">
      <c r="A11" s="13" t="s">
        <v>31</v>
      </c>
      <c r="B11" s="7">
        <f>99729+B56</f>
        <v>87140</v>
      </c>
      <c r="C11" s="7">
        <f>10280+C56</f>
        <v>-1332</v>
      </c>
      <c r="D11" s="7">
        <f>13117+D56</f>
        <v>926</v>
      </c>
      <c r="E11" s="7">
        <f>31849+E56</f>
        <v>21931</v>
      </c>
      <c r="F11" s="7">
        <f>9121+F56</f>
        <v>964</v>
      </c>
      <c r="G11" s="7">
        <f>96279+G56</f>
        <v>573.58000000000175</v>
      </c>
      <c r="H11" s="7">
        <f>9315+H56</f>
        <v>22</v>
      </c>
      <c r="I11" s="7">
        <f>26695+I56</f>
        <v>18172</v>
      </c>
      <c r="J11" s="7">
        <f>22350+J56</f>
        <v>10053</v>
      </c>
      <c r="K11" s="7">
        <v>0</v>
      </c>
      <c r="L11" s="7">
        <v>0</v>
      </c>
      <c r="M11" s="7">
        <v>0</v>
      </c>
      <c r="N11" s="7">
        <f>SUM(B11:M11)</f>
        <v>138449.58000000002</v>
      </c>
      <c r="O11" s="29"/>
    </row>
    <row r="12" spans="1:15" s="6" customFormat="1" ht="7.5" customHeight="1">
      <c r="B12" s="7"/>
      <c r="C12" s="7"/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  <c r="O12" s="29"/>
    </row>
    <row r="13" spans="1:15" s="6" customFormat="1" ht="13.5" thickBot="1">
      <c r="A13" s="13" t="s">
        <v>32</v>
      </c>
      <c r="B13" s="14">
        <f t="shared" ref="B13:N13" si="1">B9+B11</f>
        <v>1259624</v>
      </c>
      <c r="C13" s="14">
        <f>C9+C11</f>
        <v>2573877</v>
      </c>
      <c r="D13" s="14">
        <f t="shared" si="1"/>
        <v>5870765</v>
      </c>
      <c r="E13" s="14">
        <f t="shared" si="1"/>
        <v>4086948</v>
      </c>
      <c r="F13" s="14">
        <f t="shared" si="1"/>
        <v>2537761</v>
      </c>
      <c r="G13" s="14">
        <f t="shared" si="1"/>
        <v>2594082.58</v>
      </c>
      <c r="H13" s="14">
        <f t="shared" si="1"/>
        <v>3467917</v>
      </c>
      <c r="I13" s="14">
        <f t="shared" si="1"/>
        <v>3675528</v>
      </c>
      <c r="J13" s="14">
        <f t="shared" si="1"/>
        <v>3615427</v>
      </c>
      <c r="K13" s="14">
        <f t="shared" si="1"/>
        <v>3088326</v>
      </c>
      <c r="L13" s="14">
        <f t="shared" si="1"/>
        <v>3148319</v>
      </c>
      <c r="M13" s="14">
        <f t="shared" si="1"/>
        <v>1578845</v>
      </c>
      <c r="N13" s="14">
        <f t="shared" si="1"/>
        <v>37497419.579999998</v>
      </c>
      <c r="O13" s="29"/>
    </row>
    <row r="14" spans="1:15" s="6" customFormat="1" ht="13.5" thickTop="1">
      <c r="B14" s="7"/>
      <c r="C14" s="7"/>
      <c r="D14" s="7"/>
      <c r="E14" s="7"/>
      <c r="F14" s="7"/>
      <c r="G14" s="7"/>
      <c r="H14" s="7"/>
      <c r="I14" s="7"/>
      <c r="J14" s="7"/>
      <c r="K14" s="7"/>
      <c r="L14" s="7"/>
      <c r="M14" s="7"/>
    </row>
    <row r="15" spans="1:15" s="6" customFormat="1" hidden="1">
      <c r="A15" s="13" t="s">
        <v>33</v>
      </c>
      <c r="B15" s="7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</row>
    <row r="16" spans="1:15" s="6" customFormat="1" hidden="1">
      <c r="A16" s="6" t="s">
        <v>34</v>
      </c>
      <c r="B16" s="53">
        <v>444475</v>
      </c>
      <c r="C16" s="53">
        <v>1463048</v>
      </c>
      <c r="D16" s="53">
        <v>3023160</v>
      </c>
      <c r="E16" s="53">
        <v>1465276</v>
      </c>
      <c r="F16" s="53">
        <v>847496</v>
      </c>
      <c r="G16" s="53">
        <v>990047</v>
      </c>
      <c r="H16" s="53">
        <v>2082629</v>
      </c>
      <c r="I16" s="53">
        <v>1500369</v>
      </c>
      <c r="J16" s="53">
        <v>1164645</v>
      </c>
      <c r="K16" s="53">
        <v>1090469</v>
      </c>
      <c r="L16" s="53">
        <v>1126126</v>
      </c>
      <c r="M16" s="53">
        <v>849456</v>
      </c>
      <c r="N16" s="7">
        <f>SUM(B16:M16)</f>
        <v>16047196</v>
      </c>
      <c r="O16" s="29"/>
    </row>
    <row r="17" spans="1:44" s="6" customFormat="1" hidden="1">
      <c r="B17" s="27"/>
      <c r="C17" s="27"/>
      <c r="D17" s="27"/>
      <c r="E17" s="27"/>
      <c r="F17" s="27"/>
      <c r="G17" s="27"/>
      <c r="H17" s="27"/>
      <c r="I17" s="27"/>
      <c r="J17" s="27"/>
      <c r="K17" s="27"/>
      <c r="L17" s="27"/>
      <c r="M17" s="27"/>
      <c r="N17" s="7">
        <f>SUM(B17:M17)</f>
        <v>0</v>
      </c>
    </row>
    <row r="18" spans="1:44" s="6" customFormat="1" hidden="1">
      <c r="B18" s="7"/>
      <c r="C18" s="7"/>
      <c r="D18" s="7"/>
      <c r="E18" s="7"/>
      <c r="F18" s="7"/>
      <c r="G18" s="7"/>
      <c r="H18" s="7"/>
      <c r="I18" s="7"/>
      <c r="J18" s="7"/>
      <c r="K18" s="7"/>
      <c r="L18" s="7"/>
      <c r="M18" s="7"/>
      <c r="N18" s="7">
        <v>0</v>
      </c>
    </row>
    <row r="19" spans="1:44" s="6" customFormat="1" hidden="1">
      <c r="B19" s="15"/>
      <c r="C19" s="15"/>
      <c r="D19" s="15"/>
      <c r="E19" s="15"/>
      <c r="F19" s="15"/>
      <c r="G19" s="15"/>
      <c r="H19" s="15"/>
      <c r="I19" s="15"/>
      <c r="J19" s="15"/>
      <c r="K19" s="15"/>
      <c r="L19" s="15"/>
      <c r="M19" s="15"/>
      <c r="N19" s="15">
        <f>SUM(B19:M19)</f>
        <v>0</v>
      </c>
    </row>
    <row r="20" spans="1:44" s="6" customFormat="1">
      <c r="A20" s="13" t="s">
        <v>35</v>
      </c>
      <c r="B20" s="12">
        <f t="shared" ref="B20:N20" si="2">SUM(B16:B19)</f>
        <v>444475</v>
      </c>
      <c r="C20" s="12">
        <f t="shared" si="2"/>
        <v>1463048</v>
      </c>
      <c r="D20" s="12">
        <f t="shared" si="2"/>
        <v>3023160</v>
      </c>
      <c r="E20" s="12">
        <f t="shared" si="2"/>
        <v>1465276</v>
      </c>
      <c r="F20" s="12">
        <f t="shared" si="2"/>
        <v>847496</v>
      </c>
      <c r="G20" s="12">
        <f t="shared" si="2"/>
        <v>990047</v>
      </c>
      <c r="H20" s="12">
        <f t="shared" si="2"/>
        <v>2082629</v>
      </c>
      <c r="I20" s="12">
        <f t="shared" si="2"/>
        <v>1500369</v>
      </c>
      <c r="J20" s="12">
        <f t="shared" si="2"/>
        <v>1164645</v>
      </c>
      <c r="K20" s="12">
        <f t="shared" si="2"/>
        <v>1090469</v>
      </c>
      <c r="L20" s="12">
        <f t="shared" si="2"/>
        <v>1126126</v>
      </c>
      <c r="M20" s="12">
        <f t="shared" si="2"/>
        <v>849456</v>
      </c>
      <c r="N20" s="12">
        <f t="shared" si="2"/>
        <v>16047196</v>
      </c>
      <c r="O20" s="29"/>
    </row>
    <row r="21" spans="1:44" s="6" customFormat="1">
      <c r="B21" s="7"/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</row>
    <row r="22" spans="1:44" s="6" customFormat="1" hidden="1">
      <c r="A22" s="13" t="s">
        <v>36</v>
      </c>
      <c r="B22" s="7"/>
      <c r="C22" s="7"/>
      <c r="D22" s="7"/>
      <c r="E22" s="7"/>
      <c r="F22" s="7"/>
      <c r="G22" s="7"/>
      <c r="H22" s="7"/>
      <c r="I22" s="7"/>
      <c r="J22" s="7"/>
      <c r="K22" s="7"/>
      <c r="L22" s="7"/>
      <c r="M22" s="7"/>
    </row>
    <row r="23" spans="1:44" s="6" customFormat="1" hidden="1">
      <c r="A23" s="6" t="s">
        <v>37</v>
      </c>
      <c r="B23" s="7">
        <f t="shared" ref="B23:M26" si="3">+B5-B16</f>
        <v>657561</v>
      </c>
      <c r="C23" s="7">
        <f t="shared" si="3"/>
        <v>1040927</v>
      </c>
      <c r="D23" s="7">
        <f t="shared" si="3"/>
        <v>2568076</v>
      </c>
      <c r="E23" s="7">
        <f t="shared" si="3"/>
        <v>2532455</v>
      </c>
      <c r="F23" s="7">
        <f t="shared" si="3"/>
        <v>1560547</v>
      </c>
      <c r="G23" s="7">
        <f t="shared" si="3"/>
        <v>1530605</v>
      </c>
      <c r="H23" s="7">
        <f t="shared" si="3"/>
        <v>1310325</v>
      </c>
      <c r="I23" s="7">
        <f t="shared" si="3"/>
        <v>2025826</v>
      </c>
      <c r="J23" s="7">
        <f t="shared" si="3"/>
        <v>2110567</v>
      </c>
      <c r="K23" s="7">
        <f t="shared" si="3"/>
        <v>1907887</v>
      </c>
      <c r="L23" s="7">
        <f t="shared" si="3"/>
        <v>1705385</v>
      </c>
      <c r="M23" s="7">
        <f t="shared" si="3"/>
        <v>610950</v>
      </c>
      <c r="N23" s="7">
        <f>SUM(B23:M23)</f>
        <v>19561111</v>
      </c>
      <c r="O23" s="29"/>
    </row>
    <row r="24" spans="1:44" s="6" customFormat="1" hidden="1">
      <c r="A24" s="6" t="s">
        <v>37</v>
      </c>
      <c r="B24" s="7">
        <f t="shared" si="3"/>
        <v>70448</v>
      </c>
      <c r="C24" s="7">
        <f t="shared" si="3"/>
        <v>71234</v>
      </c>
      <c r="D24" s="7">
        <f t="shared" si="3"/>
        <v>278603</v>
      </c>
      <c r="E24" s="7">
        <f t="shared" si="3"/>
        <v>67286</v>
      </c>
      <c r="F24" s="7">
        <f t="shared" si="3"/>
        <v>128754</v>
      </c>
      <c r="G24" s="7">
        <f t="shared" si="3"/>
        <v>72857</v>
      </c>
      <c r="H24" s="7">
        <f t="shared" si="3"/>
        <v>74941</v>
      </c>
      <c r="I24" s="7">
        <f t="shared" si="3"/>
        <v>131161</v>
      </c>
      <c r="J24" s="7">
        <f t="shared" si="3"/>
        <v>330162</v>
      </c>
      <c r="K24" s="7">
        <f t="shared" si="3"/>
        <v>89970</v>
      </c>
      <c r="L24" s="7">
        <f t="shared" si="3"/>
        <v>316808</v>
      </c>
      <c r="M24" s="7">
        <f t="shared" si="3"/>
        <v>118439</v>
      </c>
      <c r="N24" s="7">
        <f>SUM(B24:M24)</f>
        <v>1750663</v>
      </c>
      <c r="O24" s="29"/>
    </row>
    <row r="25" spans="1:44" s="6" customFormat="1" hidden="1">
      <c r="A25" s="6" t="s">
        <v>38</v>
      </c>
      <c r="B25" s="7">
        <f t="shared" si="3"/>
        <v>0</v>
      </c>
      <c r="C25" s="7">
        <f t="shared" si="3"/>
        <v>0</v>
      </c>
      <c r="D25" s="7">
        <f t="shared" si="3"/>
        <v>0</v>
      </c>
      <c r="E25" s="7">
        <f t="shared" si="3"/>
        <v>0</v>
      </c>
      <c r="F25" s="7">
        <f t="shared" si="3"/>
        <v>0</v>
      </c>
      <c r="G25" s="7">
        <f t="shared" si="3"/>
        <v>0</v>
      </c>
      <c r="H25" s="7">
        <f t="shared" si="3"/>
        <v>0</v>
      </c>
      <c r="I25" s="7">
        <f t="shared" si="3"/>
        <v>0</v>
      </c>
      <c r="J25" s="7">
        <f t="shared" si="3"/>
        <v>0</v>
      </c>
      <c r="K25" s="7">
        <f t="shared" si="3"/>
        <v>0</v>
      </c>
      <c r="L25" s="7">
        <f t="shared" si="3"/>
        <v>0</v>
      </c>
      <c r="M25" s="7">
        <f t="shared" si="3"/>
        <v>0</v>
      </c>
      <c r="N25" s="7">
        <f>SUM(B25:M25)</f>
        <v>0</v>
      </c>
      <c r="O25" s="29"/>
    </row>
    <row r="26" spans="1:44" s="6" customFormat="1" hidden="1">
      <c r="A26" s="6" t="s">
        <v>38</v>
      </c>
      <c r="B26" s="15">
        <f t="shared" si="3"/>
        <v>0</v>
      </c>
      <c r="C26" s="15">
        <f t="shared" si="3"/>
        <v>0</v>
      </c>
      <c r="D26" s="15">
        <f t="shared" si="3"/>
        <v>0</v>
      </c>
      <c r="E26" s="15">
        <f t="shared" si="3"/>
        <v>0</v>
      </c>
      <c r="F26" s="15">
        <f t="shared" si="3"/>
        <v>0</v>
      </c>
      <c r="G26" s="15">
        <f t="shared" si="3"/>
        <v>0</v>
      </c>
      <c r="H26" s="15">
        <f t="shared" si="3"/>
        <v>0</v>
      </c>
      <c r="I26" s="15">
        <f t="shared" si="3"/>
        <v>0</v>
      </c>
      <c r="J26" s="15">
        <f t="shared" si="3"/>
        <v>0</v>
      </c>
      <c r="K26" s="15">
        <f t="shared" si="3"/>
        <v>0</v>
      </c>
      <c r="L26" s="15">
        <f t="shared" si="3"/>
        <v>0</v>
      </c>
      <c r="M26" s="15">
        <f t="shared" si="3"/>
        <v>0</v>
      </c>
      <c r="N26" s="15">
        <f>SUM(B26:M26)</f>
        <v>0</v>
      </c>
      <c r="O26" s="29"/>
    </row>
    <row r="27" spans="1:44" s="6" customFormat="1">
      <c r="A27" s="13" t="s">
        <v>39</v>
      </c>
      <c r="B27" s="12">
        <f t="shared" ref="B27:N27" si="4">SUM(B23:B26)</f>
        <v>728009</v>
      </c>
      <c r="C27" s="12">
        <f t="shared" si="4"/>
        <v>1112161</v>
      </c>
      <c r="D27" s="12">
        <f t="shared" si="4"/>
        <v>2846679</v>
      </c>
      <c r="E27" s="12">
        <f t="shared" si="4"/>
        <v>2599741</v>
      </c>
      <c r="F27" s="12">
        <f t="shared" si="4"/>
        <v>1689301</v>
      </c>
      <c r="G27" s="12">
        <f t="shared" si="4"/>
        <v>1603462</v>
      </c>
      <c r="H27" s="12">
        <f t="shared" si="4"/>
        <v>1385266</v>
      </c>
      <c r="I27" s="12">
        <f t="shared" si="4"/>
        <v>2156987</v>
      </c>
      <c r="J27" s="12">
        <f t="shared" si="4"/>
        <v>2440729</v>
      </c>
      <c r="K27" s="12">
        <f t="shared" si="4"/>
        <v>1997857</v>
      </c>
      <c r="L27" s="12">
        <f t="shared" si="4"/>
        <v>2022193</v>
      </c>
      <c r="M27" s="12">
        <f>SUM(M23:M26)</f>
        <v>729389</v>
      </c>
      <c r="N27" s="12">
        <f t="shared" si="4"/>
        <v>21311774</v>
      </c>
      <c r="O27" s="29"/>
    </row>
    <row r="28" spans="1:44" s="6" customFormat="1" ht="14.45" customHeight="1">
      <c r="B28" s="73">
        <f>+B27/B9</f>
        <v>0.620911671289331</v>
      </c>
      <c r="C28" s="73">
        <f t="shared" ref="C28:N28" si="5">+C27/C9</f>
        <v>0.43187213154349802</v>
      </c>
      <c r="D28" s="73">
        <f t="shared" si="5"/>
        <v>0.48496713453299145</v>
      </c>
      <c r="E28" s="73">
        <f t="shared" si="5"/>
        <v>0.63954000684375978</v>
      </c>
      <c r="F28" s="73">
        <f t="shared" si="5"/>
        <v>0.66591887328785082</v>
      </c>
      <c r="G28" s="73">
        <f t="shared" si="5"/>
        <v>0.6182596628737359</v>
      </c>
      <c r="H28" s="73">
        <f t="shared" si="5"/>
        <v>0.39945442408146731</v>
      </c>
      <c r="I28" s="73">
        <f t="shared" si="5"/>
        <v>0.58976676046849141</v>
      </c>
      <c r="J28" s="73">
        <f t="shared" si="5"/>
        <v>0.67696971243482651</v>
      </c>
      <c r="K28" s="73">
        <f t="shared" si="5"/>
        <v>0.64690612325253227</v>
      </c>
      <c r="L28" s="73">
        <f t="shared" si="5"/>
        <v>0.64230880034710591</v>
      </c>
      <c r="M28" s="73">
        <f t="shared" si="5"/>
        <v>0.4619763181312922</v>
      </c>
      <c r="N28" s="73">
        <f t="shared" si="5"/>
        <v>0.57045935688269778</v>
      </c>
    </row>
    <row r="29" spans="1:44" s="6" customFormat="1" hidden="1">
      <c r="A29" s="13" t="s">
        <v>40</v>
      </c>
      <c r="B29" s="7"/>
      <c r="C29" s="7"/>
      <c r="D29" s="7"/>
      <c r="E29" s="7"/>
      <c r="F29" s="7"/>
      <c r="G29" s="7"/>
      <c r="H29" s="7"/>
      <c r="I29" s="7"/>
      <c r="J29" s="7"/>
      <c r="K29" s="7"/>
      <c r="L29" s="7"/>
      <c r="M29" s="7"/>
    </row>
    <row r="30" spans="1:44" s="6" customFormat="1" hidden="1">
      <c r="A30" s="6" t="s">
        <v>93</v>
      </c>
      <c r="B30" s="53">
        <v>415779</v>
      </c>
      <c r="C30" s="53">
        <v>561495</v>
      </c>
      <c r="D30" s="53">
        <v>742338</v>
      </c>
      <c r="E30" s="53">
        <v>829683</v>
      </c>
      <c r="F30" s="53">
        <v>607435</v>
      </c>
      <c r="G30" s="53">
        <v>631393</v>
      </c>
      <c r="H30" s="53">
        <v>607413</v>
      </c>
      <c r="I30" s="53">
        <v>721705</v>
      </c>
      <c r="J30" s="53">
        <v>687238</v>
      </c>
      <c r="K30" s="53">
        <v>755862</v>
      </c>
      <c r="L30" s="53">
        <v>642868</v>
      </c>
      <c r="M30" s="53">
        <v>459430</v>
      </c>
      <c r="N30" s="7">
        <f>SUM(B30:M30)</f>
        <v>7662639</v>
      </c>
      <c r="O30" s="29"/>
    </row>
    <row r="31" spans="1:44" s="6" customFormat="1" hidden="1">
      <c r="A31" s="6" t="s">
        <v>42</v>
      </c>
      <c r="B31" s="53">
        <v>245383</v>
      </c>
      <c r="C31" s="53">
        <v>212042</v>
      </c>
      <c r="D31" s="53">
        <v>203129</v>
      </c>
      <c r="E31" s="53">
        <v>235434</v>
      </c>
      <c r="F31" s="53">
        <v>203129</v>
      </c>
      <c r="G31" s="53">
        <v>209186</v>
      </c>
      <c r="H31" s="53">
        <v>237769</v>
      </c>
      <c r="I31" s="53">
        <v>201008</v>
      </c>
      <c r="J31" s="53">
        <v>218161</v>
      </c>
      <c r="K31" s="53">
        <v>226530</v>
      </c>
      <c r="L31" s="53">
        <v>194439</v>
      </c>
      <c r="M31" s="53">
        <v>198004</v>
      </c>
      <c r="N31" s="7">
        <f>SUM(B31:M31)</f>
        <v>2584214</v>
      </c>
      <c r="O31" s="29"/>
    </row>
    <row r="32" spans="1:44" s="6" customFormat="1" ht="15" hidden="1">
      <c r="A32" s="6" t="s">
        <v>38</v>
      </c>
      <c r="B32" s="68"/>
      <c r="C32" s="68"/>
      <c r="D32" s="68"/>
      <c r="E32" s="68"/>
      <c r="F32" s="68"/>
      <c r="G32" s="68"/>
      <c r="H32" s="68"/>
      <c r="I32" s="68"/>
      <c r="J32" s="68"/>
      <c r="K32" s="68"/>
      <c r="L32" s="68"/>
      <c r="M32" s="68"/>
      <c r="N32" s="7">
        <f>SUM(B32:M32)</f>
        <v>0</v>
      </c>
      <c r="O32" s="29"/>
      <c r="P32" s="6">
        <f>+B32*-1</f>
        <v>0</v>
      </c>
      <c r="Q32" s="6">
        <f t="shared" ref="Q32:AF33" si="6">+C32*-1</f>
        <v>0</v>
      </c>
      <c r="R32" s="6">
        <f t="shared" si="6"/>
        <v>0</v>
      </c>
      <c r="S32" s="6">
        <f t="shared" si="6"/>
        <v>0</v>
      </c>
      <c r="T32" s="6">
        <f t="shared" si="6"/>
        <v>0</v>
      </c>
      <c r="U32" s="6">
        <f t="shared" si="6"/>
        <v>0</v>
      </c>
      <c r="V32" s="6">
        <f t="shared" si="6"/>
        <v>0</v>
      </c>
      <c r="W32" s="6">
        <f t="shared" si="6"/>
        <v>0</v>
      </c>
      <c r="X32" s="6">
        <f t="shared" si="6"/>
        <v>0</v>
      </c>
      <c r="Y32" s="6">
        <f t="shared" si="6"/>
        <v>0</v>
      </c>
      <c r="Z32" s="6">
        <f t="shared" si="6"/>
        <v>0</v>
      </c>
      <c r="AA32" s="6">
        <f t="shared" si="6"/>
        <v>0</v>
      </c>
      <c r="AB32" s="6">
        <f t="shared" si="6"/>
        <v>0</v>
      </c>
      <c r="AC32" s="6">
        <f t="shared" si="6"/>
        <v>0</v>
      </c>
      <c r="AD32" s="6">
        <f t="shared" si="6"/>
        <v>0</v>
      </c>
      <c r="AE32" s="6">
        <f t="shared" si="6"/>
        <v>0</v>
      </c>
      <c r="AF32" s="6">
        <f t="shared" si="6"/>
        <v>0</v>
      </c>
      <c r="AG32" s="6">
        <f t="shared" ref="AG32:AR33" si="7">+S32*-1</f>
        <v>0</v>
      </c>
      <c r="AH32" s="6">
        <f t="shared" si="7"/>
        <v>0</v>
      </c>
      <c r="AI32" s="6">
        <f t="shared" si="7"/>
        <v>0</v>
      </c>
      <c r="AJ32" s="6">
        <f t="shared" si="7"/>
        <v>0</v>
      </c>
      <c r="AK32" s="6">
        <f t="shared" si="7"/>
        <v>0</v>
      </c>
      <c r="AL32" s="6">
        <f t="shared" si="7"/>
        <v>0</v>
      </c>
      <c r="AM32" s="6">
        <f t="shared" si="7"/>
        <v>0</v>
      </c>
      <c r="AN32" s="6">
        <f t="shared" si="7"/>
        <v>0</v>
      </c>
      <c r="AO32" s="6">
        <f t="shared" si="7"/>
        <v>0</v>
      </c>
      <c r="AP32" s="6">
        <f t="shared" si="7"/>
        <v>0</v>
      </c>
      <c r="AQ32" s="6">
        <f t="shared" si="7"/>
        <v>0</v>
      </c>
      <c r="AR32" s="6">
        <f t="shared" si="7"/>
        <v>0</v>
      </c>
    </row>
    <row r="33" spans="1:44" s="6" customFormat="1" hidden="1">
      <c r="B33" s="15"/>
      <c r="C33" s="15"/>
      <c r="D33" s="15"/>
      <c r="E33" s="15"/>
      <c r="F33" s="15"/>
      <c r="G33" s="15"/>
      <c r="H33" s="15"/>
      <c r="I33" s="15"/>
      <c r="J33" s="15"/>
      <c r="K33" s="15"/>
      <c r="L33" s="15"/>
      <c r="M33" s="15"/>
      <c r="N33" s="15">
        <f>SUM(B33:M33)</f>
        <v>0</v>
      </c>
      <c r="O33" s="29"/>
      <c r="Q33" s="6">
        <f t="shared" si="6"/>
        <v>0</v>
      </c>
      <c r="R33" s="6">
        <f t="shared" si="6"/>
        <v>0</v>
      </c>
      <c r="S33" s="6">
        <f t="shared" si="6"/>
        <v>0</v>
      </c>
      <c r="T33" s="6">
        <f t="shared" si="6"/>
        <v>0</v>
      </c>
      <c r="U33" s="6">
        <f t="shared" si="6"/>
        <v>0</v>
      </c>
      <c r="V33" s="6">
        <f t="shared" si="6"/>
        <v>0</v>
      </c>
      <c r="W33" s="6">
        <f t="shared" si="6"/>
        <v>0</v>
      </c>
      <c r="X33" s="6">
        <f t="shared" si="6"/>
        <v>0</v>
      </c>
      <c r="Y33" s="6">
        <f t="shared" si="6"/>
        <v>0</v>
      </c>
      <c r="Z33" s="6">
        <f t="shared" si="6"/>
        <v>0</v>
      </c>
      <c r="AA33" s="6">
        <f t="shared" si="6"/>
        <v>0</v>
      </c>
      <c r="AB33" s="6">
        <f t="shared" si="6"/>
        <v>0</v>
      </c>
      <c r="AC33" s="6">
        <f t="shared" si="6"/>
        <v>0</v>
      </c>
      <c r="AD33" s="6">
        <f t="shared" si="6"/>
        <v>0</v>
      </c>
      <c r="AE33" s="6">
        <f t="shared" si="6"/>
        <v>0</v>
      </c>
      <c r="AF33" s="6">
        <f t="shared" si="6"/>
        <v>0</v>
      </c>
      <c r="AG33" s="6">
        <f t="shared" si="7"/>
        <v>0</v>
      </c>
      <c r="AH33" s="6">
        <f t="shared" si="7"/>
        <v>0</v>
      </c>
      <c r="AI33" s="6">
        <f t="shared" si="7"/>
        <v>0</v>
      </c>
      <c r="AJ33" s="6">
        <f t="shared" si="7"/>
        <v>0</v>
      </c>
      <c r="AK33" s="6">
        <f t="shared" si="7"/>
        <v>0</v>
      </c>
      <c r="AL33" s="6">
        <f t="shared" si="7"/>
        <v>0</v>
      </c>
      <c r="AM33" s="6">
        <f t="shared" si="7"/>
        <v>0</v>
      </c>
      <c r="AN33" s="6">
        <f t="shared" si="7"/>
        <v>0</v>
      </c>
      <c r="AO33" s="6">
        <f t="shared" si="7"/>
        <v>0</v>
      </c>
      <c r="AP33" s="6">
        <f t="shared" si="7"/>
        <v>0</v>
      </c>
      <c r="AQ33" s="6">
        <f t="shared" si="7"/>
        <v>0</v>
      </c>
      <c r="AR33" s="6">
        <f t="shared" si="7"/>
        <v>0</v>
      </c>
    </row>
    <row r="34" spans="1:44" s="6" customFormat="1">
      <c r="A34" s="13" t="s">
        <v>43</v>
      </c>
      <c r="B34" s="12">
        <f t="shared" ref="B34:N34" si="8">SUM(B30:B33)</f>
        <v>661162</v>
      </c>
      <c r="C34" s="12">
        <f t="shared" si="8"/>
        <v>773537</v>
      </c>
      <c r="D34" s="12">
        <f t="shared" si="8"/>
        <v>945467</v>
      </c>
      <c r="E34" s="12">
        <f t="shared" si="8"/>
        <v>1065117</v>
      </c>
      <c r="F34" s="12">
        <f t="shared" si="8"/>
        <v>810564</v>
      </c>
      <c r="G34" s="12">
        <f t="shared" si="8"/>
        <v>840579</v>
      </c>
      <c r="H34" s="12">
        <f t="shared" si="8"/>
        <v>845182</v>
      </c>
      <c r="I34" s="12">
        <f t="shared" si="8"/>
        <v>922713</v>
      </c>
      <c r="J34" s="12">
        <f t="shared" si="8"/>
        <v>905399</v>
      </c>
      <c r="K34" s="12">
        <f t="shared" si="8"/>
        <v>982392</v>
      </c>
      <c r="L34" s="12">
        <f t="shared" si="8"/>
        <v>837307</v>
      </c>
      <c r="M34" s="12">
        <f t="shared" si="8"/>
        <v>657434</v>
      </c>
      <c r="N34" s="12">
        <f t="shared" si="8"/>
        <v>10246853</v>
      </c>
      <c r="O34" s="29"/>
    </row>
    <row r="35" spans="1:44" s="6" customFormat="1">
      <c r="B35" s="7"/>
      <c r="C35" s="7"/>
      <c r="D35" s="7"/>
      <c r="E35" s="7"/>
      <c r="F35" s="7"/>
      <c r="G35" s="7"/>
      <c r="H35" s="7"/>
      <c r="I35" s="7"/>
      <c r="J35" s="7"/>
      <c r="K35" s="7"/>
      <c r="L35" s="7"/>
      <c r="M35" s="7"/>
    </row>
    <row r="36" spans="1:44" s="6" customFormat="1" hidden="1">
      <c r="A36" s="13" t="s">
        <v>44</v>
      </c>
      <c r="B36" s="7"/>
      <c r="C36" s="7"/>
      <c r="D36" s="7"/>
      <c r="E36" s="7"/>
      <c r="F36" s="7"/>
      <c r="G36" s="7"/>
      <c r="H36" s="7"/>
      <c r="I36" s="7"/>
      <c r="J36" s="7"/>
      <c r="K36" s="7"/>
      <c r="L36" s="7"/>
      <c r="M36" s="7"/>
    </row>
    <row r="37" spans="1:44" s="6" customFormat="1" hidden="1">
      <c r="A37" s="6" t="s">
        <v>45</v>
      </c>
      <c r="B37" s="53">
        <v>1168701</v>
      </c>
      <c r="C37" s="53">
        <v>1244422</v>
      </c>
      <c r="D37" s="53">
        <v>1461507</v>
      </c>
      <c r="E37" s="53">
        <v>1790911</v>
      </c>
      <c r="F37" s="53">
        <v>1370885</v>
      </c>
      <c r="G37" s="66">
        <v>1564207</v>
      </c>
      <c r="H37" s="66">
        <v>1269929</v>
      </c>
      <c r="I37" s="66">
        <v>1483414</v>
      </c>
      <c r="J37" s="66">
        <v>1568535</v>
      </c>
      <c r="K37" s="53">
        <v>1582030</v>
      </c>
      <c r="L37" s="53">
        <v>1425841</v>
      </c>
      <c r="M37" s="53">
        <v>1274220</v>
      </c>
      <c r="N37" s="7">
        <f>SUM(B37:M37)</f>
        <v>17204602</v>
      </c>
      <c r="O37" s="29"/>
      <c r="P37" s="69"/>
    </row>
    <row r="38" spans="1:44" s="6" customFormat="1" hidden="1">
      <c r="A38" s="6" t="s">
        <v>46</v>
      </c>
      <c r="B38" s="7">
        <f>-B34</f>
        <v>-661162</v>
      </c>
      <c r="C38" s="7">
        <f t="shared" ref="C38:M38" si="9">-C34</f>
        <v>-773537</v>
      </c>
      <c r="D38" s="7">
        <f t="shared" si="9"/>
        <v>-945467</v>
      </c>
      <c r="E38" s="7">
        <f t="shared" si="9"/>
        <v>-1065117</v>
      </c>
      <c r="F38" s="7">
        <f t="shared" si="9"/>
        <v>-810564</v>
      </c>
      <c r="G38" s="7">
        <f t="shared" si="9"/>
        <v>-840579</v>
      </c>
      <c r="H38" s="7">
        <f t="shared" si="9"/>
        <v>-845182</v>
      </c>
      <c r="I38" s="7">
        <f t="shared" si="9"/>
        <v>-922713</v>
      </c>
      <c r="J38" s="7">
        <f t="shared" si="9"/>
        <v>-905399</v>
      </c>
      <c r="K38" s="7">
        <f t="shared" si="9"/>
        <v>-982392</v>
      </c>
      <c r="L38" s="7">
        <f t="shared" si="9"/>
        <v>-837307</v>
      </c>
      <c r="M38" s="7">
        <f t="shared" si="9"/>
        <v>-657434</v>
      </c>
      <c r="N38" s="7">
        <f>SUM(B38:M38)</f>
        <v>-10246853</v>
      </c>
      <c r="O38" s="29"/>
    </row>
    <row r="39" spans="1:44" s="6" customFormat="1" hidden="1">
      <c r="A39" s="6" t="s">
        <v>47</v>
      </c>
      <c r="B39" s="72">
        <v>-77886</v>
      </c>
      <c r="C39" s="72">
        <v>-77317</v>
      </c>
      <c r="D39" s="72">
        <v>-76975</v>
      </c>
      <c r="E39" s="72">
        <v>-75957</v>
      </c>
      <c r="F39" s="72">
        <v>-75944</v>
      </c>
      <c r="G39" s="72">
        <v>-75944</v>
      </c>
      <c r="H39" s="72">
        <v>-75944</v>
      </c>
      <c r="I39" s="72">
        <v>-75679</v>
      </c>
      <c r="J39" s="72">
        <v>-75679</v>
      </c>
      <c r="K39" s="72">
        <v>-88563</v>
      </c>
      <c r="L39" s="72">
        <v>-97279</v>
      </c>
      <c r="M39" s="72">
        <v>-97277</v>
      </c>
      <c r="N39" s="7">
        <f>SUM(B39:M39)</f>
        <v>-970444</v>
      </c>
      <c r="O39" s="29"/>
    </row>
    <row r="40" spans="1:44" s="6" customFormat="1" hidden="1">
      <c r="A40" s="6" t="s">
        <v>78</v>
      </c>
      <c r="B40" s="53"/>
      <c r="C40" s="53"/>
      <c r="D40" s="53"/>
      <c r="E40" s="53"/>
      <c r="F40" s="53"/>
      <c r="G40" s="53"/>
      <c r="H40" s="53"/>
      <c r="I40" s="53"/>
      <c r="J40" s="53"/>
      <c r="K40" s="53"/>
      <c r="L40" s="53"/>
      <c r="M40" s="53"/>
      <c r="N40" s="7">
        <f>SUM(B40:M40)</f>
        <v>0</v>
      </c>
      <c r="O40" s="29"/>
    </row>
    <row r="41" spans="1:44" s="6" customFormat="1" hidden="1">
      <c r="A41" s="6" t="s">
        <v>48</v>
      </c>
      <c r="B41" s="60">
        <v>-8350</v>
      </c>
      <c r="C41" s="60">
        <v>-8250</v>
      </c>
      <c r="D41" s="60">
        <v>-8350</v>
      </c>
      <c r="E41" s="60">
        <v>-8350</v>
      </c>
      <c r="F41" s="60">
        <v>-8350</v>
      </c>
      <c r="G41" s="60">
        <v>-8350</v>
      </c>
      <c r="H41" s="60">
        <v>-8350</v>
      </c>
      <c r="I41" s="60">
        <v>-8350</v>
      </c>
      <c r="J41" s="60">
        <v>-8350</v>
      </c>
      <c r="K41" s="60">
        <v>-8350</v>
      </c>
      <c r="L41" s="60">
        <v>-8350</v>
      </c>
      <c r="M41" s="60">
        <v>-30300</v>
      </c>
      <c r="N41" s="15">
        <f>SUM(B41:M41)</f>
        <v>-122050</v>
      </c>
      <c r="O41" s="29"/>
    </row>
    <row r="42" spans="1:44" s="6" customFormat="1">
      <c r="A42" s="13" t="s">
        <v>49</v>
      </c>
      <c r="B42" s="12">
        <f t="shared" ref="B42:N42" si="10">SUM(B37:B41)</f>
        <v>421303</v>
      </c>
      <c r="C42" s="12">
        <f t="shared" si="10"/>
        <v>385318</v>
      </c>
      <c r="D42" s="12">
        <f t="shared" si="10"/>
        <v>430715</v>
      </c>
      <c r="E42" s="12">
        <f t="shared" si="10"/>
        <v>641487</v>
      </c>
      <c r="F42" s="12">
        <f t="shared" si="10"/>
        <v>476027</v>
      </c>
      <c r="G42" s="12">
        <f t="shared" si="10"/>
        <v>639334</v>
      </c>
      <c r="H42" s="12">
        <f t="shared" si="10"/>
        <v>340453</v>
      </c>
      <c r="I42" s="12">
        <f t="shared" si="10"/>
        <v>476672</v>
      </c>
      <c r="J42" s="12">
        <f t="shared" si="10"/>
        <v>579107</v>
      </c>
      <c r="K42" s="12">
        <f t="shared" si="10"/>
        <v>502725</v>
      </c>
      <c r="L42" s="12">
        <f t="shared" si="10"/>
        <v>482905</v>
      </c>
      <c r="M42" s="12">
        <f t="shared" si="10"/>
        <v>489209</v>
      </c>
      <c r="N42" s="12">
        <f t="shared" si="10"/>
        <v>5865255</v>
      </c>
      <c r="O42" s="29"/>
    </row>
    <row r="43" spans="1:44">
      <c r="A43" s="1"/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2"/>
      <c r="N43" s="12"/>
      <c r="O43" s="6"/>
    </row>
    <row r="44" spans="1:44">
      <c r="A44" s="13" t="s">
        <v>50</v>
      </c>
      <c r="B44" s="53">
        <v>296581</v>
      </c>
      <c r="C44" s="53">
        <v>244043</v>
      </c>
      <c r="D44" s="53">
        <v>272075</v>
      </c>
      <c r="E44" s="53">
        <v>331396</v>
      </c>
      <c r="F44" s="53">
        <v>346084</v>
      </c>
      <c r="G44" s="53">
        <v>278977</v>
      </c>
      <c r="H44" s="53">
        <v>350131</v>
      </c>
      <c r="I44" s="53">
        <v>267034</v>
      </c>
      <c r="J44" s="53">
        <v>354437</v>
      </c>
      <c r="K44" s="53">
        <v>378879</v>
      </c>
      <c r="L44" s="53">
        <v>307614</v>
      </c>
      <c r="M44" s="53">
        <v>705082</v>
      </c>
      <c r="N44" s="12">
        <f>SUM(B44:M44)</f>
        <v>4132333</v>
      </c>
      <c r="O44" s="29"/>
    </row>
    <row r="45" spans="1:44">
      <c r="A45" s="6" t="s">
        <v>107</v>
      </c>
      <c r="B45" s="22"/>
      <c r="C45" s="22"/>
      <c r="D45" s="22"/>
      <c r="E45" s="22"/>
      <c r="F45" s="22"/>
      <c r="G45" s="22"/>
      <c r="H45" s="22"/>
      <c r="I45" s="22"/>
      <c r="J45" s="22">
        <v>1160600</v>
      </c>
      <c r="K45" s="22"/>
      <c r="L45" s="22"/>
      <c r="M45" s="22"/>
      <c r="N45" s="22">
        <f>SUM(B45:M45)</f>
        <v>1160600</v>
      </c>
      <c r="O45" s="29"/>
    </row>
    <row r="46" spans="1:44">
      <c r="A46" s="1" t="s">
        <v>50</v>
      </c>
      <c r="B46" s="12">
        <f>SUM(B44:B45)</f>
        <v>296581</v>
      </c>
      <c r="C46" s="12">
        <f>SUM(C44:C45)</f>
        <v>244043</v>
      </c>
      <c r="D46" s="12">
        <f t="shared" ref="D46:N46" si="11">SUM(D44:D45)</f>
        <v>272075</v>
      </c>
      <c r="E46" s="12">
        <f t="shared" si="11"/>
        <v>331396</v>
      </c>
      <c r="F46" s="12">
        <f t="shared" si="11"/>
        <v>346084</v>
      </c>
      <c r="G46" s="12">
        <f t="shared" si="11"/>
        <v>278977</v>
      </c>
      <c r="H46" s="12">
        <f t="shared" si="11"/>
        <v>350131</v>
      </c>
      <c r="I46" s="12">
        <f t="shared" si="11"/>
        <v>267034</v>
      </c>
      <c r="J46" s="12">
        <f t="shared" si="11"/>
        <v>1515037</v>
      </c>
      <c r="K46" s="12">
        <f t="shared" si="11"/>
        <v>378879</v>
      </c>
      <c r="L46" s="12">
        <f t="shared" si="11"/>
        <v>307614</v>
      </c>
      <c r="M46" s="12">
        <f t="shared" si="11"/>
        <v>705082</v>
      </c>
      <c r="N46" s="12">
        <f t="shared" si="11"/>
        <v>5292933</v>
      </c>
      <c r="O46" s="29"/>
    </row>
    <row r="47" spans="1:44">
      <c r="B47" s="7"/>
      <c r="C47" s="7"/>
      <c r="D47" s="7"/>
      <c r="E47" s="7"/>
      <c r="F47" s="7"/>
      <c r="G47" s="7"/>
      <c r="H47" s="7"/>
      <c r="I47" s="7"/>
      <c r="J47" s="7"/>
      <c r="K47" s="6"/>
      <c r="L47" s="6"/>
      <c r="M47" s="6"/>
      <c r="N47" s="6"/>
      <c r="O47" s="6"/>
    </row>
    <row r="48" spans="1:44">
      <c r="A48" s="13" t="s">
        <v>52</v>
      </c>
      <c r="B48" s="19">
        <f t="shared" ref="B48:N48" si="12">+B20+B34+B42+B46</f>
        <v>1823521</v>
      </c>
      <c r="C48" s="19">
        <f t="shared" si="12"/>
        <v>2865946</v>
      </c>
      <c r="D48" s="19">
        <f t="shared" si="12"/>
        <v>4671417</v>
      </c>
      <c r="E48" s="19">
        <f t="shared" si="12"/>
        <v>3503276</v>
      </c>
      <c r="F48" s="19">
        <f t="shared" si="12"/>
        <v>2480171</v>
      </c>
      <c r="G48" s="19">
        <f t="shared" si="12"/>
        <v>2748937</v>
      </c>
      <c r="H48" s="19">
        <f t="shared" si="12"/>
        <v>3618395</v>
      </c>
      <c r="I48" s="19">
        <f t="shared" si="12"/>
        <v>3166788</v>
      </c>
      <c r="J48" s="19">
        <f t="shared" si="12"/>
        <v>4164188</v>
      </c>
      <c r="K48" s="19">
        <f t="shared" si="12"/>
        <v>2954465</v>
      </c>
      <c r="L48" s="19">
        <f t="shared" si="12"/>
        <v>2753952</v>
      </c>
      <c r="M48" s="19">
        <f t="shared" si="12"/>
        <v>2701181</v>
      </c>
      <c r="N48" s="19">
        <f t="shared" si="12"/>
        <v>37452237</v>
      </c>
      <c r="O48" s="29"/>
    </row>
    <row r="49" spans="1:17">
      <c r="B49" s="7"/>
      <c r="C49" s="7"/>
      <c r="D49" s="7"/>
      <c r="E49" s="7"/>
      <c r="F49" s="7"/>
      <c r="G49" s="7"/>
      <c r="H49" s="7"/>
      <c r="I49" s="7"/>
      <c r="J49" s="7"/>
      <c r="K49" s="6"/>
      <c r="L49" s="6"/>
      <c r="M49" s="6"/>
      <c r="N49" s="6"/>
      <c r="O49" s="6"/>
    </row>
    <row r="50" spans="1:17">
      <c r="A50" s="1" t="s">
        <v>53</v>
      </c>
      <c r="B50" s="12">
        <f t="shared" ref="B50:M50" si="13">+B13-B48</f>
        <v>-563897</v>
      </c>
      <c r="C50" s="12">
        <f t="shared" si="13"/>
        <v>-292069</v>
      </c>
      <c r="D50" s="12">
        <f t="shared" si="13"/>
        <v>1199348</v>
      </c>
      <c r="E50" s="12">
        <f t="shared" si="13"/>
        <v>583672</v>
      </c>
      <c r="F50" s="12">
        <f t="shared" si="13"/>
        <v>57590</v>
      </c>
      <c r="G50" s="12">
        <f t="shared" si="13"/>
        <v>-154854.41999999993</v>
      </c>
      <c r="H50" s="12">
        <f t="shared" si="13"/>
        <v>-150478</v>
      </c>
      <c r="I50" s="12">
        <f t="shared" si="13"/>
        <v>508740</v>
      </c>
      <c r="J50" s="12">
        <f t="shared" si="13"/>
        <v>-548761</v>
      </c>
      <c r="K50" s="12">
        <f t="shared" si="13"/>
        <v>133861</v>
      </c>
      <c r="L50" s="12">
        <f t="shared" si="13"/>
        <v>394367</v>
      </c>
      <c r="M50" s="12">
        <f t="shared" si="13"/>
        <v>-1122336</v>
      </c>
      <c r="N50" s="12">
        <f>SUM(B50:M50)</f>
        <v>45182.580000000075</v>
      </c>
      <c r="O50" s="6"/>
      <c r="P50" s="25"/>
    </row>
    <row r="51" spans="1:17" ht="7.5" customHeight="1">
      <c r="B51" s="7"/>
      <c r="C51" s="7"/>
      <c r="D51" s="7"/>
      <c r="E51" s="7"/>
      <c r="F51" s="7"/>
      <c r="G51" s="7"/>
      <c r="H51" s="7"/>
      <c r="I51" s="7"/>
      <c r="J51" s="7"/>
      <c r="K51" s="6"/>
      <c r="L51" s="6"/>
      <c r="M51" s="6"/>
      <c r="N51" s="6"/>
      <c r="O51" s="6"/>
    </row>
    <row r="52" spans="1:17">
      <c r="A52" s="1" t="s">
        <v>54</v>
      </c>
      <c r="B52" s="7"/>
      <c r="C52" s="7"/>
      <c r="D52" s="7"/>
      <c r="E52" s="7"/>
      <c r="F52" s="7"/>
      <c r="G52" s="7"/>
      <c r="H52" s="7"/>
      <c r="I52" s="7"/>
      <c r="J52" s="7"/>
      <c r="K52" s="6"/>
      <c r="L52" s="6"/>
      <c r="M52" s="6"/>
      <c r="N52" s="6"/>
      <c r="O52" s="6"/>
    </row>
    <row r="53" spans="1:17" s="6" customFormat="1">
      <c r="A53" s="6" t="s">
        <v>55</v>
      </c>
      <c r="B53" s="10">
        <v>101289</v>
      </c>
      <c r="C53" s="10">
        <v>230379</v>
      </c>
      <c r="D53" s="10">
        <v>5347</v>
      </c>
      <c r="E53" s="10">
        <f>740+15090+2192.65</f>
        <v>18022.650000000001</v>
      </c>
      <c r="F53" s="10">
        <v>85439</v>
      </c>
      <c r="G53" s="10">
        <v>23064</v>
      </c>
      <c r="H53" s="23">
        <v>15602</v>
      </c>
      <c r="I53" s="10">
        <v>68817</v>
      </c>
      <c r="J53" s="10">
        <v>7700</v>
      </c>
      <c r="K53" s="10">
        <v>192250</v>
      </c>
      <c r="L53" s="10">
        <v>243000</v>
      </c>
      <c r="M53" s="10">
        <v>275000</v>
      </c>
      <c r="N53" s="10">
        <f>SUM(B53:M53)</f>
        <v>1265909.6499999999</v>
      </c>
      <c r="P53" s="40"/>
    </row>
    <row r="54" spans="1:17" s="6" customFormat="1">
      <c r="A54" s="6" t="s">
        <v>96</v>
      </c>
      <c r="B54" s="10"/>
      <c r="C54" s="10"/>
      <c r="D54" s="10"/>
      <c r="E54" s="10"/>
      <c r="F54" s="10">
        <v>95000</v>
      </c>
      <c r="G54" s="10"/>
      <c r="H54" s="10"/>
      <c r="I54" s="10"/>
      <c r="J54" s="10"/>
      <c r="K54" s="10"/>
      <c r="L54" s="10"/>
      <c r="M54" s="10"/>
      <c r="N54" s="10">
        <f>SUM(B54:M54)</f>
        <v>95000</v>
      </c>
      <c r="P54" s="7"/>
      <c r="Q54" s="6">
        <v>0</v>
      </c>
    </row>
    <row r="55" spans="1:17" s="6" customFormat="1">
      <c r="A55" s="6" t="s">
        <v>97</v>
      </c>
      <c r="B55" s="10">
        <f>276228+184</f>
        <v>276412</v>
      </c>
      <c r="C55" s="10"/>
      <c r="D55" s="10"/>
      <c r="E55" s="10"/>
      <c r="F55" s="10"/>
      <c r="G55" s="10"/>
      <c r="H55" s="10"/>
      <c r="I55" s="10"/>
      <c r="J55" s="41">
        <v>-1160600</v>
      </c>
      <c r="K55" s="10"/>
      <c r="L55" s="10">
        <v>0</v>
      </c>
      <c r="M55" s="10">
        <v>0</v>
      </c>
      <c r="N55" s="10">
        <f>SUM(B55:M55)</f>
        <v>-884188</v>
      </c>
      <c r="P55" s="7"/>
    </row>
    <row r="56" spans="1:17" s="6" customFormat="1">
      <c r="A56" s="37" t="s">
        <v>58</v>
      </c>
      <c r="B56" s="7">
        <v>-12589</v>
      </c>
      <c r="C56" s="7">
        <v>-11612</v>
      </c>
      <c r="D56" s="7">
        <v>-12191</v>
      </c>
      <c r="E56" s="7">
        <v>-9918</v>
      </c>
      <c r="F56" s="7">
        <v>-8157</v>
      </c>
      <c r="G56" s="7">
        <v>-95705.42</v>
      </c>
      <c r="H56" s="10">
        <v>-9293</v>
      </c>
      <c r="I56" s="7">
        <v>-8523</v>
      </c>
      <c r="J56" s="7">
        <v>-12297</v>
      </c>
      <c r="K56" s="7">
        <v>-12500</v>
      </c>
      <c r="L56" s="7">
        <v>-12500</v>
      </c>
      <c r="M56" s="7">
        <v>-12500</v>
      </c>
      <c r="N56" s="7">
        <f>SUM(B56:M56)</f>
        <v>-217785.41999999998</v>
      </c>
      <c r="P56" s="56"/>
    </row>
    <row r="57" spans="1:17" s="6" customFormat="1">
      <c r="A57" s="6" t="s">
        <v>59</v>
      </c>
      <c r="B57" s="22">
        <v>-187388</v>
      </c>
      <c r="C57" s="22">
        <v>-40876</v>
      </c>
      <c r="D57" s="22">
        <v>-158851</v>
      </c>
      <c r="E57" s="22">
        <v>-155108</v>
      </c>
      <c r="F57" s="22">
        <v>-96958</v>
      </c>
      <c r="G57" s="22">
        <v>-18871.16</v>
      </c>
      <c r="H57" s="10">
        <v>-438304</v>
      </c>
      <c r="I57" s="22">
        <v>313386</v>
      </c>
      <c r="J57" s="22">
        <v>114169</v>
      </c>
      <c r="K57" s="22">
        <v>-25000</v>
      </c>
      <c r="L57" s="22">
        <v>-25000</v>
      </c>
      <c r="M57" s="22">
        <v>-25000</v>
      </c>
      <c r="N57" s="22">
        <f>SUM(B57:M57)</f>
        <v>-743801.16000000015</v>
      </c>
      <c r="P57" s="56"/>
    </row>
    <row r="58" spans="1:17" s="6" customFormat="1">
      <c r="A58" s="13" t="s">
        <v>60</v>
      </c>
      <c r="B58" s="19">
        <f t="shared" ref="B58:N58" si="14">SUM(B53:B57)</f>
        <v>177724</v>
      </c>
      <c r="C58" s="19">
        <f t="shared" si="14"/>
        <v>177891</v>
      </c>
      <c r="D58" s="19">
        <f t="shared" si="14"/>
        <v>-165695</v>
      </c>
      <c r="E58" s="19">
        <f t="shared" si="14"/>
        <v>-147003.35</v>
      </c>
      <c r="F58" s="19">
        <f t="shared" si="14"/>
        <v>75324</v>
      </c>
      <c r="G58" s="19">
        <f t="shared" si="14"/>
        <v>-91512.58</v>
      </c>
      <c r="H58" s="19">
        <f>SUM(H53:H57)</f>
        <v>-431995</v>
      </c>
      <c r="I58" s="19">
        <f t="shared" si="14"/>
        <v>373680</v>
      </c>
      <c r="J58" s="19">
        <f t="shared" si="14"/>
        <v>-1051028</v>
      </c>
      <c r="K58" s="19">
        <f t="shared" si="14"/>
        <v>154750</v>
      </c>
      <c r="L58" s="19">
        <f t="shared" si="14"/>
        <v>205500</v>
      </c>
      <c r="M58" s="19">
        <f t="shared" si="14"/>
        <v>237500</v>
      </c>
      <c r="N58" s="19">
        <f t="shared" si="14"/>
        <v>-484864.93000000023</v>
      </c>
      <c r="O58" s="29"/>
      <c r="P58" s="40"/>
    </row>
    <row r="59" spans="1:17">
      <c r="B59" s="7"/>
      <c r="C59" s="7"/>
      <c r="D59" s="7"/>
      <c r="E59" s="7"/>
      <c r="F59" s="7"/>
      <c r="G59" s="7"/>
      <c r="H59" s="7"/>
      <c r="I59" s="7"/>
      <c r="J59" s="7"/>
      <c r="K59" s="7"/>
      <c r="L59" s="7"/>
      <c r="M59" s="7"/>
      <c r="N59" s="7"/>
      <c r="O59" s="6"/>
    </row>
    <row r="60" spans="1:17">
      <c r="A60" s="1" t="s">
        <v>61</v>
      </c>
      <c r="B60" s="12">
        <v>13373023</v>
      </c>
      <c r="C60" s="7"/>
      <c r="D60" s="7"/>
      <c r="E60" s="7"/>
      <c r="F60" s="7"/>
      <c r="G60" s="7"/>
      <c r="H60" s="7" t="s">
        <v>38</v>
      </c>
      <c r="I60" s="7"/>
      <c r="J60" s="7"/>
      <c r="K60" s="6"/>
      <c r="L60" s="6"/>
      <c r="M60" s="6"/>
      <c r="N60" s="6"/>
      <c r="O60" s="6"/>
    </row>
    <row r="61" spans="1:17">
      <c r="A61" s="13" t="s">
        <v>62</v>
      </c>
      <c r="B61" s="19">
        <f t="shared" ref="B61:N61" si="15">+B58+B48</f>
        <v>2001245</v>
      </c>
      <c r="C61" s="19">
        <f t="shared" si="15"/>
        <v>3043837</v>
      </c>
      <c r="D61" s="19">
        <f t="shared" si="15"/>
        <v>4505722</v>
      </c>
      <c r="E61" s="19">
        <f t="shared" si="15"/>
        <v>3356272.65</v>
      </c>
      <c r="F61" s="19">
        <f t="shared" si="15"/>
        <v>2555495</v>
      </c>
      <c r="G61" s="19">
        <f t="shared" si="15"/>
        <v>2657424.42</v>
      </c>
      <c r="H61" s="19">
        <f t="shared" si="15"/>
        <v>3186400</v>
      </c>
      <c r="I61" s="19">
        <f t="shared" si="15"/>
        <v>3540468</v>
      </c>
      <c r="J61" s="19">
        <f t="shared" si="15"/>
        <v>3113160</v>
      </c>
      <c r="K61" s="19">
        <f t="shared" si="15"/>
        <v>3109215</v>
      </c>
      <c r="L61" s="19">
        <f t="shared" si="15"/>
        <v>2959452</v>
      </c>
      <c r="M61" s="19">
        <f t="shared" si="15"/>
        <v>2938681</v>
      </c>
      <c r="N61" s="19">
        <f t="shared" si="15"/>
        <v>36967372.07</v>
      </c>
      <c r="O61" s="29"/>
      <c r="P61" s="25"/>
    </row>
    <row r="62" spans="1:17" ht="13.5" thickBot="1">
      <c r="A62" s="13" t="s">
        <v>63</v>
      </c>
      <c r="B62" s="30">
        <f t="shared" ref="B62:N62" si="16">+B13-B61</f>
        <v>-741621</v>
      </c>
      <c r="C62" s="30">
        <f t="shared" si="16"/>
        <v>-469960</v>
      </c>
      <c r="D62" s="30">
        <f t="shared" si="16"/>
        <v>1365043</v>
      </c>
      <c r="E62" s="30">
        <f t="shared" si="16"/>
        <v>730675.35000000009</v>
      </c>
      <c r="F62" s="30">
        <f t="shared" si="16"/>
        <v>-17734</v>
      </c>
      <c r="G62" s="30">
        <f t="shared" si="16"/>
        <v>-63341.839999999851</v>
      </c>
      <c r="H62" s="30">
        <f t="shared" si="16"/>
        <v>281517</v>
      </c>
      <c r="I62" s="30">
        <f t="shared" si="16"/>
        <v>135060</v>
      </c>
      <c r="J62" s="30">
        <f t="shared" si="16"/>
        <v>502267</v>
      </c>
      <c r="K62" s="14">
        <f t="shared" si="16"/>
        <v>-20889</v>
      </c>
      <c r="L62" s="14">
        <f t="shared" si="16"/>
        <v>188867</v>
      </c>
      <c r="M62" s="14">
        <f t="shared" si="16"/>
        <v>-1359836</v>
      </c>
      <c r="N62" s="14">
        <f t="shared" si="16"/>
        <v>530047.50999999791</v>
      </c>
      <c r="O62" s="29"/>
      <c r="P62" s="25"/>
    </row>
    <row r="63" spans="1:17" s="6" customFormat="1" ht="13.5" thickTop="1">
      <c r="A63" s="13" t="s">
        <v>64</v>
      </c>
      <c r="B63" s="32">
        <f>+B62</f>
        <v>-741621</v>
      </c>
      <c r="C63" s="32">
        <f t="shared" ref="C63:M63" si="17">B63+C62</f>
        <v>-1211581</v>
      </c>
      <c r="D63" s="32">
        <f t="shared" si="17"/>
        <v>153462</v>
      </c>
      <c r="E63" s="32">
        <f t="shared" si="17"/>
        <v>884137.35000000009</v>
      </c>
      <c r="F63" s="32">
        <f t="shared" si="17"/>
        <v>866403.35000000009</v>
      </c>
      <c r="G63" s="32">
        <f t="shared" si="17"/>
        <v>803061.51000000024</v>
      </c>
      <c r="H63" s="32">
        <f t="shared" si="17"/>
        <v>1084578.5100000002</v>
      </c>
      <c r="I63" s="32">
        <f t="shared" si="17"/>
        <v>1219638.5100000002</v>
      </c>
      <c r="J63" s="32">
        <f t="shared" si="17"/>
        <v>1721905.5100000002</v>
      </c>
      <c r="K63" s="12">
        <f t="shared" si="17"/>
        <v>1701016.5100000002</v>
      </c>
      <c r="L63" s="12">
        <f t="shared" si="17"/>
        <v>1889883.5100000002</v>
      </c>
      <c r="M63" s="12">
        <f t="shared" si="17"/>
        <v>530047.51000000024</v>
      </c>
      <c r="N63" s="12"/>
    </row>
    <row r="64" spans="1:17">
      <c r="A64" s="13" t="s">
        <v>65</v>
      </c>
      <c r="B64" s="12">
        <f t="shared" ref="B64:M64" si="18">+$B$60+B63</f>
        <v>12631402</v>
      </c>
      <c r="C64" s="12">
        <f t="shared" si="18"/>
        <v>12161442</v>
      </c>
      <c r="D64" s="12">
        <f t="shared" si="18"/>
        <v>13526485</v>
      </c>
      <c r="E64" s="12">
        <f t="shared" si="18"/>
        <v>14257160.35</v>
      </c>
      <c r="F64" s="12">
        <f t="shared" si="18"/>
        <v>14239426.35</v>
      </c>
      <c r="G64" s="12">
        <f t="shared" si="18"/>
        <v>14176084.51</v>
      </c>
      <c r="H64" s="12">
        <f t="shared" si="18"/>
        <v>14457601.51</v>
      </c>
      <c r="I64" s="12">
        <f t="shared" si="18"/>
        <v>14592661.51</v>
      </c>
      <c r="J64" s="12">
        <f t="shared" si="18"/>
        <v>15094928.51</v>
      </c>
      <c r="K64" s="12">
        <f t="shared" si="18"/>
        <v>15074039.51</v>
      </c>
      <c r="L64" s="12">
        <f t="shared" si="18"/>
        <v>15262906.51</v>
      </c>
      <c r="M64" s="12">
        <f t="shared" si="18"/>
        <v>13903070.51</v>
      </c>
      <c r="N64" s="12"/>
      <c r="O64" s="6"/>
      <c r="P64" s="29"/>
    </row>
    <row r="65" spans="1:16">
      <c r="A65" s="6"/>
      <c r="B65" s="7"/>
      <c r="C65" s="7"/>
      <c r="D65" s="7"/>
      <c r="E65" s="7"/>
      <c r="F65" s="7"/>
      <c r="G65" s="7"/>
      <c r="H65" s="7"/>
      <c r="I65" s="7"/>
      <c r="J65" s="7"/>
      <c r="K65" s="6"/>
      <c r="L65" s="6"/>
      <c r="M65" s="6"/>
      <c r="N65" s="6"/>
      <c r="O65" s="6"/>
    </row>
    <row r="66" spans="1:16" s="6" customFormat="1">
      <c r="A66" s="17" t="s">
        <v>94</v>
      </c>
      <c r="B66" s="18"/>
      <c r="C66" s="18"/>
      <c r="D66" s="18"/>
      <c r="E66" s="18"/>
      <c r="F66" s="18"/>
      <c r="G66" s="18"/>
      <c r="H66" s="18"/>
      <c r="I66" s="18"/>
      <c r="J66" s="18"/>
      <c r="K66" s="18"/>
      <c r="L66" s="18"/>
      <c r="M66" s="18"/>
      <c r="N66" s="18"/>
    </row>
    <row r="67" spans="1:16" ht="13.5" thickBot="1">
      <c r="A67" s="13" t="s">
        <v>67</v>
      </c>
      <c r="B67" s="14">
        <v>-968259</v>
      </c>
      <c r="C67" s="14">
        <v>165657</v>
      </c>
      <c r="D67" s="14">
        <v>1175481</v>
      </c>
      <c r="E67" s="14">
        <v>388022</v>
      </c>
      <c r="F67" s="14">
        <v>-191039</v>
      </c>
      <c r="G67" s="14">
        <v>96436</v>
      </c>
      <c r="H67" s="14">
        <v>-114280</v>
      </c>
      <c r="I67" s="14">
        <v>316290</v>
      </c>
      <c r="J67" s="14">
        <v>629469</v>
      </c>
      <c r="K67" s="14">
        <v>-20889</v>
      </c>
      <c r="L67" s="14">
        <v>188867</v>
      </c>
      <c r="M67" s="14">
        <v>-1359836</v>
      </c>
      <c r="N67" s="16"/>
      <c r="O67" s="6"/>
    </row>
    <row r="68" spans="1:16" ht="13.5" thickTop="1">
      <c r="A68" s="13" t="s">
        <v>64</v>
      </c>
      <c r="B68" s="12">
        <f>+B67</f>
        <v>-968259</v>
      </c>
      <c r="C68" s="12">
        <f>+B68+C67</f>
        <v>-802602</v>
      </c>
      <c r="D68" s="12">
        <f t="shared" ref="D68:M68" si="19">+C68+D67</f>
        <v>372879</v>
      </c>
      <c r="E68" s="12">
        <f t="shared" si="19"/>
        <v>760901</v>
      </c>
      <c r="F68" s="12">
        <f t="shared" si="19"/>
        <v>569862</v>
      </c>
      <c r="G68" s="12">
        <f t="shared" si="19"/>
        <v>666298</v>
      </c>
      <c r="H68" s="12">
        <f t="shared" si="19"/>
        <v>552018</v>
      </c>
      <c r="I68" s="12">
        <f t="shared" si="19"/>
        <v>868308</v>
      </c>
      <c r="J68" s="12">
        <f t="shared" si="19"/>
        <v>1497777</v>
      </c>
      <c r="K68" s="12">
        <f t="shared" si="19"/>
        <v>1476888</v>
      </c>
      <c r="L68" s="12">
        <f t="shared" si="19"/>
        <v>1665755</v>
      </c>
      <c r="M68" s="12">
        <f t="shared" si="19"/>
        <v>305919</v>
      </c>
      <c r="N68" s="16"/>
      <c r="O68" s="6"/>
    </row>
    <row r="69" spans="1:16">
      <c r="A69" s="13" t="s">
        <v>65</v>
      </c>
      <c r="B69" s="12">
        <v>10066787.80069958</v>
      </c>
      <c r="C69" s="12">
        <v>10474885.82712047</v>
      </c>
      <c r="D69" s="12">
        <v>11546728.467384296</v>
      </c>
      <c r="E69" s="12">
        <v>11992721.928639133</v>
      </c>
      <c r="F69" s="12">
        <v>11726972.321587943</v>
      </c>
      <c r="G69" s="12">
        <v>11337269.706012141</v>
      </c>
      <c r="H69" s="12">
        <v>11322908.797641888</v>
      </c>
      <c r="I69" s="12">
        <v>11526789.393104676</v>
      </c>
      <c r="J69" s="12">
        <v>11837705.668475684</v>
      </c>
      <c r="K69" s="12">
        <v>12021264.778665379</v>
      </c>
      <c r="L69" s="12">
        <v>12475612.568366794</v>
      </c>
      <c r="M69" s="12">
        <v>11197948.23476476</v>
      </c>
      <c r="N69" s="12"/>
      <c r="O69" s="6"/>
    </row>
    <row r="70" spans="1:16">
      <c r="A70" s="6"/>
      <c r="B70" s="6"/>
      <c r="C70" s="6"/>
      <c r="D70" s="6"/>
      <c r="E70" s="6"/>
      <c r="F70" s="6"/>
      <c r="H70" s="6"/>
      <c r="I70" s="6"/>
      <c r="J70" s="6"/>
      <c r="K70" s="6"/>
      <c r="L70" s="6"/>
      <c r="M70" s="6"/>
      <c r="N70" s="6"/>
      <c r="O70" s="6"/>
    </row>
    <row r="71" spans="1:16">
      <c r="A71" s="24" t="s">
        <v>68</v>
      </c>
      <c r="B71" s="18"/>
      <c r="C71" s="18"/>
      <c r="D71" s="18"/>
      <c r="E71" s="18"/>
      <c r="F71" s="18"/>
      <c r="G71" s="18"/>
      <c r="H71" s="18"/>
      <c r="I71" s="18"/>
      <c r="J71" s="18"/>
      <c r="K71" s="18"/>
      <c r="L71" s="18"/>
      <c r="M71" s="18"/>
      <c r="N71" s="18"/>
      <c r="O71" s="6"/>
    </row>
    <row r="72" spans="1:16">
      <c r="A72" s="13" t="s">
        <v>63</v>
      </c>
      <c r="B72" s="31">
        <f t="shared" ref="B72:N74" si="20">+B62-B67</f>
        <v>226638</v>
      </c>
      <c r="C72" s="31">
        <f t="shared" si="20"/>
        <v>-635617</v>
      </c>
      <c r="D72" s="31">
        <f t="shared" si="20"/>
        <v>189562</v>
      </c>
      <c r="E72" s="31">
        <f t="shared" si="20"/>
        <v>342653.35000000009</v>
      </c>
      <c r="F72" s="31">
        <f t="shared" si="20"/>
        <v>173305</v>
      </c>
      <c r="G72" s="31">
        <f t="shared" si="20"/>
        <v>-159777.83999999985</v>
      </c>
      <c r="H72" s="31">
        <f t="shared" si="20"/>
        <v>395797</v>
      </c>
      <c r="I72" s="31">
        <f t="shared" si="20"/>
        <v>-181230</v>
      </c>
      <c r="J72" s="31">
        <f t="shared" si="20"/>
        <v>-127202</v>
      </c>
      <c r="K72" s="16">
        <f t="shared" si="20"/>
        <v>0</v>
      </c>
      <c r="L72" s="16">
        <f t="shared" si="20"/>
        <v>0</v>
      </c>
      <c r="M72" s="16">
        <f t="shared" si="20"/>
        <v>0</v>
      </c>
      <c r="N72" s="6"/>
      <c r="O72" s="6"/>
      <c r="P72" s="16">
        <f>+N62-N67</f>
        <v>530047.50999999791</v>
      </c>
    </row>
    <row r="73" spans="1:16" s="6" customFormat="1">
      <c r="A73" s="13" t="s">
        <v>64</v>
      </c>
      <c r="B73" s="31">
        <f t="shared" si="20"/>
        <v>226638</v>
      </c>
      <c r="C73" s="31">
        <f t="shared" si="20"/>
        <v>-408979</v>
      </c>
      <c r="D73" s="31">
        <f t="shared" si="20"/>
        <v>-219417</v>
      </c>
      <c r="E73" s="31">
        <f t="shared" si="20"/>
        <v>123236.35000000009</v>
      </c>
      <c r="F73" s="31">
        <f t="shared" si="20"/>
        <v>296541.35000000009</v>
      </c>
      <c r="G73" s="31">
        <f t="shared" si="20"/>
        <v>136763.51000000024</v>
      </c>
      <c r="H73" s="31">
        <f t="shared" si="20"/>
        <v>532560.51000000024</v>
      </c>
      <c r="I73" s="31">
        <f t="shared" si="20"/>
        <v>351330.51000000024</v>
      </c>
      <c r="J73" s="31">
        <f t="shared" si="20"/>
        <v>224128.51000000024</v>
      </c>
      <c r="K73" s="16">
        <f t="shared" si="20"/>
        <v>224128.51000000024</v>
      </c>
      <c r="L73" s="16">
        <f t="shared" si="20"/>
        <v>224128.51000000024</v>
      </c>
      <c r="M73" s="16">
        <f t="shared" si="20"/>
        <v>224128.51000000024</v>
      </c>
      <c r="N73" s="16">
        <f t="shared" si="20"/>
        <v>0</v>
      </c>
    </row>
    <row r="74" spans="1:16">
      <c r="A74" s="1" t="s">
        <v>65</v>
      </c>
      <c r="B74" s="16">
        <f t="shared" si="20"/>
        <v>2564614.1993004195</v>
      </c>
      <c r="C74" s="16">
        <f t="shared" si="20"/>
        <v>1686556.1728795301</v>
      </c>
      <c r="D74" s="16">
        <f t="shared" si="20"/>
        <v>1979756.5326157045</v>
      </c>
      <c r="E74" s="16">
        <f t="shared" si="20"/>
        <v>2264438.4213608671</v>
      </c>
      <c r="F74" s="16">
        <f t="shared" si="20"/>
        <v>2512454.0284120571</v>
      </c>
      <c r="G74" s="16">
        <f t="shared" si="20"/>
        <v>2838814.8039878588</v>
      </c>
      <c r="H74" s="16">
        <f t="shared" si="20"/>
        <v>3134692.7123581115</v>
      </c>
      <c r="I74" s="16">
        <f t="shared" si="20"/>
        <v>3065872.1168953236</v>
      </c>
      <c r="J74" s="16">
        <f t="shared" si="20"/>
        <v>3257222.841524316</v>
      </c>
      <c r="K74" s="16">
        <f t="shared" si="20"/>
        <v>3052774.7313346211</v>
      </c>
      <c r="L74" s="16">
        <f t="shared" si="20"/>
        <v>2787293.9416332059</v>
      </c>
      <c r="M74" s="16">
        <f t="shared" si="20"/>
        <v>2705122.2752352394</v>
      </c>
      <c r="N74" s="16"/>
      <c r="O74" s="6"/>
    </row>
    <row r="75" spans="1:16">
      <c r="B75" s="6"/>
      <c r="C75" s="6"/>
      <c r="D75" s="6"/>
      <c r="E75" s="6"/>
      <c r="F75" s="6"/>
      <c r="H75" s="6"/>
      <c r="I75" s="6"/>
      <c r="J75" s="6"/>
      <c r="K75" s="6"/>
      <c r="L75" s="6"/>
      <c r="M75" s="6"/>
      <c r="N75" s="6"/>
    </row>
    <row r="76" spans="1:16">
      <c r="A76" s="1"/>
      <c r="B76" s="4"/>
      <c r="C76" s="8"/>
      <c r="D76" s="8"/>
      <c r="E76" s="8"/>
      <c r="F76" s="8"/>
      <c r="H76" s="20"/>
      <c r="J76" s="6"/>
      <c r="K76" s="6"/>
    </row>
    <row r="77" spans="1:16">
      <c r="A77" s="1"/>
      <c r="B77" s="4"/>
      <c r="C77" s="8"/>
      <c r="D77" s="8"/>
      <c r="E77" s="8"/>
      <c r="F77" s="8"/>
      <c r="H77" s="20"/>
      <c r="J77" s="6"/>
    </row>
    <row r="78" spans="1:16">
      <c r="A78" s="1"/>
      <c r="B78" s="4"/>
      <c r="D78" s="8"/>
      <c r="E78" s="8"/>
      <c r="F78" s="8"/>
      <c r="H78" s="61"/>
      <c r="J78" s="6"/>
    </row>
    <row r="79" spans="1:16">
      <c r="E79" s="6"/>
      <c r="H79" s="20"/>
      <c r="J79" s="6"/>
      <c r="N79" s="25"/>
    </row>
    <row r="80" spans="1:16">
      <c r="A80" t="s">
        <v>69</v>
      </c>
      <c r="B80" t="s">
        <v>69</v>
      </c>
      <c r="C80" t="s">
        <v>69</v>
      </c>
      <c r="D80" t="s">
        <v>69</v>
      </c>
      <c r="E80" s="6" t="s">
        <v>69</v>
      </c>
      <c r="F80" t="s">
        <v>69</v>
      </c>
      <c r="G80" s="6" t="s">
        <v>69</v>
      </c>
      <c r="H80" t="s">
        <v>69</v>
      </c>
      <c r="I80" t="s">
        <v>69</v>
      </c>
      <c r="J80" s="6" t="s">
        <v>69</v>
      </c>
      <c r="K80" t="s">
        <v>69</v>
      </c>
      <c r="L80" t="s">
        <v>69</v>
      </c>
      <c r="M80" t="s">
        <v>69</v>
      </c>
      <c r="N80" t="s">
        <v>69</v>
      </c>
    </row>
    <row r="81" spans="1:14">
      <c r="E81" s="6"/>
      <c r="J81" s="6"/>
    </row>
    <row r="82" spans="1:14">
      <c r="A82" s="33" t="s">
        <v>70</v>
      </c>
      <c r="B82" s="47">
        <v>52000</v>
      </c>
      <c r="C82" s="47">
        <v>20000</v>
      </c>
      <c r="D82" s="47">
        <v>10000</v>
      </c>
      <c r="E82" s="47">
        <v>44355</v>
      </c>
      <c r="F82" s="47">
        <v>186840</v>
      </c>
      <c r="G82" s="10">
        <v>202000</v>
      </c>
      <c r="H82" s="54">
        <v>197000</v>
      </c>
      <c r="I82" s="47">
        <v>142000</v>
      </c>
      <c r="J82" s="47">
        <v>119000</v>
      </c>
      <c r="K82" s="47">
        <v>0</v>
      </c>
      <c r="L82" s="47">
        <v>0</v>
      </c>
      <c r="M82" s="47">
        <v>455000</v>
      </c>
      <c r="N82" s="7">
        <v>1428195</v>
      </c>
    </row>
    <row r="83" spans="1:14">
      <c r="A83" s="33" t="s">
        <v>71</v>
      </c>
      <c r="B83" s="2">
        <f>+B82</f>
        <v>52000</v>
      </c>
      <c r="C83" s="2">
        <f>+B83+C82</f>
        <v>72000</v>
      </c>
      <c r="D83" s="2">
        <f t="shared" ref="D83:M83" si="21">+C83+D82</f>
        <v>82000</v>
      </c>
      <c r="E83" s="7">
        <f t="shared" si="21"/>
        <v>126355</v>
      </c>
      <c r="F83" s="2">
        <f t="shared" si="21"/>
        <v>313195</v>
      </c>
      <c r="G83" s="7">
        <f t="shared" si="21"/>
        <v>515195</v>
      </c>
      <c r="H83" s="2">
        <f t="shared" si="21"/>
        <v>712195</v>
      </c>
      <c r="I83" s="2">
        <f t="shared" si="21"/>
        <v>854195</v>
      </c>
      <c r="J83" s="7">
        <f t="shared" si="21"/>
        <v>973195</v>
      </c>
      <c r="K83" s="2">
        <f t="shared" si="21"/>
        <v>973195</v>
      </c>
      <c r="L83" s="2">
        <f t="shared" si="21"/>
        <v>973195</v>
      </c>
      <c r="M83" s="2">
        <f t="shared" si="21"/>
        <v>1428195</v>
      </c>
    </row>
    <row r="84" spans="1:14">
      <c r="A84" s="33" t="s">
        <v>72</v>
      </c>
      <c r="B84" s="7">
        <f>+B53</f>
        <v>101289</v>
      </c>
      <c r="C84" s="7">
        <f>SUM($B53:C53)</f>
        <v>331668</v>
      </c>
      <c r="D84" s="7">
        <f>SUM($B53:D53)</f>
        <v>337015</v>
      </c>
      <c r="E84" s="7">
        <f>SUM($B53:E53)</f>
        <v>355037.65</v>
      </c>
      <c r="F84" s="7">
        <f>SUM($B53:F53)</f>
        <v>440476.65</v>
      </c>
      <c r="G84" s="7">
        <f>SUM($B53:G53)</f>
        <v>463540.65</v>
      </c>
      <c r="H84" s="7">
        <f>SUM(B53:H53)</f>
        <v>479142.65</v>
      </c>
      <c r="I84" s="7">
        <f>SUM(B53:I53)</f>
        <v>547959.65</v>
      </c>
      <c r="J84" s="7">
        <f>SUM(B53:J53)</f>
        <v>555659.65</v>
      </c>
      <c r="K84" s="7">
        <f>SUM(B53:K53)</f>
        <v>747909.65</v>
      </c>
      <c r="L84" s="7">
        <f>SUM(B53:L53)</f>
        <v>990909.65</v>
      </c>
      <c r="M84" s="7">
        <f>SUM(B53:M53)</f>
        <v>1265909.6499999999</v>
      </c>
    </row>
    <row r="85" spans="1:14">
      <c r="A85" s="33" t="s">
        <v>73</v>
      </c>
      <c r="B85" s="7">
        <f t="shared" ref="B85:G85" si="22">+B83-B84</f>
        <v>-49289</v>
      </c>
      <c r="C85" s="7">
        <f t="shared" si="22"/>
        <v>-259668</v>
      </c>
      <c r="D85" s="7">
        <f t="shared" si="22"/>
        <v>-255015</v>
      </c>
      <c r="E85" s="7">
        <f t="shared" si="22"/>
        <v>-228682.65000000002</v>
      </c>
      <c r="F85" s="7">
        <f t="shared" si="22"/>
        <v>-127281.65000000002</v>
      </c>
      <c r="G85" s="7">
        <f t="shared" si="22"/>
        <v>51654.349999999977</v>
      </c>
      <c r="H85" s="7">
        <f t="shared" ref="H85:M85" si="23">+H83-H84</f>
        <v>233052.34999999998</v>
      </c>
      <c r="I85" s="7">
        <f t="shared" si="23"/>
        <v>306235.34999999998</v>
      </c>
      <c r="J85" s="7">
        <f t="shared" si="23"/>
        <v>417535.35</v>
      </c>
      <c r="K85" s="7">
        <f t="shared" si="23"/>
        <v>225285.34999999998</v>
      </c>
      <c r="L85" s="7">
        <f t="shared" si="23"/>
        <v>-17714.650000000023</v>
      </c>
      <c r="M85" s="7">
        <f t="shared" si="23"/>
        <v>162285.35000000009</v>
      </c>
    </row>
    <row r="86" spans="1:14">
      <c r="J86" s="6"/>
      <c r="K86" s="6"/>
    </row>
    <row r="87" spans="1:14">
      <c r="A87" t="s">
        <v>74</v>
      </c>
      <c r="B87" s="35">
        <f>-B56-B57</f>
        <v>199977</v>
      </c>
      <c r="C87" s="35">
        <f t="shared" ref="C87:N87" si="24">-C56-C57</f>
        <v>52488</v>
      </c>
      <c r="D87" s="35">
        <f t="shared" si="24"/>
        <v>171042</v>
      </c>
      <c r="E87" s="35">
        <f t="shared" si="24"/>
        <v>165026</v>
      </c>
      <c r="F87" s="35">
        <f t="shared" si="24"/>
        <v>105115</v>
      </c>
      <c r="G87" s="40">
        <f t="shared" si="24"/>
        <v>114576.58</v>
      </c>
      <c r="H87" s="40">
        <f t="shared" si="24"/>
        <v>447597</v>
      </c>
      <c r="I87" s="35">
        <f t="shared" si="24"/>
        <v>-304863</v>
      </c>
      <c r="J87" s="35">
        <f t="shared" si="24"/>
        <v>-101872</v>
      </c>
      <c r="K87" s="40">
        <f t="shared" si="24"/>
        <v>37500</v>
      </c>
      <c r="L87" s="35">
        <f t="shared" si="24"/>
        <v>37500</v>
      </c>
      <c r="M87" s="35">
        <f t="shared" si="24"/>
        <v>37500</v>
      </c>
      <c r="N87" s="35">
        <f t="shared" si="24"/>
        <v>961586.58000000007</v>
      </c>
    </row>
    <row r="88" spans="1:14">
      <c r="C88" s="35">
        <f>+B87+C87</f>
        <v>252465</v>
      </c>
      <c r="D88" s="35">
        <f>+C88+D87</f>
        <v>423507</v>
      </c>
      <c r="E88" s="35">
        <f t="shared" ref="E88:M88" si="25">+D88+E87</f>
        <v>588533</v>
      </c>
      <c r="F88" s="35">
        <f t="shared" si="25"/>
        <v>693648</v>
      </c>
      <c r="G88" s="40">
        <f t="shared" si="25"/>
        <v>808224.58</v>
      </c>
      <c r="H88" s="35">
        <f t="shared" si="25"/>
        <v>1255821.58</v>
      </c>
      <c r="I88" s="40">
        <f t="shared" si="25"/>
        <v>950958.58000000007</v>
      </c>
      <c r="J88" s="40">
        <f t="shared" si="25"/>
        <v>849086.58000000007</v>
      </c>
      <c r="K88" s="40">
        <f t="shared" si="25"/>
        <v>886586.58000000007</v>
      </c>
      <c r="L88" s="35">
        <f t="shared" si="25"/>
        <v>924086.58000000007</v>
      </c>
      <c r="M88" s="35">
        <f t="shared" si="25"/>
        <v>961586.58000000007</v>
      </c>
    </row>
    <row r="89" spans="1:14">
      <c r="B89" s="6"/>
      <c r="C89" s="6"/>
      <c r="D89" s="6"/>
      <c r="E89" s="6"/>
    </row>
    <row r="90" spans="1:14">
      <c r="B90" s="6"/>
      <c r="C90" s="6"/>
      <c r="D90" s="21"/>
      <c r="E90" s="6"/>
    </row>
    <row r="91" spans="1:14">
      <c r="B91" s="6"/>
      <c r="C91" s="6"/>
      <c r="D91" s="6"/>
      <c r="E91" s="6"/>
    </row>
    <row r="92" spans="1:14">
      <c r="B92" s="70">
        <v>78554</v>
      </c>
      <c r="C92" s="70">
        <v>78293</v>
      </c>
      <c r="D92" s="70">
        <v>79025</v>
      </c>
      <c r="E92" s="70">
        <v>81090</v>
      </c>
      <c r="F92" s="71">
        <v>81090</v>
      </c>
      <c r="G92" s="70">
        <v>81079</v>
      </c>
      <c r="H92" s="71">
        <v>89229</v>
      </c>
      <c r="I92" s="71">
        <v>88964</v>
      </c>
      <c r="J92" s="71">
        <v>88964</v>
      </c>
      <c r="K92" s="71">
        <v>88563</v>
      </c>
      <c r="L92" s="71">
        <v>97279</v>
      </c>
      <c r="M92" s="71">
        <v>97277</v>
      </c>
    </row>
    <row r="93" spans="1:14">
      <c r="B93" s="6">
        <f>+B92*-1</f>
        <v>-78554</v>
      </c>
      <c r="C93" s="6">
        <f t="shared" ref="C93:M93" si="26">+C92*-1</f>
        <v>-78293</v>
      </c>
      <c r="D93" s="6">
        <f t="shared" si="26"/>
        <v>-79025</v>
      </c>
      <c r="E93" s="6">
        <f t="shared" si="26"/>
        <v>-81090</v>
      </c>
      <c r="F93" s="6">
        <f t="shared" si="26"/>
        <v>-81090</v>
      </c>
      <c r="G93" s="6">
        <f t="shared" si="26"/>
        <v>-81079</v>
      </c>
      <c r="H93" s="6">
        <f t="shared" si="26"/>
        <v>-89229</v>
      </c>
      <c r="I93" s="6">
        <f t="shared" si="26"/>
        <v>-88964</v>
      </c>
      <c r="J93" s="6">
        <f t="shared" si="26"/>
        <v>-88964</v>
      </c>
      <c r="K93" s="6">
        <f t="shared" si="26"/>
        <v>-88563</v>
      </c>
      <c r="L93" s="6">
        <f t="shared" si="26"/>
        <v>-97279</v>
      </c>
      <c r="M93" s="6">
        <f t="shared" si="26"/>
        <v>-97277</v>
      </c>
    </row>
    <row r="94" spans="1:14">
      <c r="B94" s="6"/>
      <c r="C94" s="6"/>
      <c r="D94" s="34"/>
      <c r="E94" s="6"/>
    </row>
    <row r="95" spans="1:14">
      <c r="B95" s="6"/>
      <c r="C95" s="6"/>
      <c r="D95" s="6"/>
      <c r="E95" s="6"/>
    </row>
    <row r="96" spans="1:14">
      <c r="B96" s="6"/>
      <c r="C96" s="6"/>
      <c r="D96" s="6"/>
      <c r="E96" s="6"/>
    </row>
    <row r="97" spans="7:9">
      <c r="G97" s="6">
        <v>95705.42</v>
      </c>
      <c r="I97">
        <v>18871.16</v>
      </c>
    </row>
  </sheetData>
  <pageMargins left="0.28000000000000003" right="0.25" top="0.99" bottom="0.75" header="0.63" footer="0.23"/>
  <pageSetup scale="67" orientation="landscape" r:id="rId1"/>
  <headerFooter alignWithMargins="0">
    <oddHeader xml:space="preserve">&amp;C&amp;"Arial,Bold"&amp;11 49ER SHOPS, INC.
&amp;UFY2017/2018 OPERATIONAL CASH FLOW </oddHeader>
    <oddFooter>&amp;CCash Flow - FY2017/2018
March 2018</oddFooter>
  </headerFooter>
  <legacyDrawing r:id="rId2"/>
</worksheet>
</file>

<file path=xl/worksheets/sheet2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FF00"/>
    <pageSetUpPr fitToPage="1"/>
  </sheetPr>
  <dimension ref="A1:AR97"/>
  <sheetViews>
    <sheetView showGridLines="0" zoomScale="60" zoomScaleNormal="60" workbookViewId="0">
      <selection activeCell="K62" sqref="K62:K63"/>
    </sheetView>
  </sheetViews>
  <sheetFormatPr defaultRowHeight="12.75"/>
  <cols>
    <col min="1" max="1" width="35.42578125" customWidth="1"/>
    <col min="2" max="2" width="14" customWidth="1"/>
    <col min="3" max="3" width="12.5703125" customWidth="1"/>
    <col min="4" max="4" width="12.140625" customWidth="1"/>
    <col min="5" max="5" width="13.5703125" customWidth="1"/>
    <col min="6" max="6" width="12.85546875" customWidth="1"/>
    <col min="7" max="7" width="12.5703125" style="6" customWidth="1"/>
    <col min="8" max="9" width="12.85546875" customWidth="1"/>
    <col min="10" max="10" width="13.85546875" customWidth="1"/>
    <col min="11" max="11" width="14.42578125" customWidth="1"/>
    <col min="12" max="13" width="12.85546875" customWidth="1"/>
    <col min="14" max="14" width="12.85546875" bestFit="1" customWidth="1"/>
    <col min="15" max="15" width="12.42578125" bestFit="1" customWidth="1"/>
    <col min="16" max="16" width="13.140625" bestFit="1" customWidth="1"/>
  </cols>
  <sheetData>
    <row r="1" spans="1:15" ht="13.5" thickBot="1">
      <c r="A1" s="46" t="s">
        <v>108</v>
      </c>
      <c r="E1" s="6"/>
      <c r="F1" s="6"/>
      <c r="J1" s="6"/>
      <c r="K1" s="6"/>
      <c r="N1" s="3"/>
    </row>
    <row r="2" spans="1:15">
      <c r="B2" s="45" t="s">
        <v>24</v>
      </c>
      <c r="C2" s="45" t="s">
        <v>24</v>
      </c>
      <c r="D2" s="45" t="s">
        <v>24</v>
      </c>
      <c r="E2" s="45" t="s">
        <v>24</v>
      </c>
      <c r="F2" s="45" t="s">
        <v>24</v>
      </c>
      <c r="G2" s="45" t="s">
        <v>24</v>
      </c>
      <c r="H2" s="45" t="s">
        <v>24</v>
      </c>
      <c r="I2" s="45" t="s">
        <v>24</v>
      </c>
      <c r="J2" s="45" t="s">
        <v>24</v>
      </c>
      <c r="K2" s="45" t="s">
        <v>24</v>
      </c>
      <c r="L2" s="48" t="s">
        <v>76</v>
      </c>
      <c r="M2" s="48" t="s">
        <v>76</v>
      </c>
      <c r="N2" s="28" t="s">
        <v>25</v>
      </c>
    </row>
    <row r="3" spans="1:15" s="5" customFormat="1">
      <c r="B3" s="11">
        <v>42918</v>
      </c>
      <c r="C3" s="11">
        <v>42949</v>
      </c>
      <c r="D3" s="11">
        <v>42980</v>
      </c>
      <c r="E3" s="11">
        <v>43010</v>
      </c>
      <c r="F3" s="11">
        <v>43041</v>
      </c>
      <c r="G3" s="11">
        <v>43071</v>
      </c>
      <c r="H3" s="11">
        <v>43102</v>
      </c>
      <c r="I3" s="11">
        <v>43133</v>
      </c>
      <c r="J3" s="11">
        <v>43161</v>
      </c>
      <c r="K3" s="11">
        <v>43192</v>
      </c>
      <c r="L3" s="11">
        <v>43222</v>
      </c>
      <c r="M3" s="11">
        <v>43253</v>
      </c>
      <c r="N3" s="57" t="s">
        <v>100</v>
      </c>
    </row>
    <row r="4" spans="1:15">
      <c r="A4" s="1" t="s">
        <v>27</v>
      </c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>
        <f>SUM(B4:M4)</f>
        <v>0</v>
      </c>
      <c r="O4" s="29"/>
    </row>
    <row r="5" spans="1:15" s="6" customFormat="1">
      <c r="A5" s="6" t="s">
        <v>28</v>
      </c>
      <c r="B5" s="53">
        <v>1102036</v>
      </c>
      <c r="C5" s="53">
        <v>2503975</v>
      </c>
      <c r="D5" s="53">
        <v>5591236</v>
      </c>
      <c r="E5" s="53">
        <v>3997731</v>
      </c>
      <c r="F5" s="53">
        <v>2408043</v>
      </c>
      <c r="G5" s="53">
        <v>2520652</v>
      </c>
      <c r="H5" s="53">
        <v>3392954</v>
      </c>
      <c r="I5" s="53">
        <v>3526195</v>
      </c>
      <c r="J5" s="53">
        <v>3275212</v>
      </c>
      <c r="K5" s="53">
        <v>3101717</v>
      </c>
      <c r="L5" s="53">
        <v>2831511</v>
      </c>
      <c r="M5" s="53">
        <v>1460406</v>
      </c>
      <c r="N5" s="12">
        <f>SUM(B5:M5)</f>
        <v>35711668</v>
      </c>
      <c r="O5" s="29"/>
    </row>
    <row r="6" spans="1:15" s="6" customFormat="1">
      <c r="A6" s="6" t="s">
        <v>29</v>
      </c>
      <c r="B6" s="53">
        <v>70448</v>
      </c>
      <c r="C6" s="53">
        <v>71234</v>
      </c>
      <c r="D6" s="53">
        <v>278603</v>
      </c>
      <c r="E6" s="53">
        <v>67286</v>
      </c>
      <c r="F6" s="53">
        <v>128754</v>
      </c>
      <c r="G6" s="53">
        <v>72857</v>
      </c>
      <c r="H6" s="53">
        <v>74941</v>
      </c>
      <c r="I6" s="53">
        <v>131161</v>
      </c>
      <c r="J6" s="53">
        <v>330162</v>
      </c>
      <c r="K6" s="53">
        <v>75265</v>
      </c>
      <c r="L6" s="53">
        <v>316808</v>
      </c>
      <c r="M6" s="53">
        <v>118439</v>
      </c>
      <c r="N6" s="7">
        <f>SUM(B6:M6)</f>
        <v>1735958</v>
      </c>
      <c r="O6" s="29"/>
    </row>
    <row r="7" spans="1:15" s="6" customFormat="1">
      <c r="B7" s="7"/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7">
        <f>SUM(B7:M7)</f>
        <v>0</v>
      </c>
      <c r="O7" s="29"/>
    </row>
    <row r="8" spans="1:15" s="6" customFormat="1">
      <c r="B8" s="15"/>
      <c r="C8" s="15"/>
      <c r="D8" s="15"/>
      <c r="E8" s="15"/>
      <c r="F8" s="15"/>
      <c r="G8" s="15"/>
      <c r="H8" s="15"/>
      <c r="I8" s="15"/>
      <c r="J8" s="15"/>
      <c r="K8" s="15"/>
      <c r="L8" s="15"/>
      <c r="M8" s="15"/>
      <c r="N8" s="15">
        <f>SUM(B8:M8)</f>
        <v>0</v>
      </c>
      <c r="O8" s="29"/>
    </row>
    <row r="9" spans="1:15" s="6" customFormat="1">
      <c r="A9" s="13" t="s">
        <v>30</v>
      </c>
      <c r="B9" s="12">
        <f t="shared" ref="B9:N9" si="0">SUM(B5:B8)</f>
        <v>1172484</v>
      </c>
      <c r="C9" s="12">
        <f t="shared" si="0"/>
        <v>2575209</v>
      </c>
      <c r="D9" s="12">
        <f t="shared" si="0"/>
        <v>5869839</v>
      </c>
      <c r="E9" s="12">
        <f t="shared" si="0"/>
        <v>4065017</v>
      </c>
      <c r="F9" s="12">
        <f t="shared" si="0"/>
        <v>2536797</v>
      </c>
      <c r="G9" s="12">
        <f t="shared" si="0"/>
        <v>2593509</v>
      </c>
      <c r="H9" s="12">
        <f t="shared" si="0"/>
        <v>3467895</v>
      </c>
      <c r="I9" s="12">
        <f t="shared" si="0"/>
        <v>3657356</v>
      </c>
      <c r="J9" s="12">
        <f t="shared" si="0"/>
        <v>3605374</v>
      </c>
      <c r="K9" s="12">
        <f t="shared" si="0"/>
        <v>3176982</v>
      </c>
      <c r="L9" s="12">
        <f t="shared" si="0"/>
        <v>3148319</v>
      </c>
      <c r="M9" s="12">
        <f t="shared" si="0"/>
        <v>1578845</v>
      </c>
      <c r="N9" s="12">
        <f t="shared" si="0"/>
        <v>37447626</v>
      </c>
      <c r="O9" s="29"/>
    </row>
    <row r="10" spans="1:15" s="6" customFormat="1" ht="6.75" customHeight="1"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29"/>
    </row>
    <row r="11" spans="1:15" s="6" customFormat="1">
      <c r="A11" s="13" t="s">
        <v>31</v>
      </c>
      <c r="B11" s="7">
        <f>99729+B56</f>
        <v>87140</v>
      </c>
      <c r="C11" s="7">
        <f>10280+C56</f>
        <v>-1332</v>
      </c>
      <c r="D11" s="7">
        <f>13117+D56</f>
        <v>926</v>
      </c>
      <c r="E11" s="7">
        <f>31849+E56</f>
        <v>21931</v>
      </c>
      <c r="F11" s="7">
        <f>9121+F56</f>
        <v>964</v>
      </c>
      <c r="G11" s="7">
        <f>96279+G56</f>
        <v>573.58000000000175</v>
      </c>
      <c r="H11" s="7">
        <f>9315+H56</f>
        <v>22</v>
      </c>
      <c r="I11" s="7">
        <f>26695+I56</f>
        <v>18172</v>
      </c>
      <c r="J11" s="7">
        <f>22350+J56</f>
        <v>10053</v>
      </c>
      <c r="K11" s="7">
        <v>0</v>
      </c>
      <c r="L11" s="7">
        <v>0</v>
      </c>
      <c r="M11" s="7">
        <v>0</v>
      </c>
      <c r="N11" s="7">
        <f>SUM(B11:M11)</f>
        <v>138449.58000000002</v>
      </c>
      <c r="O11" s="29"/>
    </row>
    <row r="12" spans="1:15" s="6" customFormat="1" ht="7.5" customHeight="1">
      <c r="B12" s="7"/>
      <c r="C12" s="7"/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  <c r="O12" s="29"/>
    </row>
    <row r="13" spans="1:15" s="6" customFormat="1" ht="13.5" thickBot="1">
      <c r="A13" s="13" t="s">
        <v>32</v>
      </c>
      <c r="B13" s="14">
        <f t="shared" ref="B13:N13" si="1">B9+B11</f>
        <v>1259624</v>
      </c>
      <c r="C13" s="14">
        <f>C9+C11</f>
        <v>2573877</v>
      </c>
      <c r="D13" s="14">
        <f t="shared" si="1"/>
        <v>5870765</v>
      </c>
      <c r="E13" s="14">
        <f t="shared" si="1"/>
        <v>4086948</v>
      </c>
      <c r="F13" s="14">
        <f t="shared" si="1"/>
        <v>2537761</v>
      </c>
      <c r="G13" s="14">
        <f t="shared" si="1"/>
        <v>2594082.58</v>
      </c>
      <c r="H13" s="14">
        <f t="shared" si="1"/>
        <v>3467917</v>
      </c>
      <c r="I13" s="14">
        <f t="shared" si="1"/>
        <v>3675528</v>
      </c>
      <c r="J13" s="14">
        <f t="shared" si="1"/>
        <v>3615427</v>
      </c>
      <c r="K13" s="14">
        <f t="shared" si="1"/>
        <v>3176982</v>
      </c>
      <c r="L13" s="14">
        <f t="shared" si="1"/>
        <v>3148319</v>
      </c>
      <c r="M13" s="14">
        <f t="shared" si="1"/>
        <v>1578845</v>
      </c>
      <c r="N13" s="14">
        <f t="shared" si="1"/>
        <v>37586075.579999998</v>
      </c>
      <c r="O13" s="29"/>
    </row>
    <row r="14" spans="1:15" s="6" customFormat="1" ht="13.5" thickTop="1">
      <c r="B14" s="7"/>
      <c r="C14" s="7"/>
      <c r="D14" s="7"/>
      <c r="E14" s="7"/>
      <c r="F14" s="7"/>
      <c r="G14" s="7"/>
      <c r="H14" s="7"/>
      <c r="I14" s="7"/>
      <c r="J14" s="7"/>
      <c r="K14" s="7"/>
      <c r="L14" s="7"/>
      <c r="M14" s="7"/>
    </row>
    <row r="15" spans="1:15" s="6" customFormat="1">
      <c r="A15" s="13" t="s">
        <v>33</v>
      </c>
      <c r="B15" s="7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</row>
    <row r="16" spans="1:15" s="6" customFormat="1">
      <c r="A16" s="6" t="s">
        <v>34</v>
      </c>
      <c r="B16" s="53">
        <v>444475</v>
      </c>
      <c r="C16" s="53">
        <v>1463048</v>
      </c>
      <c r="D16" s="53">
        <v>3023160</v>
      </c>
      <c r="E16" s="53">
        <v>1465276</v>
      </c>
      <c r="F16" s="53">
        <v>847496</v>
      </c>
      <c r="G16" s="53">
        <v>990047</v>
      </c>
      <c r="H16" s="53">
        <v>2082629</v>
      </c>
      <c r="I16" s="53">
        <v>1500369</v>
      </c>
      <c r="J16" s="53">
        <v>1164645</v>
      </c>
      <c r="K16" s="53">
        <v>1029016</v>
      </c>
      <c r="L16" s="53">
        <v>1126126</v>
      </c>
      <c r="M16" s="53">
        <v>849456</v>
      </c>
      <c r="N16" s="7">
        <f>SUM(B16:M16)</f>
        <v>15985743</v>
      </c>
      <c r="O16" s="29"/>
    </row>
    <row r="17" spans="1:44" s="6" customFormat="1">
      <c r="B17" s="27"/>
      <c r="C17" s="27"/>
      <c r="D17" s="27"/>
      <c r="E17" s="27"/>
      <c r="F17" s="27"/>
      <c r="G17" s="27"/>
      <c r="H17" s="27"/>
      <c r="I17" s="27"/>
      <c r="J17" s="27"/>
      <c r="K17" s="27"/>
      <c r="L17" s="27"/>
      <c r="M17" s="27"/>
      <c r="N17" s="7">
        <f>SUM(B17:M17)</f>
        <v>0</v>
      </c>
    </row>
    <row r="18" spans="1:44" s="6" customFormat="1">
      <c r="B18" s="7"/>
      <c r="C18" s="7"/>
      <c r="D18" s="7"/>
      <c r="E18" s="7"/>
      <c r="F18" s="7"/>
      <c r="G18" s="7"/>
      <c r="H18" s="7"/>
      <c r="I18" s="7"/>
      <c r="J18" s="7"/>
      <c r="K18" s="7"/>
      <c r="L18" s="7"/>
      <c r="M18" s="7"/>
      <c r="N18" s="7">
        <v>0</v>
      </c>
    </row>
    <row r="19" spans="1:44" s="6" customFormat="1">
      <c r="B19" s="15"/>
      <c r="C19" s="15"/>
      <c r="D19" s="15"/>
      <c r="E19" s="15"/>
      <c r="F19" s="15"/>
      <c r="G19" s="15"/>
      <c r="H19" s="15"/>
      <c r="I19" s="15"/>
      <c r="J19" s="15"/>
      <c r="K19" s="15"/>
      <c r="L19" s="15"/>
      <c r="M19" s="15"/>
      <c r="N19" s="15">
        <f>SUM(B19:M19)</f>
        <v>0</v>
      </c>
    </row>
    <row r="20" spans="1:44" s="6" customFormat="1">
      <c r="A20" s="13" t="s">
        <v>35</v>
      </c>
      <c r="B20" s="12">
        <f t="shared" ref="B20:N20" si="2">SUM(B16:B19)</f>
        <v>444475</v>
      </c>
      <c r="C20" s="12">
        <f t="shared" si="2"/>
        <v>1463048</v>
      </c>
      <c r="D20" s="12">
        <f t="shared" si="2"/>
        <v>3023160</v>
      </c>
      <c r="E20" s="12">
        <f t="shared" si="2"/>
        <v>1465276</v>
      </c>
      <c r="F20" s="12">
        <f t="shared" si="2"/>
        <v>847496</v>
      </c>
      <c r="G20" s="12">
        <f t="shared" si="2"/>
        <v>990047</v>
      </c>
      <c r="H20" s="12">
        <f t="shared" si="2"/>
        <v>2082629</v>
      </c>
      <c r="I20" s="12">
        <f t="shared" si="2"/>
        <v>1500369</v>
      </c>
      <c r="J20" s="12">
        <f t="shared" si="2"/>
        <v>1164645</v>
      </c>
      <c r="K20" s="12">
        <f t="shared" si="2"/>
        <v>1029016</v>
      </c>
      <c r="L20" s="12">
        <f t="shared" si="2"/>
        <v>1126126</v>
      </c>
      <c r="M20" s="12">
        <f t="shared" si="2"/>
        <v>849456</v>
      </c>
      <c r="N20" s="12">
        <f t="shared" si="2"/>
        <v>15985743</v>
      </c>
      <c r="O20" s="29"/>
    </row>
    <row r="21" spans="1:44" s="6" customFormat="1">
      <c r="B21" s="7"/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</row>
    <row r="22" spans="1:44" s="6" customFormat="1">
      <c r="A22" s="13" t="s">
        <v>36</v>
      </c>
      <c r="B22" s="7"/>
      <c r="C22" s="7"/>
      <c r="D22" s="7"/>
      <c r="E22" s="7"/>
      <c r="F22" s="7"/>
      <c r="G22" s="7"/>
      <c r="H22" s="7"/>
      <c r="I22" s="7"/>
      <c r="J22" s="7"/>
      <c r="K22" s="7"/>
      <c r="L22" s="7"/>
      <c r="M22" s="7"/>
    </row>
    <row r="23" spans="1:44" s="6" customFormat="1">
      <c r="A23" s="6" t="s">
        <v>37</v>
      </c>
      <c r="B23" s="7">
        <f t="shared" ref="B23:M26" si="3">+B5-B16</f>
        <v>657561</v>
      </c>
      <c r="C23" s="7">
        <f t="shared" si="3"/>
        <v>1040927</v>
      </c>
      <c r="D23" s="7">
        <f t="shared" si="3"/>
        <v>2568076</v>
      </c>
      <c r="E23" s="7">
        <f t="shared" si="3"/>
        <v>2532455</v>
      </c>
      <c r="F23" s="7">
        <f t="shared" si="3"/>
        <v>1560547</v>
      </c>
      <c r="G23" s="7">
        <f t="shared" si="3"/>
        <v>1530605</v>
      </c>
      <c r="H23" s="7">
        <f t="shared" si="3"/>
        <v>1310325</v>
      </c>
      <c r="I23" s="7">
        <f t="shared" si="3"/>
        <v>2025826</v>
      </c>
      <c r="J23" s="7">
        <f t="shared" si="3"/>
        <v>2110567</v>
      </c>
      <c r="K23" s="7">
        <f t="shared" si="3"/>
        <v>2072701</v>
      </c>
      <c r="L23" s="7">
        <f t="shared" si="3"/>
        <v>1705385</v>
      </c>
      <c r="M23" s="7">
        <f t="shared" si="3"/>
        <v>610950</v>
      </c>
      <c r="N23" s="7">
        <f>SUM(B23:M23)</f>
        <v>19725925</v>
      </c>
      <c r="O23" s="29"/>
    </row>
    <row r="24" spans="1:44" s="6" customFormat="1">
      <c r="A24" s="6" t="s">
        <v>37</v>
      </c>
      <c r="B24" s="7">
        <f t="shared" si="3"/>
        <v>70448</v>
      </c>
      <c r="C24" s="7">
        <f t="shared" si="3"/>
        <v>71234</v>
      </c>
      <c r="D24" s="7">
        <f t="shared" si="3"/>
        <v>278603</v>
      </c>
      <c r="E24" s="7">
        <f t="shared" si="3"/>
        <v>67286</v>
      </c>
      <c r="F24" s="7">
        <f t="shared" si="3"/>
        <v>128754</v>
      </c>
      <c r="G24" s="7">
        <f t="shared" si="3"/>
        <v>72857</v>
      </c>
      <c r="H24" s="7">
        <f t="shared" si="3"/>
        <v>74941</v>
      </c>
      <c r="I24" s="7">
        <f t="shared" si="3"/>
        <v>131161</v>
      </c>
      <c r="J24" s="7">
        <f t="shared" si="3"/>
        <v>330162</v>
      </c>
      <c r="K24" s="7">
        <f t="shared" si="3"/>
        <v>75265</v>
      </c>
      <c r="L24" s="7">
        <f t="shared" si="3"/>
        <v>316808</v>
      </c>
      <c r="M24" s="7">
        <f t="shared" si="3"/>
        <v>118439</v>
      </c>
      <c r="N24" s="7">
        <f>SUM(B24:M24)</f>
        <v>1735958</v>
      </c>
      <c r="O24" s="29"/>
    </row>
    <row r="25" spans="1:44" s="6" customFormat="1">
      <c r="A25" s="6" t="s">
        <v>38</v>
      </c>
      <c r="B25" s="7">
        <f t="shared" si="3"/>
        <v>0</v>
      </c>
      <c r="C25" s="7">
        <f t="shared" si="3"/>
        <v>0</v>
      </c>
      <c r="D25" s="7">
        <f t="shared" si="3"/>
        <v>0</v>
      </c>
      <c r="E25" s="7">
        <f t="shared" si="3"/>
        <v>0</v>
      </c>
      <c r="F25" s="7">
        <f t="shared" si="3"/>
        <v>0</v>
      </c>
      <c r="G25" s="7">
        <f t="shared" si="3"/>
        <v>0</v>
      </c>
      <c r="H25" s="7">
        <f t="shared" si="3"/>
        <v>0</v>
      </c>
      <c r="I25" s="7">
        <f t="shared" si="3"/>
        <v>0</v>
      </c>
      <c r="J25" s="7">
        <f t="shared" si="3"/>
        <v>0</v>
      </c>
      <c r="K25" s="7">
        <f t="shared" si="3"/>
        <v>0</v>
      </c>
      <c r="L25" s="7">
        <f t="shared" si="3"/>
        <v>0</v>
      </c>
      <c r="M25" s="7">
        <f t="shared" si="3"/>
        <v>0</v>
      </c>
      <c r="N25" s="7">
        <f>SUM(B25:M25)</f>
        <v>0</v>
      </c>
      <c r="O25" s="29"/>
    </row>
    <row r="26" spans="1:44" s="6" customFormat="1">
      <c r="A26" s="6" t="s">
        <v>38</v>
      </c>
      <c r="B26" s="15">
        <f t="shared" si="3"/>
        <v>0</v>
      </c>
      <c r="C26" s="15">
        <f t="shared" si="3"/>
        <v>0</v>
      </c>
      <c r="D26" s="15">
        <f t="shared" si="3"/>
        <v>0</v>
      </c>
      <c r="E26" s="15">
        <f t="shared" si="3"/>
        <v>0</v>
      </c>
      <c r="F26" s="15">
        <f t="shared" si="3"/>
        <v>0</v>
      </c>
      <c r="G26" s="15">
        <f t="shared" si="3"/>
        <v>0</v>
      </c>
      <c r="H26" s="15">
        <f t="shared" si="3"/>
        <v>0</v>
      </c>
      <c r="I26" s="15">
        <f t="shared" si="3"/>
        <v>0</v>
      </c>
      <c r="J26" s="15">
        <f t="shared" si="3"/>
        <v>0</v>
      </c>
      <c r="K26" s="15">
        <f t="shared" si="3"/>
        <v>0</v>
      </c>
      <c r="L26" s="15">
        <f t="shared" si="3"/>
        <v>0</v>
      </c>
      <c r="M26" s="15">
        <f t="shared" si="3"/>
        <v>0</v>
      </c>
      <c r="N26" s="15">
        <f>SUM(B26:M26)</f>
        <v>0</v>
      </c>
      <c r="O26" s="29"/>
    </row>
    <row r="27" spans="1:44" s="6" customFormat="1">
      <c r="A27" s="13" t="s">
        <v>39</v>
      </c>
      <c r="B27" s="12">
        <f t="shared" ref="B27:N27" si="4">SUM(B23:B26)</f>
        <v>728009</v>
      </c>
      <c r="C27" s="12">
        <f t="shared" si="4"/>
        <v>1112161</v>
      </c>
      <c r="D27" s="12">
        <f t="shared" si="4"/>
        <v>2846679</v>
      </c>
      <c r="E27" s="12">
        <f t="shared" si="4"/>
        <v>2599741</v>
      </c>
      <c r="F27" s="12">
        <f t="shared" si="4"/>
        <v>1689301</v>
      </c>
      <c r="G27" s="12">
        <f t="shared" si="4"/>
        <v>1603462</v>
      </c>
      <c r="H27" s="12">
        <f t="shared" si="4"/>
        <v>1385266</v>
      </c>
      <c r="I27" s="12">
        <f t="shared" si="4"/>
        <v>2156987</v>
      </c>
      <c r="J27" s="12">
        <f t="shared" si="4"/>
        <v>2440729</v>
      </c>
      <c r="K27" s="12">
        <f t="shared" si="4"/>
        <v>2147966</v>
      </c>
      <c r="L27" s="12">
        <f t="shared" si="4"/>
        <v>2022193</v>
      </c>
      <c r="M27" s="12">
        <f>SUM(M23:M26)</f>
        <v>729389</v>
      </c>
      <c r="N27" s="12">
        <f t="shared" si="4"/>
        <v>21461883</v>
      </c>
      <c r="O27" s="29"/>
    </row>
    <row r="28" spans="1:44" s="6" customFormat="1" ht="14.45" customHeight="1">
      <c r="B28" s="73">
        <f>+B27/B9</f>
        <v>0.620911671289331</v>
      </c>
      <c r="C28" s="73">
        <f t="shared" ref="C28:N28" si="5">+C27/C9</f>
        <v>0.43187213154349802</v>
      </c>
      <c r="D28" s="73">
        <f t="shared" si="5"/>
        <v>0.48496713453299145</v>
      </c>
      <c r="E28" s="73">
        <f t="shared" si="5"/>
        <v>0.63954000684375978</v>
      </c>
      <c r="F28" s="73">
        <f t="shared" si="5"/>
        <v>0.66591887328785082</v>
      </c>
      <c r="G28" s="73">
        <f t="shared" si="5"/>
        <v>0.6182596628737359</v>
      </c>
      <c r="H28" s="73">
        <f t="shared" si="5"/>
        <v>0.39945442408146731</v>
      </c>
      <c r="I28" s="73">
        <f t="shared" si="5"/>
        <v>0.58976676046849141</v>
      </c>
      <c r="J28" s="73">
        <f t="shared" si="5"/>
        <v>0.67696971243482651</v>
      </c>
      <c r="K28" s="73">
        <f t="shared" si="5"/>
        <v>0.67610266598929425</v>
      </c>
      <c r="L28" s="73">
        <f t="shared" si="5"/>
        <v>0.64230880034710591</v>
      </c>
      <c r="M28" s="73">
        <f t="shared" si="5"/>
        <v>0.4619763181312922</v>
      </c>
      <c r="N28" s="73">
        <f t="shared" si="5"/>
        <v>0.57311731857181014</v>
      </c>
    </row>
    <row r="29" spans="1:44" s="6" customFormat="1">
      <c r="A29" s="13" t="s">
        <v>40</v>
      </c>
      <c r="B29" s="7"/>
      <c r="C29" s="7"/>
      <c r="D29" s="7"/>
      <c r="E29" s="7"/>
      <c r="F29" s="7"/>
      <c r="G29" s="7"/>
      <c r="H29" s="7"/>
      <c r="I29" s="7"/>
      <c r="J29" s="7"/>
      <c r="K29" s="7"/>
      <c r="L29" s="7"/>
      <c r="M29" s="7"/>
    </row>
    <row r="30" spans="1:44" s="6" customFormat="1">
      <c r="A30" s="6" t="s">
        <v>93</v>
      </c>
      <c r="B30" s="53">
        <v>415779</v>
      </c>
      <c r="C30" s="53">
        <v>561495</v>
      </c>
      <c r="D30" s="53">
        <v>742338</v>
      </c>
      <c r="E30" s="53">
        <v>829683</v>
      </c>
      <c r="F30" s="53">
        <v>607435</v>
      </c>
      <c r="G30" s="53">
        <v>631393</v>
      </c>
      <c r="H30" s="53">
        <v>607413</v>
      </c>
      <c r="I30" s="53">
        <v>721705</v>
      </c>
      <c r="J30" s="53">
        <v>687238</v>
      </c>
      <c r="K30" s="53">
        <v>765469</v>
      </c>
      <c r="L30" s="53">
        <v>642868</v>
      </c>
      <c r="M30" s="53">
        <v>459430</v>
      </c>
      <c r="N30" s="7">
        <f>SUM(B30:M30)</f>
        <v>7672246</v>
      </c>
      <c r="O30" s="29"/>
    </row>
    <row r="31" spans="1:44" s="6" customFormat="1">
      <c r="A31" s="6" t="s">
        <v>42</v>
      </c>
      <c r="B31" s="53">
        <v>245383</v>
      </c>
      <c r="C31" s="53">
        <v>212042</v>
      </c>
      <c r="D31" s="53">
        <v>203129</v>
      </c>
      <c r="E31" s="53">
        <v>235434</v>
      </c>
      <c r="F31" s="53">
        <v>203129</v>
      </c>
      <c r="G31" s="53">
        <v>209186</v>
      </c>
      <c r="H31" s="53">
        <v>237769</v>
      </c>
      <c r="I31" s="53">
        <v>201008</v>
      </c>
      <c r="J31" s="53">
        <v>218161</v>
      </c>
      <c r="K31" s="53">
        <v>210395</v>
      </c>
      <c r="L31" s="53">
        <v>194439</v>
      </c>
      <c r="M31" s="53">
        <v>198004</v>
      </c>
      <c r="N31" s="7">
        <f>SUM(B31:M31)</f>
        <v>2568079</v>
      </c>
      <c r="O31" s="29"/>
    </row>
    <row r="32" spans="1:44" s="6" customFormat="1" ht="15">
      <c r="A32" s="6" t="s">
        <v>38</v>
      </c>
      <c r="B32" s="68"/>
      <c r="C32" s="68"/>
      <c r="D32" s="68"/>
      <c r="E32" s="68"/>
      <c r="F32" s="68"/>
      <c r="G32" s="68"/>
      <c r="H32" s="68"/>
      <c r="I32" s="68"/>
      <c r="J32" s="68"/>
      <c r="K32" s="68"/>
      <c r="L32" s="68"/>
      <c r="M32" s="68"/>
      <c r="N32" s="7">
        <f>SUM(B32:M32)</f>
        <v>0</v>
      </c>
      <c r="O32" s="29"/>
      <c r="P32" s="6">
        <f>+B32*-1</f>
        <v>0</v>
      </c>
      <c r="Q32" s="6">
        <f t="shared" ref="Q32:AF33" si="6">+C32*-1</f>
        <v>0</v>
      </c>
      <c r="R32" s="6">
        <f t="shared" si="6"/>
        <v>0</v>
      </c>
      <c r="S32" s="6">
        <f t="shared" si="6"/>
        <v>0</v>
      </c>
      <c r="T32" s="6">
        <f t="shared" si="6"/>
        <v>0</v>
      </c>
      <c r="U32" s="6">
        <f t="shared" si="6"/>
        <v>0</v>
      </c>
      <c r="V32" s="6">
        <f t="shared" si="6"/>
        <v>0</v>
      </c>
      <c r="W32" s="6">
        <f t="shared" si="6"/>
        <v>0</v>
      </c>
      <c r="X32" s="6">
        <f t="shared" si="6"/>
        <v>0</v>
      </c>
      <c r="Y32" s="6">
        <f t="shared" si="6"/>
        <v>0</v>
      </c>
      <c r="Z32" s="6">
        <f t="shared" si="6"/>
        <v>0</v>
      </c>
      <c r="AA32" s="6">
        <f t="shared" si="6"/>
        <v>0</v>
      </c>
      <c r="AB32" s="6">
        <f t="shared" si="6"/>
        <v>0</v>
      </c>
      <c r="AC32" s="6">
        <f t="shared" si="6"/>
        <v>0</v>
      </c>
      <c r="AD32" s="6">
        <f t="shared" si="6"/>
        <v>0</v>
      </c>
      <c r="AE32" s="6">
        <f t="shared" si="6"/>
        <v>0</v>
      </c>
      <c r="AF32" s="6">
        <f t="shared" si="6"/>
        <v>0</v>
      </c>
      <c r="AG32" s="6">
        <f t="shared" ref="AG32:AR33" si="7">+S32*-1</f>
        <v>0</v>
      </c>
      <c r="AH32" s="6">
        <f t="shared" si="7"/>
        <v>0</v>
      </c>
      <c r="AI32" s="6">
        <f t="shared" si="7"/>
        <v>0</v>
      </c>
      <c r="AJ32" s="6">
        <f t="shared" si="7"/>
        <v>0</v>
      </c>
      <c r="AK32" s="6">
        <f t="shared" si="7"/>
        <v>0</v>
      </c>
      <c r="AL32" s="6">
        <f t="shared" si="7"/>
        <v>0</v>
      </c>
      <c r="AM32" s="6">
        <f t="shared" si="7"/>
        <v>0</v>
      </c>
      <c r="AN32" s="6">
        <f t="shared" si="7"/>
        <v>0</v>
      </c>
      <c r="AO32" s="6">
        <f t="shared" si="7"/>
        <v>0</v>
      </c>
      <c r="AP32" s="6">
        <f t="shared" si="7"/>
        <v>0</v>
      </c>
      <c r="AQ32" s="6">
        <f t="shared" si="7"/>
        <v>0</v>
      </c>
      <c r="AR32" s="6">
        <f t="shared" si="7"/>
        <v>0</v>
      </c>
    </row>
    <row r="33" spans="1:44" s="6" customFormat="1">
      <c r="B33" s="15"/>
      <c r="C33" s="15"/>
      <c r="D33" s="15"/>
      <c r="E33" s="15"/>
      <c r="F33" s="15"/>
      <c r="G33" s="15"/>
      <c r="H33" s="15"/>
      <c r="I33" s="15"/>
      <c r="J33" s="15"/>
      <c r="K33" s="15"/>
      <c r="L33" s="15"/>
      <c r="M33" s="15"/>
      <c r="N33" s="15">
        <f>SUM(B33:M33)</f>
        <v>0</v>
      </c>
      <c r="O33" s="29"/>
      <c r="Q33" s="6">
        <f t="shared" si="6"/>
        <v>0</v>
      </c>
      <c r="R33" s="6">
        <f t="shared" si="6"/>
        <v>0</v>
      </c>
      <c r="S33" s="6">
        <f t="shared" si="6"/>
        <v>0</v>
      </c>
      <c r="T33" s="6">
        <f t="shared" si="6"/>
        <v>0</v>
      </c>
      <c r="U33" s="6">
        <f t="shared" si="6"/>
        <v>0</v>
      </c>
      <c r="V33" s="6">
        <f t="shared" si="6"/>
        <v>0</v>
      </c>
      <c r="W33" s="6">
        <f t="shared" si="6"/>
        <v>0</v>
      </c>
      <c r="X33" s="6">
        <f t="shared" si="6"/>
        <v>0</v>
      </c>
      <c r="Y33" s="6">
        <f t="shared" si="6"/>
        <v>0</v>
      </c>
      <c r="Z33" s="6">
        <f t="shared" si="6"/>
        <v>0</v>
      </c>
      <c r="AA33" s="6">
        <f t="shared" si="6"/>
        <v>0</v>
      </c>
      <c r="AB33" s="6">
        <f t="shared" si="6"/>
        <v>0</v>
      </c>
      <c r="AC33" s="6">
        <f t="shared" si="6"/>
        <v>0</v>
      </c>
      <c r="AD33" s="6">
        <f t="shared" si="6"/>
        <v>0</v>
      </c>
      <c r="AE33" s="6">
        <f t="shared" si="6"/>
        <v>0</v>
      </c>
      <c r="AF33" s="6">
        <f t="shared" si="6"/>
        <v>0</v>
      </c>
      <c r="AG33" s="6">
        <f t="shared" si="7"/>
        <v>0</v>
      </c>
      <c r="AH33" s="6">
        <f t="shared" si="7"/>
        <v>0</v>
      </c>
      <c r="AI33" s="6">
        <f t="shared" si="7"/>
        <v>0</v>
      </c>
      <c r="AJ33" s="6">
        <f t="shared" si="7"/>
        <v>0</v>
      </c>
      <c r="AK33" s="6">
        <f t="shared" si="7"/>
        <v>0</v>
      </c>
      <c r="AL33" s="6">
        <f t="shared" si="7"/>
        <v>0</v>
      </c>
      <c r="AM33" s="6">
        <f t="shared" si="7"/>
        <v>0</v>
      </c>
      <c r="AN33" s="6">
        <f t="shared" si="7"/>
        <v>0</v>
      </c>
      <c r="AO33" s="6">
        <f t="shared" si="7"/>
        <v>0</v>
      </c>
      <c r="AP33" s="6">
        <f t="shared" si="7"/>
        <v>0</v>
      </c>
      <c r="AQ33" s="6">
        <f t="shared" si="7"/>
        <v>0</v>
      </c>
      <c r="AR33" s="6">
        <f t="shared" si="7"/>
        <v>0</v>
      </c>
    </row>
    <row r="34" spans="1:44" s="6" customFormat="1">
      <c r="A34" s="13" t="s">
        <v>43</v>
      </c>
      <c r="B34" s="12">
        <f t="shared" ref="B34:N34" si="8">SUM(B30:B33)</f>
        <v>661162</v>
      </c>
      <c r="C34" s="12">
        <f t="shared" si="8"/>
        <v>773537</v>
      </c>
      <c r="D34" s="12">
        <f t="shared" si="8"/>
        <v>945467</v>
      </c>
      <c r="E34" s="12">
        <f t="shared" si="8"/>
        <v>1065117</v>
      </c>
      <c r="F34" s="12">
        <f t="shared" si="8"/>
        <v>810564</v>
      </c>
      <c r="G34" s="12">
        <f t="shared" si="8"/>
        <v>840579</v>
      </c>
      <c r="H34" s="12">
        <f t="shared" si="8"/>
        <v>845182</v>
      </c>
      <c r="I34" s="12">
        <f t="shared" si="8"/>
        <v>922713</v>
      </c>
      <c r="J34" s="12">
        <f t="shared" si="8"/>
        <v>905399</v>
      </c>
      <c r="K34" s="12">
        <f t="shared" si="8"/>
        <v>975864</v>
      </c>
      <c r="L34" s="12">
        <f t="shared" si="8"/>
        <v>837307</v>
      </c>
      <c r="M34" s="12">
        <f t="shared" si="8"/>
        <v>657434</v>
      </c>
      <c r="N34" s="12">
        <f t="shared" si="8"/>
        <v>10240325</v>
      </c>
      <c r="O34" s="29"/>
    </row>
    <row r="35" spans="1:44" s="6" customFormat="1">
      <c r="B35" s="7"/>
      <c r="C35" s="7"/>
      <c r="D35" s="7"/>
      <c r="E35" s="7"/>
      <c r="F35" s="7"/>
      <c r="G35" s="7"/>
      <c r="H35" s="7"/>
      <c r="I35" s="7"/>
      <c r="J35" s="7"/>
      <c r="K35" s="7"/>
      <c r="L35" s="7"/>
      <c r="M35" s="7"/>
    </row>
    <row r="36" spans="1:44" s="6" customFormat="1">
      <c r="A36" s="13" t="s">
        <v>44</v>
      </c>
      <c r="B36" s="7"/>
      <c r="C36" s="7"/>
      <c r="D36" s="7"/>
      <c r="E36" s="7"/>
      <c r="F36" s="7"/>
      <c r="G36" s="7"/>
      <c r="H36" s="7"/>
      <c r="I36" s="7"/>
      <c r="J36" s="7"/>
      <c r="K36" s="7"/>
      <c r="L36" s="7"/>
      <c r="M36" s="7"/>
    </row>
    <row r="37" spans="1:44" s="6" customFormat="1">
      <c r="A37" s="6" t="s">
        <v>45</v>
      </c>
      <c r="B37" s="53">
        <v>1168701</v>
      </c>
      <c r="C37" s="53">
        <v>1244422</v>
      </c>
      <c r="D37" s="53">
        <v>1461507</v>
      </c>
      <c r="E37" s="53">
        <v>1790911</v>
      </c>
      <c r="F37" s="53">
        <v>1370885</v>
      </c>
      <c r="G37" s="66">
        <v>1564207</v>
      </c>
      <c r="H37" s="66">
        <v>1269929</v>
      </c>
      <c r="I37" s="66">
        <v>1483414</v>
      </c>
      <c r="J37" s="66">
        <v>1568535</v>
      </c>
      <c r="K37" s="53">
        <v>1616062</v>
      </c>
      <c r="L37" s="53">
        <v>1425841</v>
      </c>
      <c r="M37" s="53">
        <v>1274220</v>
      </c>
      <c r="N37" s="7">
        <f>SUM(B37:M37)</f>
        <v>17238634</v>
      </c>
      <c r="O37" s="29"/>
      <c r="P37" s="69"/>
    </row>
    <row r="38" spans="1:44" s="6" customFormat="1">
      <c r="A38" s="6" t="s">
        <v>46</v>
      </c>
      <c r="B38" s="7">
        <f>-B34</f>
        <v>-661162</v>
      </c>
      <c r="C38" s="7">
        <f t="shared" ref="C38:M38" si="9">-C34</f>
        <v>-773537</v>
      </c>
      <c r="D38" s="7">
        <f t="shared" si="9"/>
        <v>-945467</v>
      </c>
      <c r="E38" s="7">
        <f t="shared" si="9"/>
        <v>-1065117</v>
      </c>
      <c r="F38" s="7">
        <f t="shared" si="9"/>
        <v>-810564</v>
      </c>
      <c r="G38" s="7">
        <f t="shared" si="9"/>
        <v>-840579</v>
      </c>
      <c r="H38" s="7">
        <f t="shared" si="9"/>
        <v>-845182</v>
      </c>
      <c r="I38" s="7">
        <f t="shared" si="9"/>
        <v>-922713</v>
      </c>
      <c r="J38" s="7">
        <f t="shared" si="9"/>
        <v>-905399</v>
      </c>
      <c r="K38" s="7">
        <f t="shared" si="9"/>
        <v>-975864</v>
      </c>
      <c r="L38" s="7">
        <f t="shared" si="9"/>
        <v>-837307</v>
      </c>
      <c r="M38" s="7">
        <f t="shared" si="9"/>
        <v>-657434</v>
      </c>
      <c r="N38" s="7">
        <f>SUM(B38:M38)</f>
        <v>-10240325</v>
      </c>
      <c r="O38" s="29"/>
    </row>
    <row r="39" spans="1:44" s="6" customFormat="1">
      <c r="A39" s="6" t="s">
        <v>47</v>
      </c>
      <c r="B39" s="72">
        <v>-77886</v>
      </c>
      <c r="C39" s="72">
        <v>-77317</v>
      </c>
      <c r="D39" s="72">
        <v>-76975</v>
      </c>
      <c r="E39" s="72">
        <v>-75957</v>
      </c>
      <c r="F39" s="72">
        <v>-75944</v>
      </c>
      <c r="G39" s="72">
        <v>-75944</v>
      </c>
      <c r="H39" s="72">
        <v>-75944</v>
      </c>
      <c r="I39" s="72">
        <v>-75679</v>
      </c>
      <c r="J39" s="72">
        <v>-75679</v>
      </c>
      <c r="K39" s="72">
        <v>-78971</v>
      </c>
      <c r="L39" s="72">
        <v>-97279</v>
      </c>
      <c r="M39" s="72">
        <v>-97277</v>
      </c>
      <c r="N39" s="7">
        <f>SUM(B39:M39)</f>
        <v>-960852</v>
      </c>
      <c r="O39" s="29"/>
    </row>
    <row r="40" spans="1:44" s="6" customFormat="1">
      <c r="A40" s="6" t="s">
        <v>78</v>
      </c>
      <c r="B40" s="53"/>
      <c r="C40" s="53"/>
      <c r="D40" s="53"/>
      <c r="E40" s="53"/>
      <c r="F40" s="53"/>
      <c r="G40" s="53"/>
      <c r="H40" s="53"/>
      <c r="I40" s="53"/>
      <c r="J40" s="53"/>
      <c r="K40" s="53"/>
      <c r="L40" s="53"/>
      <c r="M40" s="53"/>
      <c r="N40" s="7">
        <f>SUM(B40:M40)</f>
        <v>0</v>
      </c>
      <c r="O40" s="29"/>
    </row>
    <row r="41" spans="1:44" s="6" customFormat="1">
      <c r="A41" s="6" t="s">
        <v>48</v>
      </c>
      <c r="B41" s="60">
        <v>-8350</v>
      </c>
      <c r="C41" s="60">
        <v>-8250</v>
      </c>
      <c r="D41" s="60">
        <v>-8350</v>
      </c>
      <c r="E41" s="60">
        <v>-8350</v>
      </c>
      <c r="F41" s="60">
        <v>-8350</v>
      </c>
      <c r="G41" s="60">
        <v>-8350</v>
      </c>
      <c r="H41" s="60">
        <v>-8350</v>
      </c>
      <c r="I41" s="60">
        <v>-8350</v>
      </c>
      <c r="J41" s="60">
        <v>-8350</v>
      </c>
      <c r="K41" s="60">
        <v>-8350</v>
      </c>
      <c r="L41" s="60">
        <v>-8350</v>
      </c>
      <c r="M41" s="60">
        <v>-30300</v>
      </c>
      <c r="N41" s="15">
        <f>SUM(B41:M41)</f>
        <v>-122050</v>
      </c>
      <c r="O41" s="29"/>
    </row>
    <row r="42" spans="1:44" s="6" customFormat="1">
      <c r="A42" s="13" t="s">
        <v>49</v>
      </c>
      <c r="B42" s="12">
        <f t="shared" ref="B42:N42" si="10">SUM(B37:B41)</f>
        <v>421303</v>
      </c>
      <c r="C42" s="12">
        <f t="shared" si="10"/>
        <v>385318</v>
      </c>
      <c r="D42" s="12">
        <f t="shared" si="10"/>
        <v>430715</v>
      </c>
      <c r="E42" s="12">
        <f t="shared" si="10"/>
        <v>641487</v>
      </c>
      <c r="F42" s="12">
        <f t="shared" si="10"/>
        <v>476027</v>
      </c>
      <c r="G42" s="12">
        <f t="shared" si="10"/>
        <v>639334</v>
      </c>
      <c r="H42" s="12">
        <f t="shared" si="10"/>
        <v>340453</v>
      </c>
      <c r="I42" s="12">
        <f t="shared" si="10"/>
        <v>476672</v>
      </c>
      <c r="J42" s="12">
        <f t="shared" si="10"/>
        <v>579107</v>
      </c>
      <c r="K42" s="12">
        <f t="shared" si="10"/>
        <v>552877</v>
      </c>
      <c r="L42" s="12">
        <f t="shared" si="10"/>
        <v>482905</v>
      </c>
      <c r="M42" s="12">
        <f t="shared" si="10"/>
        <v>489209</v>
      </c>
      <c r="N42" s="12">
        <f t="shared" si="10"/>
        <v>5915407</v>
      </c>
      <c r="O42" s="29"/>
    </row>
    <row r="43" spans="1:44">
      <c r="A43" s="1"/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2"/>
      <c r="N43" s="12"/>
      <c r="O43" s="6"/>
    </row>
    <row r="44" spans="1:44">
      <c r="A44" s="13" t="s">
        <v>50</v>
      </c>
      <c r="B44" s="53">
        <v>296581</v>
      </c>
      <c r="C44" s="53">
        <v>244043</v>
      </c>
      <c r="D44" s="53">
        <v>272075</v>
      </c>
      <c r="E44" s="53">
        <v>331396</v>
      </c>
      <c r="F44" s="53">
        <v>346084</v>
      </c>
      <c r="G44" s="53">
        <v>278977</v>
      </c>
      <c r="H44" s="53">
        <v>350131</v>
      </c>
      <c r="I44" s="53">
        <v>267034</v>
      </c>
      <c r="J44" s="53">
        <v>354437</v>
      </c>
      <c r="K44" s="53">
        <v>342373</v>
      </c>
      <c r="L44" s="53">
        <v>307614</v>
      </c>
      <c r="M44" s="53">
        <v>705082</v>
      </c>
      <c r="N44" s="12">
        <f>SUM(B44:M44)</f>
        <v>4095827</v>
      </c>
      <c r="O44" s="29"/>
    </row>
    <row r="45" spans="1:44">
      <c r="A45" s="6" t="s">
        <v>107</v>
      </c>
      <c r="B45" s="22"/>
      <c r="C45" s="22"/>
      <c r="D45" s="22"/>
      <c r="E45" s="22"/>
      <c r="F45" s="22"/>
      <c r="G45" s="22"/>
      <c r="H45" s="22"/>
      <c r="I45" s="22"/>
      <c r="J45" s="22">
        <v>1160600</v>
      </c>
      <c r="K45" s="22"/>
      <c r="L45" s="22"/>
      <c r="M45" s="22"/>
      <c r="N45" s="22">
        <f>SUM(B45:M45)</f>
        <v>1160600</v>
      </c>
      <c r="O45" s="29"/>
    </row>
    <row r="46" spans="1:44">
      <c r="A46" s="1" t="s">
        <v>50</v>
      </c>
      <c r="B46" s="12">
        <f>SUM(B44:B45)</f>
        <v>296581</v>
      </c>
      <c r="C46" s="12">
        <f>SUM(C44:C45)</f>
        <v>244043</v>
      </c>
      <c r="D46" s="12">
        <f t="shared" ref="D46:N46" si="11">SUM(D44:D45)</f>
        <v>272075</v>
      </c>
      <c r="E46" s="12">
        <f t="shared" si="11"/>
        <v>331396</v>
      </c>
      <c r="F46" s="12">
        <f t="shared" si="11"/>
        <v>346084</v>
      </c>
      <c r="G46" s="12">
        <f t="shared" si="11"/>
        <v>278977</v>
      </c>
      <c r="H46" s="12">
        <f t="shared" si="11"/>
        <v>350131</v>
      </c>
      <c r="I46" s="12">
        <f t="shared" si="11"/>
        <v>267034</v>
      </c>
      <c r="J46" s="12">
        <f t="shared" si="11"/>
        <v>1515037</v>
      </c>
      <c r="K46" s="12">
        <f t="shared" si="11"/>
        <v>342373</v>
      </c>
      <c r="L46" s="12">
        <f t="shared" si="11"/>
        <v>307614</v>
      </c>
      <c r="M46" s="12">
        <f t="shared" si="11"/>
        <v>705082</v>
      </c>
      <c r="N46" s="12">
        <f t="shared" si="11"/>
        <v>5256427</v>
      </c>
      <c r="O46" s="29"/>
    </row>
    <row r="47" spans="1:44">
      <c r="B47" s="7"/>
      <c r="C47" s="7"/>
      <c r="D47" s="7"/>
      <c r="E47" s="7"/>
      <c r="F47" s="7"/>
      <c r="G47" s="7"/>
      <c r="H47" s="7"/>
      <c r="I47" s="7"/>
      <c r="J47" s="7"/>
      <c r="K47" s="6"/>
      <c r="L47" s="6"/>
      <c r="M47" s="6"/>
      <c r="N47" s="6"/>
      <c r="O47" s="6"/>
    </row>
    <row r="48" spans="1:44">
      <c r="A48" s="13" t="s">
        <v>52</v>
      </c>
      <c r="B48" s="19">
        <f t="shared" ref="B48:N48" si="12">+B20+B34+B42+B46</f>
        <v>1823521</v>
      </c>
      <c r="C48" s="19">
        <f t="shared" si="12"/>
        <v>2865946</v>
      </c>
      <c r="D48" s="19">
        <f t="shared" si="12"/>
        <v>4671417</v>
      </c>
      <c r="E48" s="19">
        <f t="shared" si="12"/>
        <v>3503276</v>
      </c>
      <c r="F48" s="19">
        <f t="shared" si="12"/>
        <v>2480171</v>
      </c>
      <c r="G48" s="19">
        <f t="shared" si="12"/>
        <v>2748937</v>
      </c>
      <c r="H48" s="19">
        <f t="shared" si="12"/>
        <v>3618395</v>
      </c>
      <c r="I48" s="19">
        <f t="shared" si="12"/>
        <v>3166788</v>
      </c>
      <c r="J48" s="19">
        <f t="shared" si="12"/>
        <v>4164188</v>
      </c>
      <c r="K48" s="19">
        <f t="shared" si="12"/>
        <v>2900130</v>
      </c>
      <c r="L48" s="19">
        <f t="shared" si="12"/>
        <v>2753952</v>
      </c>
      <c r="M48" s="19">
        <f t="shared" si="12"/>
        <v>2701181</v>
      </c>
      <c r="N48" s="19">
        <f t="shared" si="12"/>
        <v>37397902</v>
      </c>
      <c r="O48" s="29"/>
    </row>
    <row r="49" spans="1:17">
      <c r="B49" s="7"/>
      <c r="C49" s="7"/>
      <c r="D49" s="7"/>
      <c r="E49" s="7"/>
      <c r="F49" s="7"/>
      <c r="G49" s="7"/>
      <c r="H49" s="7"/>
      <c r="I49" s="7"/>
      <c r="J49" s="7"/>
      <c r="K49" s="6"/>
      <c r="L49" s="6"/>
      <c r="M49" s="6"/>
      <c r="N49" s="6"/>
      <c r="O49" s="6"/>
    </row>
    <row r="50" spans="1:17">
      <c r="A50" s="1" t="s">
        <v>53</v>
      </c>
      <c r="B50" s="12">
        <f t="shared" ref="B50:M50" si="13">+B13-B48</f>
        <v>-563897</v>
      </c>
      <c r="C50" s="12">
        <f t="shared" si="13"/>
        <v>-292069</v>
      </c>
      <c r="D50" s="12">
        <f t="shared" si="13"/>
        <v>1199348</v>
      </c>
      <c r="E50" s="12">
        <f t="shared" si="13"/>
        <v>583672</v>
      </c>
      <c r="F50" s="12">
        <f t="shared" si="13"/>
        <v>57590</v>
      </c>
      <c r="G50" s="12">
        <f t="shared" si="13"/>
        <v>-154854.41999999993</v>
      </c>
      <c r="H50" s="12">
        <f t="shared" si="13"/>
        <v>-150478</v>
      </c>
      <c r="I50" s="12">
        <f t="shared" si="13"/>
        <v>508740</v>
      </c>
      <c r="J50" s="12">
        <f t="shared" si="13"/>
        <v>-548761</v>
      </c>
      <c r="K50" s="12">
        <f t="shared" si="13"/>
        <v>276852</v>
      </c>
      <c r="L50" s="12">
        <f t="shared" si="13"/>
        <v>394367</v>
      </c>
      <c r="M50" s="12">
        <f t="shared" si="13"/>
        <v>-1122336</v>
      </c>
      <c r="N50" s="12">
        <f>SUM(B50:M50)</f>
        <v>188173.58000000007</v>
      </c>
      <c r="O50" s="6"/>
      <c r="P50" s="25"/>
    </row>
    <row r="51" spans="1:17" ht="7.5" customHeight="1">
      <c r="B51" s="7"/>
      <c r="C51" s="7"/>
      <c r="D51" s="7"/>
      <c r="E51" s="7"/>
      <c r="F51" s="7"/>
      <c r="G51" s="7"/>
      <c r="H51" s="7"/>
      <c r="I51" s="7"/>
      <c r="J51" s="7"/>
      <c r="K51" s="6"/>
      <c r="L51" s="6"/>
      <c r="M51" s="6"/>
      <c r="N51" s="6"/>
      <c r="O51" s="6"/>
    </row>
    <row r="52" spans="1:17">
      <c r="A52" s="1" t="s">
        <v>54</v>
      </c>
      <c r="B52" s="7"/>
      <c r="C52" s="7"/>
      <c r="D52" s="7"/>
      <c r="E52" s="7"/>
      <c r="F52" s="7"/>
      <c r="G52" s="7"/>
      <c r="H52" s="7"/>
      <c r="I52" s="7"/>
      <c r="J52" s="7"/>
      <c r="K52" s="6"/>
      <c r="L52" s="6"/>
      <c r="M52" s="6"/>
      <c r="N52" s="6"/>
      <c r="O52" s="6"/>
    </row>
    <row r="53" spans="1:17" s="6" customFormat="1">
      <c r="A53" s="6" t="s">
        <v>55</v>
      </c>
      <c r="B53" s="10">
        <v>101289</v>
      </c>
      <c r="C53" s="10">
        <v>230379</v>
      </c>
      <c r="D53" s="10">
        <v>5347</v>
      </c>
      <c r="E53" s="10">
        <f>740+15090+2192.65</f>
        <v>18022.650000000001</v>
      </c>
      <c r="F53" s="10">
        <v>85439</v>
      </c>
      <c r="G53" s="10">
        <v>23064</v>
      </c>
      <c r="H53" s="23">
        <v>15602</v>
      </c>
      <c r="I53" s="10">
        <v>68817</v>
      </c>
      <c r="J53" s="10">
        <v>7700</v>
      </c>
      <c r="K53" s="10">
        <v>8338</v>
      </c>
      <c r="L53" s="10">
        <v>243000</v>
      </c>
      <c r="M53" s="10">
        <v>275000</v>
      </c>
      <c r="N53" s="10">
        <f>SUM(B53:M53)</f>
        <v>1081997.6499999999</v>
      </c>
      <c r="P53" s="40"/>
    </row>
    <row r="54" spans="1:17" s="6" customFormat="1">
      <c r="A54" s="6" t="s">
        <v>96</v>
      </c>
      <c r="B54" s="10"/>
      <c r="C54" s="10"/>
      <c r="D54" s="10"/>
      <c r="E54" s="10"/>
      <c r="F54" s="10">
        <v>95000</v>
      </c>
      <c r="G54" s="10"/>
      <c r="H54" s="10"/>
      <c r="I54" s="10"/>
      <c r="J54" s="10"/>
      <c r="K54" s="10"/>
      <c r="L54" s="10"/>
      <c r="M54" s="10"/>
      <c r="N54" s="10">
        <f>SUM(B54:M54)</f>
        <v>95000</v>
      </c>
      <c r="P54" s="7"/>
      <c r="Q54" s="6">
        <v>0</v>
      </c>
    </row>
    <row r="55" spans="1:17" s="6" customFormat="1">
      <c r="A55" s="6" t="s">
        <v>97</v>
      </c>
      <c r="B55" s="10">
        <f>276228+184</f>
        <v>276412</v>
      </c>
      <c r="C55" s="10"/>
      <c r="D55" s="10"/>
      <c r="E55" s="10"/>
      <c r="F55" s="10"/>
      <c r="G55" s="10"/>
      <c r="H55" s="10"/>
      <c r="I55" s="10"/>
      <c r="J55" s="41">
        <v>-1160600</v>
      </c>
      <c r="K55" s="10"/>
      <c r="L55" s="10">
        <v>0</v>
      </c>
      <c r="M55" s="10">
        <v>0</v>
      </c>
      <c r="N55" s="10">
        <f>SUM(B55:M55)</f>
        <v>-884188</v>
      </c>
      <c r="P55" s="7"/>
    </row>
    <row r="56" spans="1:17" s="6" customFormat="1">
      <c r="A56" s="37" t="s">
        <v>58</v>
      </c>
      <c r="B56" s="7">
        <v>-12589</v>
      </c>
      <c r="C56" s="7">
        <v>-11612</v>
      </c>
      <c r="D56" s="7">
        <v>-12191</v>
      </c>
      <c r="E56" s="7">
        <v>-9918</v>
      </c>
      <c r="F56" s="7">
        <v>-8157</v>
      </c>
      <c r="G56" s="7">
        <v>-95705.42</v>
      </c>
      <c r="H56" s="10">
        <v>-9293</v>
      </c>
      <c r="I56" s="7">
        <v>-8523</v>
      </c>
      <c r="J56" s="7">
        <v>-12297</v>
      </c>
      <c r="K56" s="7">
        <v>-18474</v>
      </c>
      <c r="L56" s="7">
        <v>-12500</v>
      </c>
      <c r="M56" s="7">
        <v>-12500</v>
      </c>
      <c r="N56" s="7">
        <f>SUM(B56:M56)</f>
        <v>-223759.41999999998</v>
      </c>
      <c r="P56" s="56"/>
    </row>
    <row r="57" spans="1:17" s="6" customFormat="1">
      <c r="A57" s="6" t="s">
        <v>59</v>
      </c>
      <c r="B57" s="22">
        <v>-187388</v>
      </c>
      <c r="C57" s="22">
        <v>-40876</v>
      </c>
      <c r="D57" s="22">
        <v>-158851</v>
      </c>
      <c r="E57" s="22">
        <v>-155108</v>
      </c>
      <c r="F57" s="22">
        <v>-96958</v>
      </c>
      <c r="G57" s="22">
        <v>-18871.16</v>
      </c>
      <c r="H57" s="10">
        <v>-438304</v>
      </c>
      <c r="I57" s="22">
        <v>313386</v>
      </c>
      <c r="J57" s="22">
        <v>114169</v>
      </c>
      <c r="K57" s="22">
        <v>33076</v>
      </c>
      <c r="L57" s="22">
        <v>-25000</v>
      </c>
      <c r="M57" s="22">
        <v>-25000</v>
      </c>
      <c r="N57" s="22">
        <f>SUM(B57:M57)</f>
        <v>-685725.16000000015</v>
      </c>
      <c r="P57" s="56"/>
    </row>
    <row r="58" spans="1:17" s="6" customFormat="1">
      <c r="A58" s="13" t="s">
        <v>60</v>
      </c>
      <c r="B58" s="19">
        <f t="shared" ref="B58:N58" si="14">SUM(B53:B57)</f>
        <v>177724</v>
      </c>
      <c r="C58" s="19">
        <f t="shared" si="14"/>
        <v>177891</v>
      </c>
      <c r="D58" s="19">
        <f t="shared" si="14"/>
        <v>-165695</v>
      </c>
      <c r="E58" s="19">
        <f t="shared" si="14"/>
        <v>-147003.35</v>
      </c>
      <c r="F58" s="19">
        <f t="shared" si="14"/>
        <v>75324</v>
      </c>
      <c r="G58" s="19">
        <f t="shared" si="14"/>
        <v>-91512.58</v>
      </c>
      <c r="H58" s="19">
        <f>SUM(H53:H57)</f>
        <v>-431995</v>
      </c>
      <c r="I58" s="19">
        <f t="shared" si="14"/>
        <v>373680</v>
      </c>
      <c r="J58" s="19">
        <f t="shared" si="14"/>
        <v>-1051028</v>
      </c>
      <c r="K58" s="19">
        <f t="shared" si="14"/>
        <v>22940</v>
      </c>
      <c r="L58" s="19">
        <f t="shared" si="14"/>
        <v>205500</v>
      </c>
      <c r="M58" s="19">
        <f t="shared" si="14"/>
        <v>237500</v>
      </c>
      <c r="N58" s="19">
        <f t="shared" si="14"/>
        <v>-616674.93000000017</v>
      </c>
      <c r="O58" s="29"/>
      <c r="P58" s="40"/>
    </row>
    <row r="59" spans="1:17">
      <c r="B59" s="7"/>
      <c r="C59" s="7"/>
      <c r="D59" s="7"/>
      <c r="E59" s="7"/>
      <c r="F59" s="7"/>
      <c r="G59" s="7"/>
      <c r="H59" s="7"/>
      <c r="I59" s="7"/>
      <c r="J59" s="7"/>
      <c r="K59" s="7"/>
      <c r="L59" s="7"/>
      <c r="M59" s="7"/>
      <c r="N59" s="7"/>
      <c r="O59" s="6"/>
    </row>
    <row r="60" spans="1:17">
      <c r="A60" s="1" t="s">
        <v>61</v>
      </c>
      <c r="B60" s="12">
        <v>13373023</v>
      </c>
      <c r="C60" s="7"/>
      <c r="D60" s="7"/>
      <c r="E60" s="7"/>
      <c r="F60" s="7"/>
      <c r="G60" s="7"/>
      <c r="H60" s="7" t="s">
        <v>38</v>
      </c>
      <c r="I60" s="7"/>
      <c r="J60" s="7"/>
      <c r="K60" s="6"/>
      <c r="L60" s="6"/>
      <c r="M60" s="6"/>
      <c r="N60" s="6"/>
      <c r="O60" s="6"/>
    </row>
    <row r="61" spans="1:17">
      <c r="A61" s="13" t="s">
        <v>62</v>
      </c>
      <c r="B61" s="19">
        <f t="shared" ref="B61:N61" si="15">+B58+B48</f>
        <v>2001245</v>
      </c>
      <c r="C61" s="19">
        <f t="shared" si="15"/>
        <v>3043837</v>
      </c>
      <c r="D61" s="19">
        <f t="shared" si="15"/>
        <v>4505722</v>
      </c>
      <c r="E61" s="19">
        <f t="shared" si="15"/>
        <v>3356272.65</v>
      </c>
      <c r="F61" s="19">
        <f t="shared" si="15"/>
        <v>2555495</v>
      </c>
      <c r="G61" s="19">
        <f t="shared" si="15"/>
        <v>2657424.42</v>
      </c>
      <c r="H61" s="19">
        <f t="shared" si="15"/>
        <v>3186400</v>
      </c>
      <c r="I61" s="19">
        <f t="shared" si="15"/>
        <v>3540468</v>
      </c>
      <c r="J61" s="19">
        <f t="shared" si="15"/>
        <v>3113160</v>
      </c>
      <c r="K61" s="19">
        <f t="shared" si="15"/>
        <v>2923070</v>
      </c>
      <c r="L61" s="19">
        <f t="shared" si="15"/>
        <v>2959452</v>
      </c>
      <c r="M61" s="19">
        <f t="shared" si="15"/>
        <v>2938681</v>
      </c>
      <c r="N61" s="19">
        <f t="shared" si="15"/>
        <v>36781227.07</v>
      </c>
      <c r="O61" s="29"/>
      <c r="P61" s="25"/>
    </row>
    <row r="62" spans="1:17" ht="13.5" thickBot="1">
      <c r="A62" s="13" t="s">
        <v>63</v>
      </c>
      <c r="B62" s="30">
        <f t="shared" ref="B62:N62" si="16">+B13-B61</f>
        <v>-741621</v>
      </c>
      <c r="C62" s="30">
        <f t="shared" si="16"/>
        <v>-469960</v>
      </c>
      <c r="D62" s="30">
        <f t="shared" si="16"/>
        <v>1365043</v>
      </c>
      <c r="E62" s="30">
        <f t="shared" si="16"/>
        <v>730675.35000000009</v>
      </c>
      <c r="F62" s="30">
        <f t="shared" si="16"/>
        <v>-17734</v>
      </c>
      <c r="G62" s="30">
        <f t="shared" si="16"/>
        <v>-63341.839999999851</v>
      </c>
      <c r="H62" s="30">
        <f t="shared" si="16"/>
        <v>281517</v>
      </c>
      <c r="I62" s="30">
        <f t="shared" si="16"/>
        <v>135060</v>
      </c>
      <c r="J62" s="30">
        <f t="shared" si="16"/>
        <v>502267</v>
      </c>
      <c r="K62" s="30">
        <f t="shared" si="16"/>
        <v>253912</v>
      </c>
      <c r="L62" s="14">
        <f t="shared" si="16"/>
        <v>188867</v>
      </c>
      <c r="M62" s="14">
        <f t="shared" si="16"/>
        <v>-1359836</v>
      </c>
      <c r="N62" s="14">
        <f t="shared" si="16"/>
        <v>804848.50999999791</v>
      </c>
      <c r="O62" s="29"/>
      <c r="P62" s="25"/>
    </row>
    <row r="63" spans="1:17" s="6" customFormat="1" ht="13.5" thickTop="1">
      <c r="A63" s="13" t="s">
        <v>64</v>
      </c>
      <c r="B63" s="32">
        <f>+B62</f>
        <v>-741621</v>
      </c>
      <c r="C63" s="32">
        <f t="shared" ref="C63:M63" si="17">B63+C62</f>
        <v>-1211581</v>
      </c>
      <c r="D63" s="32">
        <f t="shared" si="17"/>
        <v>153462</v>
      </c>
      <c r="E63" s="32">
        <f t="shared" si="17"/>
        <v>884137.35000000009</v>
      </c>
      <c r="F63" s="32">
        <f t="shared" si="17"/>
        <v>866403.35000000009</v>
      </c>
      <c r="G63" s="32">
        <f t="shared" si="17"/>
        <v>803061.51000000024</v>
      </c>
      <c r="H63" s="32">
        <f t="shared" si="17"/>
        <v>1084578.5100000002</v>
      </c>
      <c r="I63" s="32">
        <f t="shared" si="17"/>
        <v>1219638.5100000002</v>
      </c>
      <c r="J63" s="32">
        <f t="shared" si="17"/>
        <v>1721905.5100000002</v>
      </c>
      <c r="K63" s="32">
        <f t="shared" si="17"/>
        <v>1975817.5100000002</v>
      </c>
      <c r="L63" s="12">
        <f t="shared" si="17"/>
        <v>2164684.5100000002</v>
      </c>
      <c r="M63" s="12">
        <f t="shared" si="17"/>
        <v>804848.51000000024</v>
      </c>
      <c r="N63" s="12"/>
    </row>
    <row r="64" spans="1:17">
      <c r="A64" s="13" t="s">
        <v>65</v>
      </c>
      <c r="B64" s="12">
        <f t="shared" ref="B64:M64" si="18">+$B$60+B63</f>
        <v>12631402</v>
      </c>
      <c r="C64" s="12">
        <f t="shared" si="18"/>
        <v>12161442</v>
      </c>
      <c r="D64" s="12">
        <f t="shared" si="18"/>
        <v>13526485</v>
      </c>
      <c r="E64" s="12">
        <f t="shared" si="18"/>
        <v>14257160.35</v>
      </c>
      <c r="F64" s="12">
        <f t="shared" si="18"/>
        <v>14239426.35</v>
      </c>
      <c r="G64" s="12">
        <f t="shared" si="18"/>
        <v>14176084.51</v>
      </c>
      <c r="H64" s="12">
        <f t="shared" si="18"/>
        <v>14457601.51</v>
      </c>
      <c r="I64" s="12">
        <f t="shared" si="18"/>
        <v>14592661.51</v>
      </c>
      <c r="J64" s="12">
        <f t="shared" si="18"/>
        <v>15094928.51</v>
      </c>
      <c r="K64" s="12">
        <f t="shared" si="18"/>
        <v>15348840.51</v>
      </c>
      <c r="L64" s="12">
        <f t="shared" si="18"/>
        <v>15537707.51</v>
      </c>
      <c r="M64" s="12">
        <f t="shared" si="18"/>
        <v>14177871.51</v>
      </c>
      <c r="N64" s="12"/>
      <c r="O64" s="6"/>
      <c r="P64" s="29"/>
    </row>
    <row r="65" spans="1:16">
      <c r="A65" s="6"/>
      <c r="B65" s="7"/>
      <c r="C65" s="7"/>
      <c r="D65" s="7"/>
      <c r="E65" s="7"/>
      <c r="F65" s="7"/>
      <c r="G65" s="7"/>
      <c r="H65" s="7"/>
      <c r="I65" s="7"/>
      <c r="J65" s="7"/>
      <c r="K65" s="6"/>
      <c r="L65" s="6"/>
      <c r="M65" s="6"/>
      <c r="N65" s="6"/>
      <c r="O65" s="6"/>
    </row>
    <row r="66" spans="1:16" s="6" customFormat="1">
      <c r="A66" s="17" t="s">
        <v>94</v>
      </c>
      <c r="B66" s="18"/>
      <c r="C66" s="18"/>
      <c r="D66" s="18"/>
      <c r="E66" s="18"/>
      <c r="F66" s="18"/>
      <c r="G66" s="18"/>
      <c r="H66" s="18"/>
      <c r="I66" s="18"/>
      <c r="J66" s="18"/>
      <c r="K66" s="18"/>
      <c r="L66" s="18"/>
      <c r="M66" s="18"/>
      <c r="N66" s="18"/>
    </row>
    <row r="67" spans="1:16" ht="13.5" thickBot="1">
      <c r="A67" s="13" t="s">
        <v>67</v>
      </c>
      <c r="B67" s="14">
        <v>-968259</v>
      </c>
      <c r="C67" s="14">
        <v>165657</v>
      </c>
      <c r="D67" s="14">
        <v>1175481</v>
      </c>
      <c r="E67" s="14">
        <v>388022</v>
      </c>
      <c r="F67" s="14">
        <v>-191039</v>
      </c>
      <c r="G67" s="14">
        <v>96436</v>
      </c>
      <c r="H67" s="14">
        <v>-114280</v>
      </c>
      <c r="I67" s="14">
        <v>316290</v>
      </c>
      <c r="J67" s="14">
        <v>629469</v>
      </c>
      <c r="K67" s="14">
        <v>-20889</v>
      </c>
      <c r="L67" s="14">
        <v>188867</v>
      </c>
      <c r="M67" s="14">
        <v>-1359836</v>
      </c>
      <c r="N67" s="16"/>
      <c r="O67" s="6"/>
    </row>
    <row r="68" spans="1:16" ht="13.5" thickTop="1">
      <c r="A68" s="13" t="s">
        <v>64</v>
      </c>
      <c r="B68" s="12">
        <f>+B67</f>
        <v>-968259</v>
      </c>
      <c r="C68" s="12">
        <f>+B68+C67</f>
        <v>-802602</v>
      </c>
      <c r="D68" s="12">
        <f t="shared" ref="D68:M68" si="19">+C68+D67</f>
        <v>372879</v>
      </c>
      <c r="E68" s="12">
        <f t="shared" si="19"/>
        <v>760901</v>
      </c>
      <c r="F68" s="12">
        <f t="shared" si="19"/>
        <v>569862</v>
      </c>
      <c r="G68" s="12">
        <f t="shared" si="19"/>
        <v>666298</v>
      </c>
      <c r="H68" s="12">
        <f t="shared" si="19"/>
        <v>552018</v>
      </c>
      <c r="I68" s="12">
        <f t="shared" si="19"/>
        <v>868308</v>
      </c>
      <c r="J68" s="12">
        <f t="shared" si="19"/>
        <v>1497777</v>
      </c>
      <c r="K68" s="12">
        <f t="shared" si="19"/>
        <v>1476888</v>
      </c>
      <c r="L68" s="12">
        <f t="shared" si="19"/>
        <v>1665755</v>
      </c>
      <c r="M68" s="12">
        <f t="shared" si="19"/>
        <v>305919</v>
      </c>
      <c r="N68" s="16"/>
      <c r="O68" s="6"/>
    </row>
    <row r="69" spans="1:16">
      <c r="A69" s="13" t="s">
        <v>65</v>
      </c>
      <c r="B69" s="12">
        <v>10066787.80069958</v>
      </c>
      <c r="C69" s="12">
        <v>10474885.82712047</v>
      </c>
      <c r="D69" s="12">
        <v>11546728.467384296</v>
      </c>
      <c r="E69" s="12">
        <v>11992721.928639133</v>
      </c>
      <c r="F69" s="12">
        <v>11726972.321587943</v>
      </c>
      <c r="G69" s="12">
        <v>11337269.706012141</v>
      </c>
      <c r="H69" s="12">
        <v>11322908.797641888</v>
      </c>
      <c r="I69" s="12">
        <v>11526789.393104676</v>
      </c>
      <c r="J69" s="12">
        <v>11837705.668475684</v>
      </c>
      <c r="K69" s="12">
        <v>12021264.778665379</v>
      </c>
      <c r="L69" s="12">
        <v>12475612.568366794</v>
      </c>
      <c r="M69" s="12">
        <v>11197948.23476476</v>
      </c>
      <c r="N69" s="12"/>
      <c r="O69" s="6"/>
    </row>
    <row r="70" spans="1:16">
      <c r="A70" s="6"/>
      <c r="B70" s="6"/>
      <c r="C70" s="6"/>
      <c r="D70" s="6"/>
      <c r="E70" s="6"/>
      <c r="F70" s="6"/>
      <c r="H70" s="6"/>
      <c r="I70" s="6"/>
      <c r="J70" s="6"/>
      <c r="K70" s="6"/>
      <c r="L70" s="6"/>
      <c r="M70" s="6"/>
      <c r="N70" s="6"/>
      <c r="O70" s="6"/>
    </row>
    <row r="71" spans="1:16">
      <c r="A71" s="24" t="s">
        <v>68</v>
      </c>
      <c r="B71" s="18"/>
      <c r="C71" s="18"/>
      <c r="D71" s="18"/>
      <c r="E71" s="18"/>
      <c r="F71" s="18"/>
      <c r="G71" s="18"/>
      <c r="H71" s="18"/>
      <c r="I71" s="18"/>
      <c r="J71" s="18"/>
      <c r="K71" s="18"/>
      <c r="L71" s="18"/>
      <c r="M71" s="18"/>
      <c r="N71" s="18"/>
      <c r="O71" s="6"/>
    </row>
    <row r="72" spans="1:16">
      <c r="A72" s="13" t="s">
        <v>63</v>
      </c>
      <c r="B72" s="31">
        <f t="shared" ref="B72:N74" si="20">+B62-B67</f>
        <v>226638</v>
      </c>
      <c r="C72" s="31">
        <f t="shared" si="20"/>
        <v>-635617</v>
      </c>
      <c r="D72" s="31">
        <f t="shared" si="20"/>
        <v>189562</v>
      </c>
      <c r="E72" s="31">
        <f t="shared" si="20"/>
        <v>342653.35000000009</v>
      </c>
      <c r="F72" s="31">
        <f t="shared" si="20"/>
        <v>173305</v>
      </c>
      <c r="G72" s="31">
        <f t="shared" si="20"/>
        <v>-159777.83999999985</v>
      </c>
      <c r="H72" s="31">
        <f t="shared" si="20"/>
        <v>395797</v>
      </c>
      <c r="I72" s="31">
        <f t="shared" si="20"/>
        <v>-181230</v>
      </c>
      <c r="J72" s="31">
        <f t="shared" si="20"/>
        <v>-127202</v>
      </c>
      <c r="K72" s="16">
        <f t="shared" si="20"/>
        <v>274801</v>
      </c>
      <c r="L72" s="16">
        <f t="shared" si="20"/>
        <v>0</v>
      </c>
      <c r="M72" s="16">
        <f t="shared" si="20"/>
        <v>0</v>
      </c>
      <c r="N72" s="6"/>
      <c r="O72" s="6"/>
      <c r="P72" s="16">
        <f>+N62-N67</f>
        <v>804848.50999999791</v>
      </c>
    </row>
    <row r="73" spans="1:16" s="6" customFormat="1">
      <c r="A73" s="13" t="s">
        <v>64</v>
      </c>
      <c r="B73" s="31">
        <f t="shared" si="20"/>
        <v>226638</v>
      </c>
      <c r="C73" s="31">
        <f t="shared" si="20"/>
        <v>-408979</v>
      </c>
      <c r="D73" s="31">
        <f t="shared" si="20"/>
        <v>-219417</v>
      </c>
      <c r="E73" s="31">
        <f t="shared" si="20"/>
        <v>123236.35000000009</v>
      </c>
      <c r="F73" s="31">
        <f t="shared" si="20"/>
        <v>296541.35000000009</v>
      </c>
      <c r="G73" s="31">
        <f t="shared" si="20"/>
        <v>136763.51000000024</v>
      </c>
      <c r="H73" s="31">
        <f t="shared" si="20"/>
        <v>532560.51000000024</v>
      </c>
      <c r="I73" s="31">
        <f t="shared" si="20"/>
        <v>351330.51000000024</v>
      </c>
      <c r="J73" s="31">
        <f t="shared" si="20"/>
        <v>224128.51000000024</v>
      </c>
      <c r="K73" s="16">
        <f t="shared" si="20"/>
        <v>498929.51000000024</v>
      </c>
      <c r="L73" s="16">
        <f t="shared" si="20"/>
        <v>498929.51000000024</v>
      </c>
      <c r="M73" s="16">
        <f t="shared" si="20"/>
        <v>498929.51000000024</v>
      </c>
      <c r="N73" s="16">
        <f t="shared" si="20"/>
        <v>0</v>
      </c>
    </row>
    <row r="74" spans="1:16">
      <c r="A74" s="1" t="s">
        <v>65</v>
      </c>
      <c r="B74" s="16">
        <f t="shared" si="20"/>
        <v>2564614.1993004195</v>
      </c>
      <c r="C74" s="16">
        <f t="shared" si="20"/>
        <v>1686556.1728795301</v>
      </c>
      <c r="D74" s="16">
        <f t="shared" si="20"/>
        <v>1979756.5326157045</v>
      </c>
      <c r="E74" s="16">
        <f t="shared" si="20"/>
        <v>2264438.4213608671</v>
      </c>
      <c r="F74" s="16">
        <f t="shared" si="20"/>
        <v>2512454.0284120571</v>
      </c>
      <c r="G74" s="16">
        <f t="shared" si="20"/>
        <v>2838814.8039878588</v>
      </c>
      <c r="H74" s="16">
        <f t="shared" si="20"/>
        <v>3134692.7123581115</v>
      </c>
      <c r="I74" s="16">
        <f t="shared" si="20"/>
        <v>3065872.1168953236</v>
      </c>
      <c r="J74" s="16">
        <f t="shared" si="20"/>
        <v>3257222.841524316</v>
      </c>
      <c r="K74" s="16">
        <f t="shared" si="20"/>
        <v>3327575.7313346211</v>
      </c>
      <c r="L74" s="16">
        <f t="shared" si="20"/>
        <v>3062094.9416332059</v>
      </c>
      <c r="M74" s="16">
        <f t="shared" si="20"/>
        <v>2979923.2752352394</v>
      </c>
      <c r="N74" s="16"/>
      <c r="O74" s="6"/>
    </row>
    <row r="75" spans="1:16">
      <c r="B75" s="6"/>
      <c r="C75" s="6"/>
      <c r="D75" s="6"/>
      <c r="E75" s="6"/>
      <c r="F75" s="6"/>
      <c r="H75" s="6"/>
      <c r="I75" s="6"/>
      <c r="J75" s="6"/>
      <c r="K75" s="6"/>
      <c r="L75" s="6"/>
      <c r="M75" s="6"/>
      <c r="N75" s="6"/>
    </row>
    <row r="76" spans="1:16">
      <c r="A76" s="1"/>
      <c r="B76" s="4"/>
      <c r="C76" s="8"/>
      <c r="D76" s="8"/>
      <c r="E76" s="8"/>
      <c r="F76" s="8"/>
      <c r="H76" s="20"/>
      <c r="J76" s="6"/>
      <c r="K76" s="6"/>
    </row>
    <row r="77" spans="1:16">
      <c r="A77" s="1"/>
      <c r="B77" s="4"/>
      <c r="C77" s="8"/>
      <c r="D77" s="8"/>
      <c r="E77" s="8"/>
      <c r="F77" s="8"/>
      <c r="H77" s="20"/>
      <c r="J77" s="6"/>
    </row>
    <row r="78" spans="1:16">
      <c r="A78" s="1"/>
      <c r="B78" s="4"/>
      <c r="D78" s="8"/>
      <c r="E78" s="8"/>
      <c r="F78" s="8"/>
      <c r="H78" s="61"/>
      <c r="J78" s="6"/>
    </row>
    <row r="79" spans="1:16">
      <c r="E79" s="6"/>
      <c r="H79" s="20"/>
      <c r="J79" s="6"/>
      <c r="N79" s="25"/>
    </row>
    <row r="80" spans="1:16">
      <c r="A80" t="s">
        <v>69</v>
      </c>
      <c r="B80" t="s">
        <v>69</v>
      </c>
      <c r="C80" t="s">
        <v>69</v>
      </c>
      <c r="D80" t="s">
        <v>69</v>
      </c>
      <c r="E80" s="6" t="s">
        <v>69</v>
      </c>
      <c r="F80" t="s">
        <v>69</v>
      </c>
      <c r="G80" s="6" t="s">
        <v>69</v>
      </c>
      <c r="H80" t="s">
        <v>69</v>
      </c>
      <c r="I80" t="s">
        <v>69</v>
      </c>
      <c r="J80" s="6" t="s">
        <v>69</v>
      </c>
      <c r="K80" t="s">
        <v>69</v>
      </c>
      <c r="L80" t="s">
        <v>69</v>
      </c>
      <c r="M80" t="s">
        <v>69</v>
      </c>
      <c r="N80" t="s">
        <v>69</v>
      </c>
    </row>
    <row r="81" spans="1:14">
      <c r="E81" s="6"/>
      <c r="J81" s="6"/>
    </row>
    <row r="82" spans="1:14">
      <c r="A82" s="33" t="s">
        <v>70</v>
      </c>
      <c r="B82" s="47">
        <v>52000</v>
      </c>
      <c r="C82" s="47">
        <v>20000</v>
      </c>
      <c r="D82" s="47">
        <v>10000</v>
      </c>
      <c r="E82" s="47">
        <v>44355</v>
      </c>
      <c r="F82" s="47">
        <v>186840</v>
      </c>
      <c r="G82" s="10">
        <v>202000</v>
      </c>
      <c r="H82" s="54">
        <v>197000</v>
      </c>
      <c r="I82" s="47">
        <v>142000</v>
      </c>
      <c r="J82" s="47">
        <v>119000</v>
      </c>
      <c r="K82" s="47">
        <v>0</v>
      </c>
      <c r="L82" s="47">
        <v>0</v>
      </c>
      <c r="M82" s="47">
        <v>455000</v>
      </c>
      <c r="N82" s="7">
        <v>1428195</v>
      </c>
    </row>
    <row r="83" spans="1:14">
      <c r="A83" s="33" t="s">
        <v>71</v>
      </c>
      <c r="B83" s="2">
        <f>+B82</f>
        <v>52000</v>
      </c>
      <c r="C83" s="2">
        <f>+B83+C82</f>
        <v>72000</v>
      </c>
      <c r="D83" s="2">
        <f t="shared" ref="D83:M83" si="21">+C83+D82</f>
        <v>82000</v>
      </c>
      <c r="E83" s="7">
        <f t="shared" si="21"/>
        <v>126355</v>
      </c>
      <c r="F83" s="2">
        <f t="shared" si="21"/>
        <v>313195</v>
      </c>
      <c r="G83" s="7">
        <f t="shared" si="21"/>
        <v>515195</v>
      </c>
      <c r="H83" s="2">
        <f t="shared" si="21"/>
        <v>712195</v>
      </c>
      <c r="I83" s="2">
        <f t="shared" si="21"/>
        <v>854195</v>
      </c>
      <c r="J83" s="7">
        <f t="shared" si="21"/>
        <v>973195</v>
      </c>
      <c r="K83" s="2">
        <f t="shared" si="21"/>
        <v>973195</v>
      </c>
      <c r="L83" s="2">
        <f t="shared" si="21"/>
        <v>973195</v>
      </c>
      <c r="M83" s="2">
        <f t="shared" si="21"/>
        <v>1428195</v>
      </c>
    </row>
    <row r="84" spans="1:14">
      <c r="A84" s="33" t="s">
        <v>72</v>
      </c>
      <c r="B84" s="7">
        <f>+B53</f>
        <v>101289</v>
      </c>
      <c r="C84" s="7">
        <f>SUM($B53:C53)</f>
        <v>331668</v>
      </c>
      <c r="D84" s="7">
        <f>SUM($B53:D53)</f>
        <v>337015</v>
      </c>
      <c r="E84" s="7">
        <f>SUM($B53:E53)</f>
        <v>355037.65</v>
      </c>
      <c r="F84" s="7">
        <f>SUM($B53:F53)</f>
        <v>440476.65</v>
      </c>
      <c r="G84" s="7">
        <f>SUM($B53:G53)</f>
        <v>463540.65</v>
      </c>
      <c r="H84" s="7">
        <f>SUM(B53:H53)</f>
        <v>479142.65</v>
      </c>
      <c r="I84" s="7">
        <f>SUM(B53:I53)</f>
        <v>547959.65</v>
      </c>
      <c r="J84" s="7">
        <f>SUM(B53:J53)</f>
        <v>555659.65</v>
      </c>
      <c r="K84" s="7">
        <f>SUM(B53:K53)</f>
        <v>563997.65</v>
      </c>
      <c r="L84" s="7">
        <f>SUM(B53:L53)</f>
        <v>806997.65</v>
      </c>
      <c r="M84" s="7">
        <f>SUM(B53:M53)</f>
        <v>1081997.6499999999</v>
      </c>
    </row>
    <row r="85" spans="1:14">
      <c r="A85" s="33" t="s">
        <v>73</v>
      </c>
      <c r="B85" s="7">
        <f t="shared" ref="B85:G85" si="22">+B83-B84</f>
        <v>-49289</v>
      </c>
      <c r="C85" s="7">
        <f t="shared" si="22"/>
        <v>-259668</v>
      </c>
      <c r="D85" s="7">
        <f t="shared" si="22"/>
        <v>-255015</v>
      </c>
      <c r="E85" s="7">
        <f t="shared" si="22"/>
        <v>-228682.65000000002</v>
      </c>
      <c r="F85" s="7">
        <f t="shared" si="22"/>
        <v>-127281.65000000002</v>
      </c>
      <c r="G85" s="7">
        <f t="shared" si="22"/>
        <v>51654.349999999977</v>
      </c>
      <c r="H85" s="7">
        <f t="shared" ref="H85:M85" si="23">+H83-H84</f>
        <v>233052.34999999998</v>
      </c>
      <c r="I85" s="7">
        <f t="shared" si="23"/>
        <v>306235.34999999998</v>
      </c>
      <c r="J85" s="7">
        <f t="shared" si="23"/>
        <v>417535.35</v>
      </c>
      <c r="K85" s="7">
        <f t="shared" si="23"/>
        <v>409197.35</v>
      </c>
      <c r="L85" s="7">
        <f t="shared" si="23"/>
        <v>166197.34999999998</v>
      </c>
      <c r="M85" s="7">
        <f t="shared" si="23"/>
        <v>346197.35000000009</v>
      </c>
    </row>
    <row r="86" spans="1:14">
      <c r="J86" s="6"/>
      <c r="K86" s="6"/>
    </row>
    <row r="87" spans="1:14">
      <c r="A87" t="s">
        <v>74</v>
      </c>
      <c r="B87" s="35">
        <f>-B56-B57</f>
        <v>199977</v>
      </c>
      <c r="C87" s="35">
        <f t="shared" ref="C87:N87" si="24">-C56-C57</f>
        <v>52488</v>
      </c>
      <c r="D87" s="35">
        <f t="shared" si="24"/>
        <v>171042</v>
      </c>
      <c r="E87" s="35">
        <f t="shared" si="24"/>
        <v>165026</v>
      </c>
      <c r="F87" s="35">
        <f t="shared" si="24"/>
        <v>105115</v>
      </c>
      <c r="G87" s="40">
        <f t="shared" si="24"/>
        <v>114576.58</v>
      </c>
      <c r="H87" s="40">
        <f t="shared" si="24"/>
        <v>447597</v>
      </c>
      <c r="I87" s="35">
        <f t="shared" si="24"/>
        <v>-304863</v>
      </c>
      <c r="J87" s="35">
        <f t="shared" si="24"/>
        <v>-101872</v>
      </c>
      <c r="K87" s="40">
        <f t="shared" si="24"/>
        <v>-14602</v>
      </c>
      <c r="L87" s="35">
        <f t="shared" si="24"/>
        <v>37500</v>
      </c>
      <c r="M87" s="35">
        <f t="shared" si="24"/>
        <v>37500</v>
      </c>
      <c r="N87" s="35">
        <f t="shared" si="24"/>
        <v>909484.58000000007</v>
      </c>
    </row>
    <row r="88" spans="1:14">
      <c r="C88" s="35">
        <f>+B87+C87</f>
        <v>252465</v>
      </c>
      <c r="D88" s="35">
        <f>+C88+D87</f>
        <v>423507</v>
      </c>
      <c r="E88" s="35">
        <f t="shared" ref="E88:M88" si="25">+D88+E87</f>
        <v>588533</v>
      </c>
      <c r="F88" s="35">
        <f t="shared" si="25"/>
        <v>693648</v>
      </c>
      <c r="G88" s="40">
        <f t="shared" si="25"/>
        <v>808224.58</v>
      </c>
      <c r="H88" s="35">
        <f t="shared" si="25"/>
        <v>1255821.58</v>
      </c>
      <c r="I88" s="40">
        <f t="shared" si="25"/>
        <v>950958.58000000007</v>
      </c>
      <c r="J88" s="40">
        <f t="shared" si="25"/>
        <v>849086.58000000007</v>
      </c>
      <c r="K88" s="40">
        <f t="shared" si="25"/>
        <v>834484.58000000007</v>
      </c>
      <c r="L88" s="35">
        <f t="shared" si="25"/>
        <v>871984.58000000007</v>
      </c>
      <c r="M88" s="35">
        <f t="shared" si="25"/>
        <v>909484.58000000007</v>
      </c>
    </row>
    <row r="89" spans="1:14">
      <c r="B89" s="6"/>
      <c r="C89" s="6"/>
      <c r="D89" s="6"/>
      <c r="E89" s="6"/>
    </row>
    <row r="90" spans="1:14">
      <c r="B90" s="6"/>
      <c r="C90" s="6"/>
      <c r="D90" s="21"/>
      <c r="E90" s="6"/>
    </row>
    <row r="91" spans="1:14">
      <c r="B91" s="6"/>
      <c r="C91" s="6"/>
      <c r="D91" s="6"/>
      <c r="E91" s="6"/>
    </row>
    <row r="92" spans="1:14">
      <c r="B92" s="70">
        <v>78554</v>
      </c>
      <c r="C92" s="70">
        <v>78293</v>
      </c>
      <c r="D92" s="70">
        <v>79025</v>
      </c>
      <c r="E92" s="70">
        <v>81090</v>
      </c>
      <c r="F92" s="71">
        <v>81090</v>
      </c>
      <c r="G92" s="70">
        <v>81079</v>
      </c>
      <c r="H92" s="71">
        <v>89229</v>
      </c>
      <c r="I92" s="71">
        <v>88964</v>
      </c>
      <c r="J92" s="71">
        <v>88964</v>
      </c>
      <c r="K92" s="71">
        <v>88563</v>
      </c>
      <c r="L92" s="71">
        <v>97279</v>
      </c>
      <c r="M92" s="71">
        <v>97277</v>
      </c>
    </row>
    <row r="93" spans="1:14">
      <c r="B93" s="6">
        <f>+B92*-1</f>
        <v>-78554</v>
      </c>
      <c r="C93" s="6">
        <f t="shared" ref="C93:M93" si="26">+C92*-1</f>
        <v>-78293</v>
      </c>
      <c r="D93" s="6">
        <f t="shared" si="26"/>
        <v>-79025</v>
      </c>
      <c r="E93" s="6">
        <f t="shared" si="26"/>
        <v>-81090</v>
      </c>
      <c r="F93" s="6">
        <f t="shared" si="26"/>
        <v>-81090</v>
      </c>
      <c r="G93" s="6">
        <f t="shared" si="26"/>
        <v>-81079</v>
      </c>
      <c r="H93" s="6">
        <f t="shared" si="26"/>
        <v>-89229</v>
      </c>
      <c r="I93" s="6">
        <f t="shared" si="26"/>
        <v>-88964</v>
      </c>
      <c r="J93" s="6">
        <f t="shared" si="26"/>
        <v>-88964</v>
      </c>
      <c r="K93" s="6">
        <f t="shared" si="26"/>
        <v>-88563</v>
      </c>
      <c r="L93" s="6">
        <f t="shared" si="26"/>
        <v>-97279</v>
      </c>
      <c r="M93" s="6">
        <f t="shared" si="26"/>
        <v>-97277</v>
      </c>
    </row>
    <row r="94" spans="1:14">
      <c r="B94" s="6"/>
      <c r="C94" s="6"/>
      <c r="D94" s="34"/>
      <c r="E94" s="6"/>
    </row>
    <row r="95" spans="1:14">
      <c r="B95" s="6"/>
      <c r="C95" s="6"/>
      <c r="D95" s="6"/>
      <c r="E95" s="6"/>
    </row>
    <row r="96" spans="1:14">
      <c r="B96" s="6"/>
      <c r="C96" s="6"/>
      <c r="D96" s="6"/>
      <c r="E96" s="6"/>
    </row>
    <row r="97" spans="7:9">
      <c r="G97" s="6">
        <v>95705.42</v>
      </c>
      <c r="I97">
        <v>18871.16</v>
      </c>
    </row>
  </sheetData>
  <pageMargins left="0.28000000000000003" right="0.25" top="0.99" bottom="0.75" header="0.63" footer="0.23"/>
  <pageSetup scale="61" orientation="landscape" r:id="rId1"/>
  <headerFooter alignWithMargins="0">
    <oddHeader xml:space="preserve">&amp;C&amp;"Arial,Bold"&amp;11 49ER SHOPS, INC.
&amp;UFY2017/2018 OPERATIONAL CASH FLOW </oddHeader>
    <oddFooter>&amp;CCash Flow - FY2017/2018
April 2018</oddFooter>
  </headerFooter>
  <legacyDrawing r:id="rId2"/>
</worksheet>
</file>

<file path=xl/worksheets/sheet2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FF00"/>
    <pageSetUpPr fitToPage="1"/>
  </sheetPr>
  <dimension ref="A1:AR97"/>
  <sheetViews>
    <sheetView showGridLines="0" topLeftCell="A45" zoomScale="60" zoomScaleNormal="60" workbookViewId="0">
      <selection activeCell="D77" sqref="D77"/>
    </sheetView>
  </sheetViews>
  <sheetFormatPr defaultRowHeight="12.75"/>
  <cols>
    <col min="1" max="1" width="35.42578125" customWidth="1"/>
    <col min="2" max="2" width="14" customWidth="1"/>
    <col min="3" max="3" width="12.5703125" customWidth="1"/>
    <col min="4" max="4" width="14" customWidth="1"/>
    <col min="5" max="5" width="13.5703125" customWidth="1"/>
    <col min="6" max="6" width="12.85546875" customWidth="1"/>
    <col min="7" max="7" width="12.5703125" style="6" customWidth="1"/>
    <col min="8" max="9" width="12.85546875" customWidth="1"/>
    <col min="10" max="10" width="13.85546875" customWidth="1"/>
    <col min="11" max="11" width="14.42578125" customWidth="1"/>
    <col min="12" max="13" width="12.85546875" customWidth="1"/>
    <col min="14" max="14" width="12.85546875" bestFit="1" customWidth="1"/>
    <col min="15" max="15" width="12.42578125" bestFit="1" customWidth="1"/>
    <col min="16" max="16" width="13.140625" bestFit="1" customWidth="1"/>
  </cols>
  <sheetData>
    <row r="1" spans="1:15" ht="13.5" thickBot="1">
      <c r="A1" s="46" t="s">
        <v>109</v>
      </c>
      <c r="E1" s="6"/>
      <c r="F1" s="6"/>
      <c r="J1" s="6"/>
      <c r="K1" s="6"/>
      <c r="N1" s="3"/>
    </row>
    <row r="2" spans="1:15">
      <c r="B2" s="45" t="s">
        <v>24</v>
      </c>
      <c r="C2" s="45" t="s">
        <v>24</v>
      </c>
      <c r="D2" s="45" t="s">
        <v>24</v>
      </c>
      <c r="E2" s="45" t="s">
        <v>24</v>
      </c>
      <c r="F2" s="45" t="s">
        <v>24</v>
      </c>
      <c r="G2" s="45" t="s">
        <v>24</v>
      </c>
      <c r="H2" s="45" t="s">
        <v>24</v>
      </c>
      <c r="I2" s="45" t="s">
        <v>24</v>
      </c>
      <c r="J2" s="45" t="s">
        <v>24</v>
      </c>
      <c r="K2" s="45" t="s">
        <v>24</v>
      </c>
      <c r="L2" s="45" t="s">
        <v>24</v>
      </c>
      <c r="M2" s="48" t="s">
        <v>76</v>
      </c>
      <c r="N2" s="28" t="s">
        <v>25</v>
      </c>
    </row>
    <row r="3" spans="1:15" s="5" customFormat="1">
      <c r="B3" s="11">
        <v>42918</v>
      </c>
      <c r="C3" s="11">
        <v>42949</v>
      </c>
      <c r="D3" s="11">
        <v>42980</v>
      </c>
      <c r="E3" s="11">
        <v>43010</v>
      </c>
      <c r="F3" s="11">
        <v>43041</v>
      </c>
      <c r="G3" s="11">
        <v>43071</v>
      </c>
      <c r="H3" s="11">
        <v>43102</v>
      </c>
      <c r="I3" s="11">
        <v>43133</v>
      </c>
      <c r="J3" s="11">
        <v>43161</v>
      </c>
      <c r="K3" s="11">
        <v>43192</v>
      </c>
      <c r="L3" s="11">
        <v>43222</v>
      </c>
      <c r="M3" s="11">
        <v>43253</v>
      </c>
      <c r="N3" s="57" t="s">
        <v>100</v>
      </c>
    </row>
    <row r="4" spans="1:15" hidden="1">
      <c r="A4" s="1" t="s">
        <v>27</v>
      </c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>
        <f>SUM(B4:M4)</f>
        <v>0</v>
      </c>
      <c r="O4" s="29"/>
    </row>
    <row r="5" spans="1:15" s="6" customFormat="1" hidden="1">
      <c r="A5" s="6" t="s">
        <v>28</v>
      </c>
      <c r="B5" s="53">
        <v>1102036</v>
      </c>
      <c r="C5" s="53">
        <v>2503975</v>
      </c>
      <c r="D5" s="53">
        <v>5591236</v>
      </c>
      <c r="E5" s="53">
        <v>3997731</v>
      </c>
      <c r="F5" s="53">
        <v>2408043</v>
      </c>
      <c r="G5" s="53">
        <v>2520652</v>
      </c>
      <c r="H5" s="53">
        <v>3392954</v>
      </c>
      <c r="I5" s="53">
        <v>3526195</v>
      </c>
      <c r="J5" s="53">
        <v>3275212</v>
      </c>
      <c r="K5" s="53">
        <v>3101717</v>
      </c>
      <c r="L5" s="53">
        <v>2775087</v>
      </c>
      <c r="M5" s="53">
        <v>1460406</v>
      </c>
      <c r="N5" s="12">
        <f>SUM(B5:M5)</f>
        <v>35655244</v>
      </c>
      <c r="O5" s="29"/>
    </row>
    <row r="6" spans="1:15" s="6" customFormat="1" hidden="1">
      <c r="A6" s="6" t="s">
        <v>29</v>
      </c>
      <c r="B6" s="53">
        <v>70448</v>
      </c>
      <c r="C6" s="53">
        <v>71234</v>
      </c>
      <c r="D6" s="53">
        <v>278603</v>
      </c>
      <c r="E6" s="53">
        <v>67286</v>
      </c>
      <c r="F6" s="53">
        <v>128754</v>
      </c>
      <c r="G6" s="53">
        <v>72857</v>
      </c>
      <c r="H6" s="53">
        <v>74941</v>
      </c>
      <c r="I6" s="53">
        <v>131161</v>
      </c>
      <c r="J6" s="53">
        <v>330162</v>
      </c>
      <c r="K6" s="53">
        <v>75265</v>
      </c>
      <c r="L6" s="53">
        <v>232832</v>
      </c>
      <c r="M6" s="53">
        <v>118439</v>
      </c>
      <c r="N6" s="7">
        <f>SUM(B6:M6)</f>
        <v>1651982</v>
      </c>
      <c r="O6" s="29"/>
    </row>
    <row r="7" spans="1:15" s="6" customFormat="1" hidden="1">
      <c r="B7" s="7"/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7">
        <f>SUM(B7:M7)</f>
        <v>0</v>
      </c>
      <c r="O7" s="29"/>
    </row>
    <row r="8" spans="1:15" s="6" customFormat="1" hidden="1">
      <c r="B8" s="15"/>
      <c r="C8" s="15"/>
      <c r="D8" s="15"/>
      <c r="E8" s="15"/>
      <c r="F8" s="15"/>
      <c r="G8" s="15"/>
      <c r="H8" s="15"/>
      <c r="I8" s="15"/>
      <c r="J8" s="15"/>
      <c r="K8" s="15"/>
      <c r="L8" s="15"/>
      <c r="M8" s="15"/>
      <c r="N8" s="15">
        <f>SUM(B8:M8)</f>
        <v>0</v>
      </c>
      <c r="O8" s="29"/>
    </row>
    <row r="9" spans="1:15" s="6" customFormat="1">
      <c r="A9" s="13" t="s">
        <v>30</v>
      </c>
      <c r="B9" s="12">
        <f t="shared" ref="B9:N9" si="0">SUM(B5:B8)</f>
        <v>1172484</v>
      </c>
      <c r="C9" s="12">
        <f t="shared" si="0"/>
        <v>2575209</v>
      </c>
      <c r="D9" s="12">
        <f t="shared" si="0"/>
        <v>5869839</v>
      </c>
      <c r="E9" s="12">
        <f t="shared" si="0"/>
        <v>4065017</v>
      </c>
      <c r="F9" s="12">
        <f t="shared" si="0"/>
        <v>2536797</v>
      </c>
      <c r="G9" s="12">
        <f t="shared" si="0"/>
        <v>2593509</v>
      </c>
      <c r="H9" s="12">
        <f t="shared" si="0"/>
        <v>3467895</v>
      </c>
      <c r="I9" s="12">
        <f t="shared" si="0"/>
        <v>3657356</v>
      </c>
      <c r="J9" s="12">
        <f t="shared" si="0"/>
        <v>3605374</v>
      </c>
      <c r="K9" s="12">
        <f t="shared" si="0"/>
        <v>3176982</v>
      </c>
      <c r="L9" s="12">
        <f t="shared" si="0"/>
        <v>3007919</v>
      </c>
      <c r="M9" s="12">
        <f t="shared" si="0"/>
        <v>1578845</v>
      </c>
      <c r="N9" s="12">
        <f t="shared" si="0"/>
        <v>37307226</v>
      </c>
      <c r="O9" s="29"/>
    </row>
    <row r="10" spans="1:15" s="6" customFormat="1" ht="6.75" customHeight="1"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29"/>
    </row>
    <row r="11" spans="1:15" s="6" customFormat="1">
      <c r="A11" s="13" t="s">
        <v>31</v>
      </c>
      <c r="B11" s="7">
        <f>99729+B56</f>
        <v>87140</v>
      </c>
      <c r="C11" s="7">
        <f>10280+C56</f>
        <v>-1332</v>
      </c>
      <c r="D11" s="7">
        <f>13117+D56</f>
        <v>926</v>
      </c>
      <c r="E11" s="7">
        <f>31849+E56</f>
        <v>21931</v>
      </c>
      <c r="F11" s="7">
        <f>9121+F56</f>
        <v>964</v>
      </c>
      <c r="G11" s="7">
        <f>96279+G56</f>
        <v>573.58000000000175</v>
      </c>
      <c r="H11" s="7">
        <f>9315+H56</f>
        <v>22</v>
      </c>
      <c r="I11" s="7">
        <f>26695+I56</f>
        <v>18172</v>
      </c>
      <c r="J11" s="7">
        <f>22350+J56</f>
        <v>10053</v>
      </c>
      <c r="K11" s="7">
        <v>0</v>
      </c>
      <c r="L11" s="7">
        <v>67</v>
      </c>
      <c r="M11" s="7">
        <v>0</v>
      </c>
      <c r="N11" s="7">
        <f>SUM(B11:M11)</f>
        <v>138516.58000000002</v>
      </c>
      <c r="O11" s="29"/>
    </row>
    <row r="12" spans="1:15" s="6" customFormat="1" ht="7.5" customHeight="1">
      <c r="B12" s="7"/>
      <c r="C12" s="7"/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  <c r="O12" s="29"/>
    </row>
    <row r="13" spans="1:15" s="6" customFormat="1" ht="13.5" thickBot="1">
      <c r="A13" s="13" t="s">
        <v>32</v>
      </c>
      <c r="B13" s="14">
        <f t="shared" ref="B13:N13" si="1">B9+B11</f>
        <v>1259624</v>
      </c>
      <c r="C13" s="14">
        <f>C9+C11</f>
        <v>2573877</v>
      </c>
      <c r="D13" s="14">
        <f t="shared" si="1"/>
        <v>5870765</v>
      </c>
      <c r="E13" s="14">
        <f t="shared" si="1"/>
        <v>4086948</v>
      </c>
      <c r="F13" s="14">
        <f t="shared" si="1"/>
        <v>2537761</v>
      </c>
      <c r="G13" s="14">
        <f t="shared" si="1"/>
        <v>2594082.58</v>
      </c>
      <c r="H13" s="14">
        <f t="shared" si="1"/>
        <v>3467917</v>
      </c>
      <c r="I13" s="14">
        <f t="shared" si="1"/>
        <v>3675528</v>
      </c>
      <c r="J13" s="14">
        <f t="shared" si="1"/>
        <v>3615427</v>
      </c>
      <c r="K13" s="14">
        <f t="shared" si="1"/>
        <v>3176982</v>
      </c>
      <c r="L13" s="14">
        <f t="shared" si="1"/>
        <v>3007986</v>
      </c>
      <c r="M13" s="14">
        <f t="shared" si="1"/>
        <v>1578845</v>
      </c>
      <c r="N13" s="14">
        <f t="shared" si="1"/>
        <v>37445742.579999998</v>
      </c>
      <c r="O13" s="29"/>
    </row>
    <row r="14" spans="1:15" s="6" customFormat="1" ht="13.5" thickTop="1">
      <c r="B14" s="7"/>
      <c r="C14" s="7"/>
      <c r="D14" s="7"/>
      <c r="E14" s="7"/>
      <c r="F14" s="7"/>
      <c r="G14" s="7"/>
      <c r="H14" s="7"/>
      <c r="I14" s="7"/>
      <c r="J14" s="7"/>
      <c r="K14" s="7"/>
      <c r="L14" s="7"/>
      <c r="M14" s="7"/>
    </row>
    <row r="15" spans="1:15" s="6" customFormat="1" hidden="1">
      <c r="A15" s="13" t="s">
        <v>33</v>
      </c>
      <c r="B15" s="7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</row>
    <row r="16" spans="1:15" s="6" customFormat="1" hidden="1">
      <c r="A16" s="6" t="s">
        <v>34</v>
      </c>
      <c r="B16" s="53">
        <v>444475</v>
      </c>
      <c r="C16" s="53">
        <v>1463048</v>
      </c>
      <c r="D16" s="53">
        <v>3023160</v>
      </c>
      <c r="E16" s="53">
        <v>1465276</v>
      </c>
      <c r="F16" s="53">
        <v>847496</v>
      </c>
      <c r="G16" s="53">
        <v>990047</v>
      </c>
      <c r="H16" s="53">
        <v>2082629</v>
      </c>
      <c r="I16" s="53">
        <v>1500369</v>
      </c>
      <c r="J16" s="53">
        <v>1164645</v>
      </c>
      <c r="K16" s="53">
        <v>1029016</v>
      </c>
      <c r="L16" s="53">
        <v>986497</v>
      </c>
      <c r="M16" s="53">
        <v>849456</v>
      </c>
      <c r="N16" s="7">
        <f>SUM(B16:M16)</f>
        <v>15846114</v>
      </c>
      <c r="O16" s="29"/>
    </row>
    <row r="17" spans="1:44" s="6" customFormat="1" hidden="1">
      <c r="B17" s="27"/>
      <c r="C17" s="27"/>
      <c r="D17" s="27"/>
      <c r="E17" s="27"/>
      <c r="F17" s="27"/>
      <c r="G17" s="27"/>
      <c r="H17" s="27"/>
      <c r="I17" s="27"/>
      <c r="J17" s="27"/>
      <c r="K17" s="27"/>
      <c r="L17" s="27"/>
      <c r="M17" s="27"/>
      <c r="N17" s="7">
        <f>SUM(B17:M17)</f>
        <v>0</v>
      </c>
    </row>
    <row r="18" spans="1:44" s="6" customFormat="1" hidden="1">
      <c r="B18" s="7"/>
      <c r="C18" s="7"/>
      <c r="D18" s="7"/>
      <c r="E18" s="7"/>
      <c r="F18" s="7"/>
      <c r="G18" s="7"/>
      <c r="H18" s="7"/>
      <c r="I18" s="7"/>
      <c r="J18" s="7"/>
      <c r="K18" s="7"/>
      <c r="L18" s="7"/>
      <c r="M18" s="7"/>
      <c r="N18" s="7">
        <v>0</v>
      </c>
    </row>
    <row r="19" spans="1:44" s="6" customFormat="1" hidden="1">
      <c r="B19" s="15"/>
      <c r="C19" s="15"/>
      <c r="D19" s="15"/>
      <c r="E19" s="15"/>
      <c r="F19" s="15"/>
      <c r="G19" s="15"/>
      <c r="H19" s="15"/>
      <c r="I19" s="15"/>
      <c r="J19" s="15"/>
      <c r="K19" s="15"/>
      <c r="L19" s="15"/>
      <c r="M19" s="15"/>
      <c r="N19" s="15">
        <f>SUM(B19:M19)</f>
        <v>0</v>
      </c>
    </row>
    <row r="20" spans="1:44" s="6" customFormat="1">
      <c r="A20" s="13" t="s">
        <v>35</v>
      </c>
      <c r="B20" s="12">
        <f t="shared" ref="B20:N20" si="2">SUM(B16:B19)</f>
        <v>444475</v>
      </c>
      <c r="C20" s="12">
        <f t="shared" si="2"/>
        <v>1463048</v>
      </c>
      <c r="D20" s="12">
        <f t="shared" si="2"/>
        <v>3023160</v>
      </c>
      <c r="E20" s="12">
        <f t="shared" si="2"/>
        <v>1465276</v>
      </c>
      <c r="F20" s="12">
        <f t="shared" si="2"/>
        <v>847496</v>
      </c>
      <c r="G20" s="12">
        <f t="shared" si="2"/>
        <v>990047</v>
      </c>
      <c r="H20" s="12">
        <f t="shared" si="2"/>
        <v>2082629</v>
      </c>
      <c r="I20" s="12">
        <f t="shared" si="2"/>
        <v>1500369</v>
      </c>
      <c r="J20" s="12">
        <f t="shared" si="2"/>
        <v>1164645</v>
      </c>
      <c r="K20" s="12">
        <f t="shared" si="2"/>
        <v>1029016</v>
      </c>
      <c r="L20" s="12">
        <f t="shared" si="2"/>
        <v>986497</v>
      </c>
      <c r="M20" s="12">
        <f t="shared" si="2"/>
        <v>849456</v>
      </c>
      <c r="N20" s="12">
        <f t="shared" si="2"/>
        <v>15846114</v>
      </c>
      <c r="O20" s="29"/>
    </row>
    <row r="21" spans="1:44" s="6" customFormat="1">
      <c r="B21" s="7"/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</row>
    <row r="22" spans="1:44" s="6" customFormat="1" hidden="1">
      <c r="A22" s="13" t="s">
        <v>36</v>
      </c>
      <c r="B22" s="7"/>
      <c r="C22" s="7"/>
      <c r="D22" s="7"/>
      <c r="E22" s="7"/>
      <c r="F22" s="7"/>
      <c r="G22" s="7"/>
      <c r="H22" s="7"/>
      <c r="I22" s="7"/>
      <c r="J22" s="7"/>
      <c r="K22" s="7"/>
      <c r="L22" s="7"/>
      <c r="M22" s="7"/>
    </row>
    <row r="23" spans="1:44" s="6" customFormat="1" hidden="1">
      <c r="A23" s="6" t="s">
        <v>37</v>
      </c>
      <c r="B23" s="7">
        <f t="shared" ref="B23:M26" si="3">+B5-B16</f>
        <v>657561</v>
      </c>
      <c r="C23" s="7">
        <f t="shared" si="3"/>
        <v>1040927</v>
      </c>
      <c r="D23" s="7">
        <f t="shared" si="3"/>
        <v>2568076</v>
      </c>
      <c r="E23" s="7">
        <f t="shared" si="3"/>
        <v>2532455</v>
      </c>
      <c r="F23" s="7">
        <f t="shared" si="3"/>
        <v>1560547</v>
      </c>
      <c r="G23" s="7">
        <f t="shared" si="3"/>
        <v>1530605</v>
      </c>
      <c r="H23" s="7">
        <f t="shared" si="3"/>
        <v>1310325</v>
      </c>
      <c r="I23" s="7">
        <f t="shared" si="3"/>
        <v>2025826</v>
      </c>
      <c r="J23" s="7">
        <f t="shared" si="3"/>
        <v>2110567</v>
      </c>
      <c r="K23" s="7">
        <f t="shared" si="3"/>
        <v>2072701</v>
      </c>
      <c r="L23" s="7">
        <f t="shared" si="3"/>
        <v>1788590</v>
      </c>
      <c r="M23" s="7">
        <f t="shared" si="3"/>
        <v>610950</v>
      </c>
      <c r="N23" s="7">
        <f>SUM(B23:M23)</f>
        <v>19809130</v>
      </c>
      <c r="O23" s="29"/>
    </row>
    <row r="24" spans="1:44" s="6" customFormat="1" hidden="1">
      <c r="A24" s="6" t="s">
        <v>37</v>
      </c>
      <c r="B24" s="7">
        <f t="shared" si="3"/>
        <v>70448</v>
      </c>
      <c r="C24" s="7">
        <f t="shared" si="3"/>
        <v>71234</v>
      </c>
      <c r="D24" s="7">
        <f t="shared" si="3"/>
        <v>278603</v>
      </c>
      <c r="E24" s="7">
        <f t="shared" si="3"/>
        <v>67286</v>
      </c>
      <c r="F24" s="7">
        <f t="shared" si="3"/>
        <v>128754</v>
      </c>
      <c r="G24" s="7">
        <f t="shared" si="3"/>
        <v>72857</v>
      </c>
      <c r="H24" s="7">
        <f t="shared" si="3"/>
        <v>74941</v>
      </c>
      <c r="I24" s="7">
        <f t="shared" si="3"/>
        <v>131161</v>
      </c>
      <c r="J24" s="7">
        <f t="shared" si="3"/>
        <v>330162</v>
      </c>
      <c r="K24" s="7">
        <f t="shared" si="3"/>
        <v>75265</v>
      </c>
      <c r="L24" s="7">
        <f t="shared" si="3"/>
        <v>232832</v>
      </c>
      <c r="M24" s="7">
        <f t="shared" si="3"/>
        <v>118439</v>
      </c>
      <c r="N24" s="7">
        <f>SUM(B24:M24)</f>
        <v>1651982</v>
      </c>
      <c r="O24" s="29"/>
    </row>
    <row r="25" spans="1:44" s="6" customFormat="1" hidden="1">
      <c r="A25" s="6" t="s">
        <v>38</v>
      </c>
      <c r="B25" s="7">
        <f t="shared" si="3"/>
        <v>0</v>
      </c>
      <c r="C25" s="7">
        <f t="shared" si="3"/>
        <v>0</v>
      </c>
      <c r="D25" s="7">
        <f t="shared" si="3"/>
        <v>0</v>
      </c>
      <c r="E25" s="7">
        <f t="shared" si="3"/>
        <v>0</v>
      </c>
      <c r="F25" s="7">
        <f t="shared" si="3"/>
        <v>0</v>
      </c>
      <c r="G25" s="7">
        <f t="shared" si="3"/>
        <v>0</v>
      </c>
      <c r="H25" s="7">
        <f t="shared" si="3"/>
        <v>0</v>
      </c>
      <c r="I25" s="7">
        <f t="shared" si="3"/>
        <v>0</v>
      </c>
      <c r="J25" s="7">
        <f t="shared" si="3"/>
        <v>0</v>
      </c>
      <c r="K25" s="7">
        <f t="shared" si="3"/>
        <v>0</v>
      </c>
      <c r="L25" s="7">
        <f t="shared" si="3"/>
        <v>0</v>
      </c>
      <c r="M25" s="7">
        <f t="shared" si="3"/>
        <v>0</v>
      </c>
      <c r="N25" s="7">
        <f>SUM(B25:M25)</f>
        <v>0</v>
      </c>
      <c r="O25" s="29"/>
    </row>
    <row r="26" spans="1:44" s="6" customFormat="1" hidden="1">
      <c r="A26" s="6" t="s">
        <v>38</v>
      </c>
      <c r="B26" s="15">
        <f t="shared" si="3"/>
        <v>0</v>
      </c>
      <c r="C26" s="15">
        <f t="shared" si="3"/>
        <v>0</v>
      </c>
      <c r="D26" s="15">
        <f t="shared" si="3"/>
        <v>0</v>
      </c>
      <c r="E26" s="15">
        <f t="shared" si="3"/>
        <v>0</v>
      </c>
      <c r="F26" s="15">
        <f t="shared" si="3"/>
        <v>0</v>
      </c>
      <c r="G26" s="15">
        <f t="shared" si="3"/>
        <v>0</v>
      </c>
      <c r="H26" s="15">
        <f t="shared" si="3"/>
        <v>0</v>
      </c>
      <c r="I26" s="15">
        <f t="shared" si="3"/>
        <v>0</v>
      </c>
      <c r="J26" s="15">
        <f t="shared" si="3"/>
        <v>0</v>
      </c>
      <c r="K26" s="15">
        <f t="shared" si="3"/>
        <v>0</v>
      </c>
      <c r="L26" s="15">
        <f t="shared" si="3"/>
        <v>0</v>
      </c>
      <c r="M26" s="15">
        <f t="shared" si="3"/>
        <v>0</v>
      </c>
      <c r="N26" s="15">
        <f>SUM(B26:M26)</f>
        <v>0</v>
      </c>
      <c r="O26" s="29"/>
    </row>
    <row r="27" spans="1:44" s="6" customFormat="1">
      <c r="A27" s="13" t="s">
        <v>39</v>
      </c>
      <c r="B27" s="12">
        <f t="shared" ref="B27:N27" si="4">SUM(B23:B26)</f>
        <v>728009</v>
      </c>
      <c r="C27" s="12">
        <f t="shared" si="4"/>
        <v>1112161</v>
      </c>
      <c r="D27" s="12">
        <f t="shared" si="4"/>
        <v>2846679</v>
      </c>
      <c r="E27" s="12">
        <f t="shared" si="4"/>
        <v>2599741</v>
      </c>
      <c r="F27" s="12">
        <f t="shared" si="4"/>
        <v>1689301</v>
      </c>
      <c r="G27" s="12">
        <f t="shared" si="4"/>
        <v>1603462</v>
      </c>
      <c r="H27" s="12">
        <f t="shared" si="4"/>
        <v>1385266</v>
      </c>
      <c r="I27" s="12">
        <f t="shared" si="4"/>
        <v>2156987</v>
      </c>
      <c r="J27" s="12">
        <f t="shared" si="4"/>
        <v>2440729</v>
      </c>
      <c r="K27" s="12">
        <f t="shared" si="4"/>
        <v>2147966</v>
      </c>
      <c r="L27" s="12">
        <f t="shared" si="4"/>
        <v>2021422</v>
      </c>
      <c r="M27" s="12">
        <f>SUM(M23:M26)</f>
        <v>729389</v>
      </c>
      <c r="N27" s="12">
        <f t="shared" si="4"/>
        <v>21461112</v>
      </c>
      <c r="O27" s="29"/>
    </row>
    <row r="28" spans="1:44" s="6" customFormat="1" ht="14.45" customHeight="1">
      <c r="B28" s="73">
        <f>+B27/B9</f>
        <v>0.620911671289331</v>
      </c>
      <c r="C28" s="73">
        <f t="shared" ref="C28:N28" si="5">+C27/C9</f>
        <v>0.43187213154349802</v>
      </c>
      <c r="D28" s="73">
        <f t="shared" si="5"/>
        <v>0.48496713453299145</v>
      </c>
      <c r="E28" s="73">
        <f t="shared" si="5"/>
        <v>0.63954000684375978</v>
      </c>
      <c r="F28" s="73">
        <f t="shared" si="5"/>
        <v>0.66591887328785082</v>
      </c>
      <c r="G28" s="73">
        <f t="shared" si="5"/>
        <v>0.6182596628737359</v>
      </c>
      <c r="H28" s="73">
        <f t="shared" si="5"/>
        <v>0.39945442408146731</v>
      </c>
      <c r="I28" s="73">
        <f t="shared" si="5"/>
        <v>0.58976676046849141</v>
      </c>
      <c r="J28" s="73">
        <f t="shared" si="5"/>
        <v>0.67696971243482651</v>
      </c>
      <c r="K28" s="73">
        <f t="shared" si="5"/>
        <v>0.67610266598929425</v>
      </c>
      <c r="L28" s="73">
        <f t="shared" si="5"/>
        <v>0.67203338919698308</v>
      </c>
      <c r="M28" s="73">
        <f t="shared" si="5"/>
        <v>0.4619763181312922</v>
      </c>
      <c r="N28" s="73">
        <f t="shared" si="5"/>
        <v>0.5752534911065218</v>
      </c>
    </row>
    <row r="29" spans="1:44" s="6" customFormat="1" hidden="1">
      <c r="A29" s="13" t="s">
        <v>40</v>
      </c>
      <c r="B29" s="7"/>
      <c r="C29" s="7"/>
      <c r="D29" s="7"/>
      <c r="E29" s="7"/>
      <c r="F29" s="7"/>
      <c r="G29" s="7"/>
      <c r="H29" s="7"/>
      <c r="I29" s="7"/>
      <c r="J29" s="7"/>
      <c r="K29" s="7"/>
      <c r="L29" s="7"/>
      <c r="M29" s="7"/>
    </row>
    <row r="30" spans="1:44" s="6" customFormat="1" hidden="1">
      <c r="A30" s="6" t="s">
        <v>93</v>
      </c>
      <c r="B30" s="53">
        <v>415779</v>
      </c>
      <c r="C30" s="53">
        <v>561495</v>
      </c>
      <c r="D30" s="53">
        <v>742338</v>
      </c>
      <c r="E30" s="53">
        <v>829683</v>
      </c>
      <c r="F30" s="53">
        <v>607435</v>
      </c>
      <c r="G30" s="53">
        <v>631393</v>
      </c>
      <c r="H30" s="53">
        <v>607413</v>
      </c>
      <c r="I30" s="53">
        <v>721705</v>
      </c>
      <c r="J30" s="53">
        <v>687238</v>
      </c>
      <c r="K30" s="53">
        <v>765469</v>
      </c>
      <c r="L30" s="53">
        <v>649845</v>
      </c>
      <c r="M30" s="53">
        <v>459430</v>
      </c>
      <c r="N30" s="7">
        <f>SUM(B30:M30)</f>
        <v>7679223</v>
      </c>
      <c r="O30" s="29"/>
    </row>
    <row r="31" spans="1:44" s="6" customFormat="1" hidden="1">
      <c r="A31" s="6" t="s">
        <v>42</v>
      </c>
      <c r="B31" s="53">
        <v>245383</v>
      </c>
      <c r="C31" s="53">
        <v>212042</v>
      </c>
      <c r="D31" s="53">
        <v>203129</v>
      </c>
      <c r="E31" s="53">
        <v>235434</v>
      </c>
      <c r="F31" s="53">
        <v>203129</v>
      </c>
      <c r="G31" s="53">
        <v>209186</v>
      </c>
      <c r="H31" s="53">
        <v>237769</v>
      </c>
      <c r="I31" s="53">
        <v>201008</v>
      </c>
      <c r="J31" s="53">
        <v>218161</v>
      </c>
      <c r="K31" s="53">
        <v>210395</v>
      </c>
      <c r="L31" s="53">
        <v>209978</v>
      </c>
      <c r="M31" s="53">
        <v>198004</v>
      </c>
      <c r="N31" s="7">
        <f>SUM(B31:M31)</f>
        <v>2583618</v>
      </c>
      <c r="O31" s="29"/>
    </row>
    <row r="32" spans="1:44" s="6" customFormat="1" ht="15" hidden="1">
      <c r="A32" s="6" t="s">
        <v>38</v>
      </c>
      <c r="B32" s="68"/>
      <c r="C32" s="68"/>
      <c r="D32" s="68"/>
      <c r="E32" s="68"/>
      <c r="F32" s="68"/>
      <c r="G32" s="68"/>
      <c r="H32" s="68"/>
      <c r="I32" s="68"/>
      <c r="J32" s="68"/>
      <c r="K32" s="68"/>
      <c r="L32" s="68"/>
      <c r="M32" s="68"/>
      <c r="N32" s="7">
        <f>SUM(B32:M32)</f>
        <v>0</v>
      </c>
      <c r="O32" s="29"/>
      <c r="P32" s="6">
        <f>+B32*-1</f>
        <v>0</v>
      </c>
      <c r="Q32" s="6">
        <f t="shared" ref="Q32:AF33" si="6">+C32*-1</f>
        <v>0</v>
      </c>
      <c r="R32" s="6">
        <f t="shared" si="6"/>
        <v>0</v>
      </c>
      <c r="S32" s="6">
        <f t="shared" si="6"/>
        <v>0</v>
      </c>
      <c r="T32" s="6">
        <f t="shared" si="6"/>
        <v>0</v>
      </c>
      <c r="U32" s="6">
        <f t="shared" si="6"/>
        <v>0</v>
      </c>
      <c r="V32" s="6">
        <f t="shared" si="6"/>
        <v>0</v>
      </c>
      <c r="W32" s="6">
        <f t="shared" si="6"/>
        <v>0</v>
      </c>
      <c r="X32" s="6">
        <f t="shared" si="6"/>
        <v>0</v>
      </c>
      <c r="Y32" s="6">
        <f t="shared" si="6"/>
        <v>0</v>
      </c>
      <c r="Z32" s="6">
        <f t="shared" si="6"/>
        <v>0</v>
      </c>
      <c r="AA32" s="6">
        <f t="shared" si="6"/>
        <v>0</v>
      </c>
      <c r="AB32" s="6">
        <f t="shared" si="6"/>
        <v>0</v>
      </c>
      <c r="AC32" s="6">
        <f t="shared" si="6"/>
        <v>0</v>
      </c>
      <c r="AD32" s="6">
        <f t="shared" si="6"/>
        <v>0</v>
      </c>
      <c r="AE32" s="6">
        <f t="shared" si="6"/>
        <v>0</v>
      </c>
      <c r="AF32" s="6">
        <f t="shared" si="6"/>
        <v>0</v>
      </c>
      <c r="AG32" s="6">
        <f t="shared" ref="AG32:AR33" si="7">+S32*-1</f>
        <v>0</v>
      </c>
      <c r="AH32" s="6">
        <f t="shared" si="7"/>
        <v>0</v>
      </c>
      <c r="AI32" s="6">
        <f t="shared" si="7"/>
        <v>0</v>
      </c>
      <c r="AJ32" s="6">
        <f t="shared" si="7"/>
        <v>0</v>
      </c>
      <c r="AK32" s="6">
        <f t="shared" si="7"/>
        <v>0</v>
      </c>
      <c r="AL32" s="6">
        <f t="shared" si="7"/>
        <v>0</v>
      </c>
      <c r="AM32" s="6">
        <f t="shared" si="7"/>
        <v>0</v>
      </c>
      <c r="AN32" s="6">
        <f t="shared" si="7"/>
        <v>0</v>
      </c>
      <c r="AO32" s="6">
        <f t="shared" si="7"/>
        <v>0</v>
      </c>
      <c r="AP32" s="6">
        <f t="shared" si="7"/>
        <v>0</v>
      </c>
      <c r="AQ32" s="6">
        <f t="shared" si="7"/>
        <v>0</v>
      </c>
      <c r="AR32" s="6">
        <f t="shared" si="7"/>
        <v>0</v>
      </c>
    </row>
    <row r="33" spans="1:44" s="6" customFormat="1" hidden="1">
      <c r="B33" s="15"/>
      <c r="C33" s="15"/>
      <c r="D33" s="15"/>
      <c r="E33" s="15"/>
      <c r="F33" s="15"/>
      <c r="G33" s="15"/>
      <c r="H33" s="15"/>
      <c r="I33" s="15"/>
      <c r="J33" s="15"/>
      <c r="K33" s="15"/>
      <c r="L33" s="15"/>
      <c r="M33" s="15"/>
      <c r="N33" s="15">
        <f>SUM(B33:M33)</f>
        <v>0</v>
      </c>
      <c r="O33" s="29"/>
      <c r="Q33" s="6">
        <f t="shared" si="6"/>
        <v>0</v>
      </c>
      <c r="R33" s="6">
        <f t="shared" si="6"/>
        <v>0</v>
      </c>
      <c r="S33" s="6">
        <f t="shared" si="6"/>
        <v>0</v>
      </c>
      <c r="T33" s="6">
        <f t="shared" si="6"/>
        <v>0</v>
      </c>
      <c r="U33" s="6">
        <f t="shared" si="6"/>
        <v>0</v>
      </c>
      <c r="V33" s="6">
        <f t="shared" si="6"/>
        <v>0</v>
      </c>
      <c r="W33" s="6">
        <f t="shared" si="6"/>
        <v>0</v>
      </c>
      <c r="X33" s="6">
        <f t="shared" si="6"/>
        <v>0</v>
      </c>
      <c r="Y33" s="6">
        <f t="shared" si="6"/>
        <v>0</v>
      </c>
      <c r="Z33" s="6">
        <f t="shared" si="6"/>
        <v>0</v>
      </c>
      <c r="AA33" s="6">
        <f t="shared" si="6"/>
        <v>0</v>
      </c>
      <c r="AB33" s="6">
        <f t="shared" si="6"/>
        <v>0</v>
      </c>
      <c r="AC33" s="6">
        <f t="shared" si="6"/>
        <v>0</v>
      </c>
      <c r="AD33" s="6">
        <f t="shared" si="6"/>
        <v>0</v>
      </c>
      <c r="AE33" s="6">
        <f t="shared" si="6"/>
        <v>0</v>
      </c>
      <c r="AF33" s="6">
        <f t="shared" si="6"/>
        <v>0</v>
      </c>
      <c r="AG33" s="6">
        <f t="shared" si="7"/>
        <v>0</v>
      </c>
      <c r="AH33" s="6">
        <f t="shared" si="7"/>
        <v>0</v>
      </c>
      <c r="AI33" s="6">
        <f t="shared" si="7"/>
        <v>0</v>
      </c>
      <c r="AJ33" s="6">
        <f t="shared" si="7"/>
        <v>0</v>
      </c>
      <c r="AK33" s="6">
        <f t="shared" si="7"/>
        <v>0</v>
      </c>
      <c r="AL33" s="6">
        <f t="shared" si="7"/>
        <v>0</v>
      </c>
      <c r="AM33" s="6">
        <f t="shared" si="7"/>
        <v>0</v>
      </c>
      <c r="AN33" s="6">
        <f t="shared" si="7"/>
        <v>0</v>
      </c>
      <c r="AO33" s="6">
        <f t="shared" si="7"/>
        <v>0</v>
      </c>
      <c r="AP33" s="6">
        <f t="shared" si="7"/>
        <v>0</v>
      </c>
      <c r="AQ33" s="6">
        <f t="shared" si="7"/>
        <v>0</v>
      </c>
      <c r="AR33" s="6">
        <f t="shared" si="7"/>
        <v>0</v>
      </c>
    </row>
    <row r="34" spans="1:44" s="6" customFormat="1">
      <c r="A34" s="13" t="s">
        <v>43</v>
      </c>
      <c r="B34" s="12">
        <f t="shared" ref="B34:N34" si="8">SUM(B30:B33)</f>
        <v>661162</v>
      </c>
      <c r="C34" s="12">
        <f t="shared" si="8"/>
        <v>773537</v>
      </c>
      <c r="D34" s="12">
        <f t="shared" si="8"/>
        <v>945467</v>
      </c>
      <c r="E34" s="12">
        <f t="shared" si="8"/>
        <v>1065117</v>
      </c>
      <c r="F34" s="12">
        <f t="shared" si="8"/>
        <v>810564</v>
      </c>
      <c r="G34" s="12">
        <f t="shared" si="8"/>
        <v>840579</v>
      </c>
      <c r="H34" s="12">
        <f t="shared" si="8"/>
        <v>845182</v>
      </c>
      <c r="I34" s="12">
        <f t="shared" si="8"/>
        <v>922713</v>
      </c>
      <c r="J34" s="12">
        <f t="shared" si="8"/>
        <v>905399</v>
      </c>
      <c r="K34" s="12">
        <f t="shared" si="8"/>
        <v>975864</v>
      </c>
      <c r="L34" s="12">
        <f t="shared" si="8"/>
        <v>859823</v>
      </c>
      <c r="M34" s="12">
        <f t="shared" si="8"/>
        <v>657434</v>
      </c>
      <c r="N34" s="12">
        <f t="shared" si="8"/>
        <v>10262841</v>
      </c>
      <c r="O34" s="29"/>
    </row>
    <row r="35" spans="1:44" s="6" customFormat="1">
      <c r="B35" s="7"/>
      <c r="C35" s="7"/>
      <c r="D35" s="7"/>
      <c r="E35" s="7"/>
      <c r="F35" s="7"/>
      <c r="G35" s="7"/>
      <c r="H35" s="7"/>
      <c r="I35" s="7"/>
      <c r="J35" s="7"/>
      <c r="K35" s="7"/>
      <c r="L35" s="7"/>
      <c r="M35" s="7"/>
    </row>
    <row r="36" spans="1:44" s="6" customFormat="1" hidden="1">
      <c r="A36" s="13" t="s">
        <v>44</v>
      </c>
      <c r="B36" s="7"/>
      <c r="C36" s="7"/>
      <c r="D36" s="7"/>
      <c r="E36" s="7"/>
      <c r="F36" s="7"/>
      <c r="G36" s="7"/>
      <c r="H36" s="7"/>
      <c r="I36" s="7"/>
      <c r="J36" s="7"/>
      <c r="K36" s="7"/>
      <c r="L36" s="7"/>
      <c r="M36" s="7"/>
    </row>
    <row r="37" spans="1:44" s="6" customFormat="1" hidden="1">
      <c r="A37" s="6" t="s">
        <v>45</v>
      </c>
      <c r="B37" s="53">
        <v>1168701</v>
      </c>
      <c r="C37" s="53">
        <v>1244422</v>
      </c>
      <c r="D37" s="53">
        <v>1461507</v>
      </c>
      <c r="E37" s="53">
        <v>1790911</v>
      </c>
      <c r="F37" s="53">
        <v>1370885</v>
      </c>
      <c r="G37" s="66">
        <v>1564207</v>
      </c>
      <c r="H37" s="66">
        <v>1269929</v>
      </c>
      <c r="I37" s="66">
        <v>1483414</v>
      </c>
      <c r="J37" s="66">
        <v>1568535</v>
      </c>
      <c r="K37" s="53">
        <v>1616062</v>
      </c>
      <c r="L37" s="53">
        <v>1393585</v>
      </c>
      <c r="M37" s="53">
        <v>1274220</v>
      </c>
      <c r="N37" s="7">
        <f>SUM(B37:M37)</f>
        <v>17206378</v>
      </c>
      <c r="O37" s="29"/>
      <c r="P37" s="69"/>
    </row>
    <row r="38" spans="1:44" s="6" customFormat="1" hidden="1">
      <c r="A38" s="6" t="s">
        <v>46</v>
      </c>
      <c r="B38" s="7">
        <f>-B34</f>
        <v>-661162</v>
      </c>
      <c r="C38" s="7">
        <f t="shared" ref="C38:M38" si="9">-C34</f>
        <v>-773537</v>
      </c>
      <c r="D38" s="7">
        <f t="shared" si="9"/>
        <v>-945467</v>
      </c>
      <c r="E38" s="7">
        <f t="shared" si="9"/>
        <v>-1065117</v>
      </c>
      <c r="F38" s="7">
        <f t="shared" si="9"/>
        <v>-810564</v>
      </c>
      <c r="G38" s="7">
        <f t="shared" si="9"/>
        <v>-840579</v>
      </c>
      <c r="H38" s="7">
        <f t="shared" si="9"/>
        <v>-845182</v>
      </c>
      <c r="I38" s="7">
        <f t="shared" si="9"/>
        <v>-922713</v>
      </c>
      <c r="J38" s="7">
        <f t="shared" si="9"/>
        <v>-905399</v>
      </c>
      <c r="K38" s="7">
        <f t="shared" si="9"/>
        <v>-975864</v>
      </c>
      <c r="L38" s="7">
        <f t="shared" si="9"/>
        <v>-859823</v>
      </c>
      <c r="M38" s="7">
        <f t="shared" si="9"/>
        <v>-657434</v>
      </c>
      <c r="N38" s="7">
        <f>SUM(B38:M38)</f>
        <v>-10262841</v>
      </c>
      <c r="O38" s="29"/>
    </row>
    <row r="39" spans="1:44" s="6" customFormat="1" hidden="1">
      <c r="A39" s="6" t="s">
        <v>47</v>
      </c>
      <c r="B39" s="72">
        <v>-77886</v>
      </c>
      <c r="C39" s="72">
        <v>-77317</v>
      </c>
      <c r="D39" s="72">
        <v>-76975</v>
      </c>
      <c r="E39" s="72">
        <v>-75957</v>
      </c>
      <c r="F39" s="72">
        <v>-75944</v>
      </c>
      <c r="G39" s="72">
        <v>-75944</v>
      </c>
      <c r="H39" s="72">
        <v>-75944</v>
      </c>
      <c r="I39" s="72">
        <v>-75679</v>
      </c>
      <c r="J39" s="72">
        <v>-75679</v>
      </c>
      <c r="K39" s="72">
        <v>-78971</v>
      </c>
      <c r="L39" s="72">
        <v>-79895</v>
      </c>
      <c r="M39" s="72">
        <v>-97277</v>
      </c>
      <c r="N39" s="7">
        <f>SUM(B39:M39)</f>
        <v>-943468</v>
      </c>
      <c r="O39" s="29"/>
    </row>
    <row r="40" spans="1:44" s="6" customFormat="1" hidden="1">
      <c r="A40" s="6" t="s">
        <v>78</v>
      </c>
      <c r="B40" s="53"/>
      <c r="C40" s="53"/>
      <c r="D40" s="53"/>
      <c r="E40" s="53"/>
      <c r="F40" s="53"/>
      <c r="G40" s="53"/>
      <c r="H40" s="53"/>
      <c r="I40" s="53"/>
      <c r="J40" s="53"/>
      <c r="K40" s="53"/>
      <c r="L40" s="53"/>
      <c r="M40" s="53"/>
      <c r="N40" s="7">
        <f>SUM(B40:M40)</f>
        <v>0</v>
      </c>
      <c r="O40" s="29"/>
    </row>
    <row r="41" spans="1:44" s="6" customFormat="1" hidden="1">
      <c r="A41" s="6" t="s">
        <v>48</v>
      </c>
      <c r="B41" s="60">
        <v>-8350</v>
      </c>
      <c r="C41" s="60">
        <v>-8250</v>
      </c>
      <c r="D41" s="60">
        <v>-8350</v>
      </c>
      <c r="E41" s="60">
        <v>-8350</v>
      </c>
      <c r="F41" s="60">
        <v>-8350</v>
      </c>
      <c r="G41" s="60">
        <v>-8350</v>
      </c>
      <c r="H41" s="60">
        <v>-8350</v>
      </c>
      <c r="I41" s="60">
        <v>-8350</v>
      </c>
      <c r="J41" s="60">
        <v>-8350</v>
      </c>
      <c r="K41" s="60">
        <v>-8350</v>
      </c>
      <c r="L41" s="60">
        <v>-8350</v>
      </c>
      <c r="M41" s="60">
        <v>-30300</v>
      </c>
      <c r="N41" s="15">
        <f>SUM(B41:M41)</f>
        <v>-122050</v>
      </c>
      <c r="O41" s="29"/>
    </row>
    <row r="42" spans="1:44" s="6" customFormat="1">
      <c r="A42" s="13" t="s">
        <v>49</v>
      </c>
      <c r="B42" s="12">
        <f t="shared" ref="B42:N42" si="10">SUM(B37:B41)</f>
        <v>421303</v>
      </c>
      <c r="C42" s="12">
        <f t="shared" si="10"/>
        <v>385318</v>
      </c>
      <c r="D42" s="12">
        <f t="shared" si="10"/>
        <v>430715</v>
      </c>
      <c r="E42" s="12">
        <f t="shared" si="10"/>
        <v>641487</v>
      </c>
      <c r="F42" s="12">
        <f t="shared" si="10"/>
        <v>476027</v>
      </c>
      <c r="G42" s="12">
        <f t="shared" si="10"/>
        <v>639334</v>
      </c>
      <c r="H42" s="12">
        <f t="shared" si="10"/>
        <v>340453</v>
      </c>
      <c r="I42" s="12">
        <f t="shared" si="10"/>
        <v>476672</v>
      </c>
      <c r="J42" s="12">
        <f t="shared" si="10"/>
        <v>579107</v>
      </c>
      <c r="K42" s="12">
        <f t="shared" si="10"/>
        <v>552877</v>
      </c>
      <c r="L42" s="12">
        <f t="shared" si="10"/>
        <v>445517</v>
      </c>
      <c r="M42" s="12">
        <f t="shared" si="10"/>
        <v>489209</v>
      </c>
      <c r="N42" s="12">
        <f t="shared" si="10"/>
        <v>5878019</v>
      </c>
      <c r="O42" s="29"/>
    </row>
    <row r="43" spans="1:44">
      <c r="A43" s="1"/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2"/>
      <c r="N43" s="12"/>
      <c r="O43" s="6"/>
    </row>
    <row r="44" spans="1:44">
      <c r="A44" s="13" t="s">
        <v>50</v>
      </c>
      <c r="B44" s="53">
        <v>296581</v>
      </c>
      <c r="C44" s="53">
        <v>244043</v>
      </c>
      <c r="D44" s="53">
        <v>272075</v>
      </c>
      <c r="E44" s="53">
        <v>331396</v>
      </c>
      <c r="F44" s="53">
        <v>346084</v>
      </c>
      <c r="G44" s="53">
        <v>278977</v>
      </c>
      <c r="H44" s="53">
        <v>350131</v>
      </c>
      <c r="I44" s="53">
        <v>267034</v>
      </c>
      <c r="J44" s="53">
        <v>354437</v>
      </c>
      <c r="K44" s="53">
        <v>342373</v>
      </c>
      <c r="L44" s="53">
        <v>283726</v>
      </c>
      <c r="M44" s="53">
        <v>705082</v>
      </c>
      <c r="N44" s="12">
        <f>SUM(B44:M44)</f>
        <v>4071939</v>
      </c>
      <c r="O44" s="29"/>
    </row>
    <row r="45" spans="1:44">
      <c r="A45" s="6" t="s">
        <v>107</v>
      </c>
      <c r="B45" s="22"/>
      <c r="C45" s="22"/>
      <c r="D45" s="22"/>
      <c r="E45" s="22"/>
      <c r="F45" s="22"/>
      <c r="G45" s="22"/>
      <c r="H45" s="22"/>
      <c r="I45" s="22"/>
      <c r="J45" s="77">
        <v>1160600</v>
      </c>
      <c r="K45" s="22"/>
      <c r="L45" s="22"/>
      <c r="M45" s="22"/>
      <c r="N45" s="22">
        <f>SUM(B45:M45)</f>
        <v>1160600</v>
      </c>
      <c r="O45" s="29"/>
    </row>
    <row r="46" spans="1:44">
      <c r="A46" s="1" t="s">
        <v>50</v>
      </c>
      <c r="B46" s="12">
        <f>SUM(B44:B45)</f>
        <v>296581</v>
      </c>
      <c r="C46" s="12">
        <f>SUM(C44:C45)</f>
        <v>244043</v>
      </c>
      <c r="D46" s="12">
        <f t="shared" ref="D46:N46" si="11">SUM(D44:D45)</f>
        <v>272075</v>
      </c>
      <c r="E46" s="12">
        <f t="shared" si="11"/>
        <v>331396</v>
      </c>
      <c r="F46" s="12">
        <f t="shared" si="11"/>
        <v>346084</v>
      </c>
      <c r="G46" s="12">
        <f t="shared" si="11"/>
        <v>278977</v>
      </c>
      <c r="H46" s="12">
        <f t="shared" si="11"/>
        <v>350131</v>
      </c>
      <c r="I46" s="12">
        <f t="shared" si="11"/>
        <v>267034</v>
      </c>
      <c r="J46" s="12">
        <f t="shared" si="11"/>
        <v>1515037</v>
      </c>
      <c r="K46" s="12">
        <f t="shared" si="11"/>
        <v>342373</v>
      </c>
      <c r="L46" s="12">
        <f t="shared" si="11"/>
        <v>283726</v>
      </c>
      <c r="M46" s="12">
        <f t="shared" si="11"/>
        <v>705082</v>
      </c>
      <c r="N46" s="12">
        <f t="shared" si="11"/>
        <v>5232539</v>
      </c>
      <c r="O46" s="29"/>
    </row>
    <row r="47" spans="1:44">
      <c r="B47" s="7"/>
      <c r="C47" s="7"/>
      <c r="D47" s="7"/>
      <c r="E47" s="7"/>
      <c r="F47" s="7"/>
      <c r="G47" s="7"/>
      <c r="H47" s="7"/>
      <c r="I47" s="7"/>
      <c r="J47" s="7"/>
      <c r="K47" s="6"/>
      <c r="L47" s="6"/>
      <c r="M47" s="6"/>
      <c r="N47" s="6"/>
      <c r="O47" s="6"/>
    </row>
    <row r="48" spans="1:44">
      <c r="A48" s="13" t="s">
        <v>52</v>
      </c>
      <c r="B48" s="19">
        <f t="shared" ref="B48:N48" si="12">+B20+B34+B42+B46</f>
        <v>1823521</v>
      </c>
      <c r="C48" s="19">
        <f t="shared" si="12"/>
        <v>2865946</v>
      </c>
      <c r="D48" s="19">
        <f t="shared" si="12"/>
        <v>4671417</v>
      </c>
      <c r="E48" s="19">
        <f t="shared" si="12"/>
        <v>3503276</v>
      </c>
      <c r="F48" s="19">
        <f t="shared" si="12"/>
        <v>2480171</v>
      </c>
      <c r="G48" s="19">
        <f t="shared" si="12"/>
        <v>2748937</v>
      </c>
      <c r="H48" s="19">
        <f t="shared" si="12"/>
        <v>3618395</v>
      </c>
      <c r="I48" s="19">
        <f t="shared" si="12"/>
        <v>3166788</v>
      </c>
      <c r="J48" s="19">
        <f t="shared" si="12"/>
        <v>4164188</v>
      </c>
      <c r="K48" s="19">
        <f t="shared" si="12"/>
        <v>2900130</v>
      </c>
      <c r="L48" s="19">
        <f t="shared" si="12"/>
        <v>2575563</v>
      </c>
      <c r="M48" s="19">
        <f t="shared" si="12"/>
        <v>2701181</v>
      </c>
      <c r="N48" s="19">
        <f t="shared" si="12"/>
        <v>37219513</v>
      </c>
      <c r="O48" s="29"/>
    </row>
    <row r="49" spans="1:17">
      <c r="B49" s="7"/>
      <c r="C49" s="7"/>
      <c r="D49" s="7"/>
      <c r="E49" s="7"/>
      <c r="F49" s="7"/>
      <c r="G49" s="7"/>
      <c r="H49" s="7"/>
      <c r="I49" s="7"/>
      <c r="J49" s="7"/>
      <c r="K49" s="6"/>
      <c r="L49" s="6"/>
      <c r="M49" s="6"/>
      <c r="N49" s="6"/>
      <c r="O49" s="6"/>
    </row>
    <row r="50" spans="1:17">
      <c r="A50" s="1" t="s">
        <v>53</v>
      </c>
      <c r="B50" s="12">
        <f t="shared" ref="B50:M50" si="13">+B13-B48</f>
        <v>-563897</v>
      </c>
      <c r="C50" s="12">
        <f t="shared" si="13"/>
        <v>-292069</v>
      </c>
      <c r="D50" s="12">
        <f t="shared" si="13"/>
        <v>1199348</v>
      </c>
      <c r="E50" s="12">
        <f t="shared" si="13"/>
        <v>583672</v>
      </c>
      <c r="F50" s="12">
        <f t="shared" si="13"/>
        <v>57590</v>
      </c>
      <c r="G50" s="12">
        <f t="shared" si="13"/>
        <v>-154854.41999999993</v>
      </c>
      <c r="H50" s="12">
        <f t="shared" si="13"/>
        <v>-150478</v>
      </c>
      <c r="I50" s="12">
        <f t="shared" si="13"/>
        <v>508740</v>
      </c>
      <c r="J50" s="12">
        <f t="shared" si="13"/>
        <v>-548761</v>
      </c>
      <c r="K50" s="12">
        <f t="shared" si="13"/>
        <v>276852</v>
      </c>
      <c r="L50" s="12">
        <f t="shared" si="13"/>
        <v>432423</v>
      </c>
      <c r="M50" s="12">
        <f t="shared" si="13"/>
        <v>-1122336</v>
      </c>
      <c r="N50" s="12">
        <f>SUM(B50:M50)</f>
        <v>226229.58000000007</v>
      </c>
      <c r="O50" s="6"/>
      <c r="P50" s="25"/>
    </row>
    <row r="51" spans="1:17" ht="7.5" customHeight="1">
      <c r="B51" s="7"/>
      <c r="C51" s="7"/>
      <c r="D51" s="7"/>
      <c r="E51" s="7"/>
      <c r="F51" s="7"/>
      <c r="G51" s="7"/>
      <c r="H51" s="7"/>
      <c r="I51" s="7"/>
      <c r="J51" s="7"/>
      <c r="K51" s="6"/>
      <c r="L51" s="6"/>
      <c r="M51" s="6"/>
      <c r="N51" s="6"/>
      <c r="O51" s="6"/>
    </row>
    <row r="52" spans="1:17">
      <c r="A52" s="1" t="s">
        <v>54</v>
      </c>
      <c r="B52" s="7"/>
      <c r="C52" s="7"/>
      <c r="D52" s="7"/>
      <c r="E52" s="7"/>
      <c r="F52" s="7"/>
      <c r="G52" s="7"/>
      <c r="H52" s="7"/>
      <c r="I52" s="7"/>
      <c r="J52" s="7"/>
      <c r="K52" s="6"/>
      <c r="L52" s="6"/>
      <c r="M52" s="6"/>
      <c r="N52" s="6"/>
      <c r="O52" s="6"/>
    </row>
    <row r="53" spans="1:17" s="6" customFormat="1">
      <c r="A53" s="6" t="s">
        <v>55</v>
      </c>
      <c r="B53" s="10">
        <v>101289</v>
      </c>
      <c r="C53" s="10">
        <v>230379</v>
      </c>
      <c r="D53" s="10">
        <v>5347</v>
      </c>
      <c r="E53" s="10">
        <f>740+15090+2192.65</f>
        <v>18022.650000000001</v>
      </c>
      <c r="F53" s="10">
        <v>85439</v>
      </c>
      <c r="G53" s="10">
        <v>23064</v>
      </c>
      <c r="H53" s="23">
        <v>15602</v>
      </c>
      <c r="I53" s="10">
        <v>68817</v>
      </c>
      <c r="J53" s="10">
        <v>7700</v>
      </c>
      <c r="K53" s="10">
        <v>8338</v>
      </c>
      <c r="L53" s="10">
        <v>328190</v>
      </c>
      <c r="M53" s="10">
        <v>275000</v>
      </c>
      <c r="N53" s="10">
        <f>SUM(B53:M53)</f>
        <v>1167187.6499999999</v>
      </c>
      <c r="P53" s="40"/>
    </row>
    <row r="54" spans="1:17" s="6" customFormat="1">
      <c r="A54" s="6" t="s">
        <v>96</v>
      </c>
      <c r="B54" s="10"/>
      <c r="C54" s="10"/>
      <c r="D54" s="10"/>
      <c r="E54" s="10"/>
      <c r="F54" s="10">
        <v>95000</v>
      </c>
      <c r="G54" s="10"/>
      <c r="H54" s="10"/>
      <c r="I54" s="10"/>
      <c r="J54" s="10"/>
      <c r="K54" s="10"/>
      <c r="L54" s="10"/>
      <c r="M54" s="10"/>
      <c r="N54" s="10">
        <f>SUM(B54:M54)</f>
        <v>95000</v>
      </c>
      <c r="P54" s="7"/>
      <c r="Q54" s="6">
        <v>0</v>
      </c>
    </row>
    <row r="55" spans="1:17" s="6" customFormat="1">
      <c r="A55" s="6" t="s">
        <v>97</v>
      </c>
      <c r="B55" s="10">
        <f>276228+184</f>
        <v>276412</v>
      </c>
      <c r="C55" s="10"/>
      <c r="D55" s="10"/>
      <c r="E55" s="10"/>
      <c r="F55" s="10"/>
      <c r="G55" s="10"/>
      <c r="H55" s="10"/>
      <c r="I55" s="10"/>
      <c r="J55" s="47">
        <v>-1160600</v>
      </c>
      <c r="K55" s="10"/>
      <c r="L55" s="10">
        <v>0</v>
      </c>
      <c r="M55" s="10">
        <v>0</v>
      </c>
      <c r="N55" s="10">
        <f>SUM(B55:M55)</f>
        <v>-884188</v>
      </c>
      <c r="P55" s="7"/>
    </row>
    <row r="56" spans="1:17" s="6" customFormat="1">
      <c r="A56" s="37" t="s">
        <v>58</v>
      </c>
      <c r="B56" s="7">
        <v>-12589</v>
      </c>
      <c r="C56" s="7">
        <v>-11612</v>
      </c>
      <c r="D56" s="7">
        <v>-12191</v>
      </c>
      <c r="E56" s="7">
        <v>-9918</v>
      </c>
      <c r="F56" s="7">
        <v>-8157</v>
      </c>
      <c r="G56" s="7">
        <v>-95705.42</v>
      </c>
      <c r="H56" s="10">
        <v>-9293</v>
      </c>
      <c r="I56" s="7">
        <v>-8523</v>
      </c>
      <c r="J56" s="7">
        <v>-12297</v>
      </c>
      <c r="K56" s="7">
        <v>-18474</v>
      </c>
      <c r="L56" s="7">
        <v>-10419</v>
      </c>
      <c r="M56" s="7">
        <v>-12500</v>
      </c>
      <c r="N56" s="7">
        <f>SUM(B56:M56)</f>
        <v>-221678.41999999998</v>
      </c>
      <c r="P56" s="56"/>
    </row>
    <row r="57" spans="1:17" s="6" customFormat="1">
      <c r="A57" s="6" t="s">
        <v>59</v>
      </c>
      <c r="B57" s="22">
        <v>-187388</v>
      </c>
      <c r="C57" s="22">
        <v>-40876</v>
      </c>
      <c r="D57" s="22">
        <v>-158851</v>
      </c>
      <c r="E57" s="22">
        <v>-155108</v>
      </c>
      <c r="F57" s="22">
        <v>-96958</v>
      </c>
      <c r="G57" s="22">
        <v>-18871.16</v>
      </c>
      <c r="H57" s="10">
        <v>-438304</v>
      </c>
      <c r="I57" s="22">
        <v>313386</v>
      </c>
      <c r="J57" s="22">
        <v>114169</v>
      </c>
      <c r="K57" s="22">
        <v>33076</v>
      </c>
      <c r="L57" s="22">
        <v>26234.6</v>
      </c>
      <c r="M57" s="22">
        <v>-25000</v>
      </c>
      <c r="N57" s="22">
        <f>SUM(B57:M57)</f>
        <v>-634490.56000000017</v>
      </c>
      <c r="P57" s="56"/>
    </row>
    <row r="58" spans="1:17" s="6" customFormat="1">
      <c r="A58" s="13" t="s">
        <v>60</v>
      </c>
      <c r="B58" s="19">
        <f t="shared" ref="B58:N58" si="14">SUM(B53:B57)</f>
        <v>177724</v>
      </c>
      <c r="C58" s="19">
        <f t="shared" si="14"/>
        <v>177891</v>
      </c>
      <c r="D58" s="19">
        <f t="shared" si="14"/>
        <v>-165695</v>
      </c>
      <c r="E58" s="19">
        <f t="shared" si="14"/>
        <v>-147003.35</v>
      </c>
      <c r="F58" s="19">
        <f t="shared" si="14"/>
        <v>75324</v>
      </c>
      <c r="G58" s="19">
        <f t="shared" si="14"/>
        <v>-91512.58</v>
      </c>
      <c r="H58" s="19">
        <f>SUM(H53:H57)</f>
        <v>-431995</v>
      </c>
      <c r="I58" s="19">
        <f t="shared" si="14"/>
        <v>373680</v>
      </c>
      <c r="J58" s="19">
        <f t="shared" si="14"/>
        <v>-1051028</v>
      </c>
      <c r="K58" s="19">
        <f t="shared" si="14"/>
        <v>22940</v>
      </c>
      <c r="L58" s="19">
        <f t="shared" si="14"/>
        <v>344005.6</v>
      </c>
      <c r="M58" s="19">
        <f t="shared" si="14"/>
        <v>237500</v>
      </c>
      <c r="N58" s="19">
        <f t="shared" si="14"/>
        <v>-478169.33000000025</v>
      </c>
      <c r="O58" s="29"/>
      <c r="P58" s="40"/>
    </row>
    <row r="59" spans="1:17">
      <c r="B59" s="7"/>
      <c r="C59" s="7"/>
      <c r="D59" s="7"/>
      <c r="E59" s="7"/>
      <c r="F59" s="7"/>
      <c r="G59" s="7"/>
      <c r="H59" s="7"/>
      <c r="I59" s="7"/>
      <c r="J59" s="7"/>
      <c r="K59" s="7"/>
      <c r="L59" s="7"/>
      <c r="M59" s="7"/>
      <c r="N59" s="7"/>
      <c r="O59" s="6"/>
    </row>
    <row r="60" spans="1:17">
      <c r="A60" s="1" t="s">
        <v>61</v>
      </c>
      <c r="B60" s="12">
        <v>13373023</v>
      </c>
      <c r="C60" s="7"/>
      <c r="D60" s="7"/>
      <c r="E60" s="7"/>
      <c r="F60" s="7"/>
      <c r="G60" s="7"/>
      <c r="H60" s="7" t="s">
        <v>38</v>
      </c>
      <c r="I60" s="7"/>
      <c r="J60" s="7"/>
      <c r="K60" s="6"/>
      <c r="L60" s="6"/>
      <c r="M60" s="6"/>
      <c r="N60" s="6"/>
      <c r="O60" s="6"/>
    </row>
    <row r="61" spans="1:17">
      <c r="A61" s="13" t="s">
        <v>62</v>
      </c>
      <c r="B61" s="19">
        <f t="shared" ref="B61:N61" si="15">+B58+B48</f>
        <v>2001245</v>
      </c>
      <c r="C61" s="19">
        <f t="shared" si="15"/>
        <v>3043837</v>
      </c>
      <c r="D61" s="19">
        <f t="shared" si="15"/>
        <v>4505722</v>
      </c>
      <c r="E61" s="19">
        <f t="shared" si="15"/>
        <v>3356272.65</v>
      </c>
      <c r="F61" s="19">
        <f t="shared" si="15"/>
        <v>2555495</v>
      </c>
      <c r="G61" s="19">
        <f t="shared" si="15"/>
        <v>2657424.42</v>
      </c>
      <c r="H61" s="19">
        <f t="shared" si="15"/>
        <v>3186400</v>
      </c>
      <c r="I61" s="19">
        <f t="shared" si="15"/>
        <v>3540468</v>
      </c>
      <c r="J61" s="19">
        <f t="shared" si="15"/>
        <v>3113160</v>
      </c>
      <c r="K61" s="19">
        <f t="shared" si="15"/>
        <v>2923070</v>
      </c>
      <c r="L61" s="19">
        <f t="shared" si="15"/>
        <v>2919568.6</v>
      </c>
      <c r="M61" s="19">
        <f t="shared" si="15"/>
        <v>2938681</v>
      </c>
      <c r="N61" s="19">
        <f t="shared" si="15"/>
        <v>36741343.670000002</v>
      </c>
      <c r="O61" s="29"/>
      <c r="P61" s="25"/>
    </row>
    <row r="62" spans="1:17" ht="13.5" thickBot="1">
      <c r="A62" s="13" t="s">
        <v>63</v>
      </c>
      <c r="B62" s="30">
        <f t="shared" ref="B62:N62" si="16">+B13-B61</f>
        <v>-741621</v>
      </c>
      <c r="C62" s="30">
        <f t="shared" si="16"/>
        <v>-469960</v>
      </c>
      <c r="D62" s="30">
        <f t="shared" si="16"/>
        <v>1365043</v>
      </c>
      <c r="E62" s="30">
        <f t="shared" si="16"/>
        <v>730675.35000000009</v>
      </c>
      <c r="F62" s="30">
        <f t="shared" si="16"/>
        <v>-17734</v>
      </c>
      <c r="G62" s="30">
        <f t="shared" si="16"/>
        <v>-63341.839999999851</v>
      </c>
      <c r="H62" s="30">
        <f t="shared" si="16"/>
        <v>281517</v>
      </c>
      <c r="I62" s="30">
        <f t="shared" si="16"/>
        <v>135060</v>
      </c>
      <c r="J62" s="30">
        <f t="shared" si="16"/>
        <v>502267</v>
      </c>
      <c r="K62" s="30">
        <f t="shared" si="16"/>
        <v>253912</v>
      </c>
      <c r="L62" s="30">
        <f t="shared" si="16"/>
        <v>88417.399999999907</v>
      </c>
      <c r="M62" s="14">
        <f t="shared" si="16"/>
        <v>-1359836</v>
      </c>
      <c r="N62" s="14">
        <f t="shared" si="16"/>
        <v>704398.90999999642</v>
      </c>
      <c r="O62" s="29"/>
      <c r="P62" s="25"/>
    </row>
    <row r="63" spans="1:17" s="6" customFormat="1" ht="13.5" thickTop="1">
      <c r="A63" s="13" t="s">
        <v>64</v>
      </c>
      <c r="B63" s="32">
        <f>+B62</f>
        <v>-741621</v>
      </c>
      <c r="C63" s="32">
        <f t="shared" ref="C63:M63" si="17">B63+C62</f>
        <v>-1211581</v>
      </c>
      <c r="D63" s="32">
        <f t="shared" si="17"/>
        <v>153462</v>
      </c>
      <c r="E63" s="32">
        <f t="shared" si="17"/>
        <v>884137.35000000009</v>
      </c>
      <c r="F63" s="32">
        <f t="shared" si="17"/>
        <v>866403.35000000009</v>
      </c>
      <c r="G63" s="32">
        <f t="shared" si="17"/>
        <v>803061.51000000024</v>
      </c>
      <c r="H63" s="32">
        <f t="shared" si="17"/>
        <v>1084578.5100000002</v>
      </c>
      <c r="I63" s="32">
        <f t="shared" si="17"/>
        <v>1219638.5100000002</v>
      </c>
      <c r="J63" s="32">
        <f t="shared" si="17"/>
        <v>1721905.5100000002</v>
      </c>
      <c r="K63" s="32">
        <f t="shared" si="17"/>
        <v>1975817.5100000002</v>
      </c>
      <c r="L63" s="32">
        <f t="shared" si="17"/>
        <v>2064234.9100000001</v>
      </c>
      <c r="M63" s="12">
        <f t="shared" si="17"/>
        <v>704398.91000000015</v>
      </c>
      <c r="N63" s="12"/>
    </row>
    <row r="64" spans="1:17">
      <c r="A64" s="13" t="s">
        <v>65</v>
      </c>
      <c r="B64" s="12">
        <f t="shared" ref="B64:M64" si="18">+$B$60+B63</f>
        <v>12631402</v>
      </c>
      <c r="C64" s="12">
        <f t="shared" si="18"/>
        <v>12161442</v>
      </c>
      <c r="D64" s="12">
        <f t="shared" si="18"/>
        <v>13526485</v>
      </c>
      <c r="E64" s="12">
        <f t="shared" si="18"/>
        <v>14257160.35</v>
      </c>
      <c r="F64" s="12">
        <f t="shared" si="18"/>
        <v>14239426.35</v>
      </c>
      <c r="G64" s="12">
        <f t="shared" si="18"/>
        <v>14176084.51</v>
      </c>
      <c r="H64" s="12">
        <f t="shared" si="18"/>
        <v>14457601.51</v>
      </c>
      <c r="I64" s="12">
        <f t="shared" si="18"/>
        <v>14592661.51</v>
      </c>
      <c r="J64" s="12">
        <f t="shared" si="18"/>
        <v>15094928.51</v>
      </c>
      <c r="K64" s="12">
        <f t="shared" si="18"/>
        <v>15348840.51</v>
      </c>
      <c r="L64" s="12">
        <f t="shared" si="18"/>
        <v>15437257.91</v>
      </c>
      <c r="M64" s="12">
        <f t="shared" si="18"/>
        <v>14077421.91</v>
      </c>
      <c r="N64" s="12"/>
      <c r="O64" s="6"/>
      <c r="P64" s="29"/>
    </row>
    <row r="65" spans="1:16">
      <c r="A65" s="6"/>
      <c r="B65" s="7"/>
      <c r="C65" s="7"/>
      <c r="D65" s="7"/>
      <c r="E65" s="7"/>
      <c r="F65" s="7"/>
      <c r="G65" s="7"/>
      <c r="H65" s="7"/>
      <c r="I65" s="7"/>
      <c r="J65" s="7"/>
      <c r="K65" s="6"/>
      <c r="L65" s="6"/>
      <c r="M65" s="6"/>
      <c r="N65" s="6"/>
      <c r="O65" s="6"/>
    </row>
    <row r="66" spans="1:16" s="6" customFormat="1">
      <c r="A66" s="17" t="s">
        <v>94</v>
      </c>
      <c r="B66" s="18"/>
      <c r="C66" s="18"/>
      <c r="D66" s="18"/>
      <c r="E66" s="18"/>
      <c r="F66" s="18"/>
      <c r="G66" s="18"/>
      <c r="H66" s="18"/>
      <c r="I66" s="18"/>
      <c r="J66" s="18"/>
      <c r="K66" s="18"/>
      <c r="L66" s="18"/>
      <c r="M66" s="18"/>
      <c r="N66" s="18"/>
    </row>
    <row r="67" spans="1:16" ht="13.5" thickBot="1">
      <c r="A67" s="13" t="s">
        <v>67</v>
      </c>
      <c r="B67" s="14">
        <v>-968259</v>
      </c>
      <c r="C67" s="14">
        <v>165657</v>
      </c>
      <c r="D67" s="14">
        <v>1175481</v>
      </c>
      <c r="E67" s="14">
        <v>388022</v>
      </c>
      <c r="F67" s="14">
        <v>-191039</v>
      </c>
      <c r="G67" s="14">
        <v>96436</v>
      </c>
      <c r="H67" s="14">
        <v>-114280</v>
      </c>
      <c r="I67" s="14">
        <v>316290</v>
      </c>
      <c r="J67" s="14">
        <v>629469</v>
      </c>
      <c r="K67" s="14">
        <v>-20889</v>
      </c>
      <c r="L67" s="14">
        <v>188867</v>
      </c>
      <c r="M67" s="14">
        <v>-1359836</v>
      </c>
      <c r="N67" s="16"/>
      <c r="O67" s="6"/>
    </row>
    <row r="68" spans="1:16" ht="13.5" thickTop="1">
      <c r="A68" s="13" t="s">
        <v>64</v>
      </c>
      <c r="B68" s="12">
        <f>+B67</f>
        <v>-968259</v>
      </c>
      <c r="C68" s="12">
        <f>+B68+C67</f>
        <v>-802602</v>
      </c>
      <c r="D68" s="12">
        <f t="shared" ref="D68:M68" si="19">+C68+D67</f>
        <v>372879</v>
      </c>
      <c r="E68" s="12">
        <f t="shared" si="19"/>
        <v>760901</v>
      </c>
      <c r="F68" s="12">
        <f t="shared" si="19"/>
        <v>569862</v>
      </c>
      <c r="G68" s="12">
        <f t="shared" si="19"/>
        <v>666298</v>
      </c>
      <c r="H68" s="12">
        <f t="shared" si="19"/>
        <v>552018</v>
      </c>
      <c r="I68" s="12">
        <f t="shared" si="19"/>
        <v>868308</v>
      </c>
      <c r="J68" s="12">
        <f t="shared" si="19"/>
        <v>1497777</v>
      </c>
      <c r="K68" s="12">
        <f t="shared" si="19"/>
        <v>1476888</v>
      </c>
      <c r="L68" s="12">
        <f t="shared" si="19"/>
        <v>1665755</v>
      </c>
      <c r="M68" s="12">
        <f t="shared" si="19"/>
        <v>305919</v>
      </c>
      <c r="N68" s="16"/>
      <c r="O68" s="6"/>
    </row>
    <row r="69" spans="1:16">
      <c r="A69" s="13" t="s">
        <v>65</v>
      </c>
      <c r="B69" s="12">
        <v>10066787.80069958</v>
      </c>
      <c r="C69" s="12">
        <v>10474885.82712047</v>
      </c>
      <c r="D69" s="12">
        <v>11546728.467384296</v>
      </c>
      <c r="E69" s="12">
        <v>11992721.928639133</v>
      </c>
      <c r="F69" s="12">
        <v>11726972.321587943</v>
      </c>
      <c r="G69" s="12">
        <v>11337269.706012141</v>
      </c>
      <c r="H69" s="12">
        <v>11322908.797641888</v>
      </c>
      <c r="I69" s="12">
        <v>11526789.393104676</v>
      </c>
      <c r="J69" s="12">
        <v>11837705.668475684</v>
      </c>
      <c r="K69" s="12">
        <v>12021264.778665379</v>
      </c>
      <c r="L69" s="12">
        <v>12475612.568366794</v>
      </c>
      <c r="M69" s="12">
        <v>11197948.23476476</v>
      </c>
      <c r="N69" s="12"/>
      <c r="O69" s="6"/>
    </row>
    <row r="70" spans="1:16">
      <c r="A70" s="6"/>
      <c r="B70" s="6"/>
      <c r="C70" s="6"/>
      <c r="D70" s="6"/>
      <c r="E70" s="6"/>
      <c r="F70" s="6"/>
      <c r="H70" s="6"/>
      <c r="I70" s="6"/>
      <c r="J70" s="6"/>
      <c r="K70" s="6"/>
      <c r="L70" s="6"/>
      <c r="M70" s="6"/>
      <c r="N70" s="6"/>
      <c r="O70" s="6"/>
    </row>
    <row r="71" spans="1:16">
      <c r="A71" s="24" t="s">
        <v>68</v>
      </c>
      <c r="B71" s="18"/>
      <c r="C71" s="18"/>
      <c r="D71" s="18"/>
      <c r="E71" s="18"/>
      <c r="F71" s="18"/>
      <c r="G71" s="18"/>
      <c r="H71" s="18"/>
      <c r="I71" s="18"/>
      <c r="J71" s="18"/>
      <c r="K71" s="18"/>
      <c r="L71" s="18"/>
      <c r="M71" s="18"/>
      <c r="N71" s="18"/>
      <c r="O71" s="6"/>
    </row>
    <row r="72" spans="1:16">
      <c r="A72" s="13" t="s">
        <v>63</v>
      </c>
      <c r="B72" s="31">
        <f t="shared" ref="B72:N74" si="20">+B62-B67</f>
        <v>226638</v>
      </c>
      <c r="C72" s="31">
        <f t="shared" si="20"/>
        <v>-635617</v>
      </c>
      <c r="D72" s="31">
        <f t="shared" si="20"/>
        <v>189562</v>
      </c>
      <c r="E72" s="31">
        <f t="shared" si="20"/>
        <v>342653.35000000009</v>
      </c>
      <c r="F72" s="31">
        <f t="shared" si="20"/>
        <v>173305</v>
      </c>
      <c r="G72" s="31">
        <f t="shared" si="20"/>
        <v>-159777.83999999985</v>
      </c>
      <c r="H72" s="31">
        <f t="shared" si="20"/>
        <v>395797</v>
      </c>
      <c r="I72" s="31">
        <f t="shared" si="20"/>
        <v>-181230</v>
      </c>
      <c r="J72" s="31">
        <f t="shared" si="20"/>
        <v>-127202</v>
      </c>
      <c r="K72" s="31">
        <f t="shared" si="20"/>
        <v>274801</v>
      </c>
      <c r="L72" s="31">
        <f t="shared" si="20"/>
        <v>-100449.60000000009</v>
      </c>
      <c r="M72" s="16">
        <f t="shared" si="20"/>
        <v>0</v>
      </c>
      <c r="N72" s="6"/>
      <c r="O72" s="6"/>
      <c r="P72" s="16">
        <f>+N62-N67</f>
        <v>704398.90999999642</v>
      </c>
    </row>
    <row r="73" spans="1:16" s="6" customFormat="1">
      <c r="A73" s="13" t="s">
        <v>64</v>
      </c>
      <c r="B73" s="31">
        <f t="shared" si="20"/>
        <v>226638</v>
      </c>
      <c r="C73" s="31">
        <f t="shared" si="20"/>
        <v>-408979</v>
      </c>
      <c r="D73" s="31">
        <f t="shared" si="20"/>
        <v>-219417</v>
      </c>
      <c r="E73" s="31">
        <f t="shared" si="20"/>
        <v>123236.35000000009</v>
      </c>
      <c r="F73" s="31">
        <f t="shared" si="20"/>
        <v>296541.35000000009</v>
      </c>
      <c r="G73" s="31">
        <f t="shared" si="20"/>
        <v>136763.51000000024</v>
      </c>
      <c r="H73" s="31">
        <f t="shared" si="20"/>
        <v>532560.51000000024</v>
      </c>
      <c r="I73" s="31">
        <f t="shared" si="20"/>
        <v>351330.51000000024</v>
      </c>
      <c r="J73" s="31">
        <f t="shared" si="20"/>
        <v>224128.51000000024</v>
      </c>
      <c r="K73" s="31">
        <f t="shared" si="20"/>
        <v>498929.51000000024</v>
      </c>
      <c r="L73" s="31">
        <f t="shared" si="20"/>
        <v>398479.91000000015</v>
      </c>
      <c r="M73" s="16">
        <f t="shared" si="20"/>
        <v>398479.91000000015</v>
      </c>
      <c r="N73" s="16">
        <f t="shared" si="20"/>
        <v>0</v>
      </c>
    </row>
    <row r="74" spans="1:16">
      <c r="A74" s="1" t="s">
        <v>65</v>
      </c>
      <c r="B74" s="16">
        <f t="shared" si="20"/>
        <v>2564614.1993004195</v>
      </c>
      <c r="C74" s="16">
        <f t="shared" si="20"/>
        <v>1686556.1728795301</v>
      </c>
      <c r="D74" s="16">
        <f t="shared" si="20"/>
        <v>1979756.5326157045</v>
      </c>
      <c r="E74" s="16">
        <f t="shared" si="20"/>
        <v>2264438.4213608671</v>
      </c>
      <c r="F74" s="16">
        <f t="shared" si="20"/>
        <v>2512454.0284120571</v>
      </c>
      <c r="G74" s="16">
        <f t="shared" si="20"/>
        <v>2838814.8039878588</v>
      </c>
      <c r="H74" s="16">
        <f t="shared" si="20"/>
        <v>3134692.7123581115</v>
      </c>
      <c r="I74" s="16">
        <f t="shared" si="20"/>
        <v>3065872.1168953236</v>
      </c>
      <c r="J74" s="16">
        <f t="shared" si="20"/>
        <v>3257222.841524316</v>
      </c>
      <c r="K74" s="16">
        <f t="shared" si="20"/>
        <v>3327575.7313346211</v>
      </c>
      <c r="L74" s="16">
        <f t="shared" si="20"/>
        <v>2961645.3416332062</v>
      </c>
      <c r="M74" s="16">
        <f t="shared" si="20"/>
        <v>2879473.6752352398</v>
      </c>
      <c r="N74" s="16"/>
      <c r="O74" s="6"/>
    </row>
    <row r="75" spans="1:16">
      <c r="B75" s="6"/>
      <c r="C75" s="6"/>
      <c r="D75" s="6"/>
      <c r="E75" s="6"/>
      <c r="F75" s="6"/>
      <c r="H75" s="6"/>
      <c r="I75" s="6"/>
      <c r="J75" s="6"/>
      <c r="K75" s="6"/>
      <c r="L75" s="6"/>
      <c r="M75" s="6"/>
      <c r="N75" s="6"/>
    </row>
    <row r="76" spans="1:16">
      <c r="A76" s="1"/>
      <c r="B76" s="4"/>
      <c r="C76" s="8"/>
      <c r="D76" s="8"/>
      <c r="E76" s="8"/>
      <c r="F76" s="8"/>
      <c r="H76" s="20"/>
      <c r="J76" s="6"/>
      <c r="K76" s="6"/>
    </row>
    <row r="77" spans="1:16">
      <c r="A77" s="1"/>
      <c r="B77" s="4"/>
      <c r="C77" s="8"/>
      <c r="D77" s="8"/>
      <c r="E77" s="8"/>
      <c r="F77" s="8"/>
      <c r="H77" s="20"/>
      <c r="J77" s="6"/>
      <c r="L77">
        <v>10419.15</v>
      </c>
    </row>
    <row r="78" spans="1:16">
      <c r="A78" s="1"/>
      <c r="B78" s="4"/>
      <c r="D78" s="8"/>
      <c r="E78" s="8"/>
      <c r="F78" s="8"/>
      <c r="H78" s="61"/>
      <c r="J78" s="6"/>
    </row>
    <row r="79" spans="1:16">
      <c r="E79" s="6"/>
      <c r="H79" s="20"/>
      <c r="J79" s="6"/>
      <c r="N79" s="25"/>
    </row>
    <row r="80" spans="1:16">
      <c r="A80" t="s">
        <v>69</v>
      </c>
      <c r="B80" t="s">
        <v>69</v>
      </c>
      <c r="C80" t="s">
        <v>69</v>
      </c>
      <c r="D80" t="s">
        <v>69</v>
      </c>
      <c r="E80" s="6" t="s">
        <v>69</v>
      </c>
      <c r="F80" t="s">
        <v>69</v>
      </c>
      <c r="G80" s="6" t="s">
        <v>69</v>
      </c>
      <c r="H80" t="s">
        <v>69</v>
      </c>
      <c r="I80" t="s">
        <v>69</v>
      </c>
      <c r="J80" s="6" t="s">
        <v>69</v>
      </c>
      <c r="K80" t="s">
        <v>69</v>
      </c>
      <c r="L80" t="s">
        <v>69</v>
      </c>
      <c r="M80" t="s">
        <v>69</v>
      </c>
      <c r="N80" t="s">
        <v>69</v>
      </c>
    </row>
    <row r="81" spans="1:14">
      <c r="E81" s="6"/>
      <c r="J81" s="6"/>
    </row>
    <row r="82" spans="1:14">
      <c r="A82" s="33" t="s">
        <v>70</v>
      </c>
      <c r="B82" s="47">
        <v>52000</v>
      </c>
      <c r="C82" s="47">
        <v>20000</v>
      </c>
      <c r="D82" s="47">
        <v>10000</v>
      </c>
      <c r="E82" s="47">
        <v>44355</v>
      </c>
      <c r="F82" s="47">
        <v>186840</v>
      </c>
      <c r="G82" s="10">
        <v>202000</v>
      </c>
      <c r="H82" s="54">
        <v>197000</v>
      </c>
      <c r="I82" s="47">
        <v>142000</v>
      </c>
      <c r="J82" s="47">
        <v>119000</v>
      </c>
      <c r="K82" s="47">
        <v>0</v>
      </c>
      <c r="L82" s="47">
        <v>0</v>
      </c>
      <c r="M82" s="47">
        <v>455000</v>
      </c>
      <c r="N82" s="7">
        <v>1428195</v>
      </c>
    </row>
    <row r="83" spans="1:14">
      <c r="A83" s="33" t="s">
        <v>71</v>
      </c>
      <c r="B83" s="2">
        <f>+B82</f>
        <v>52000</v>
      </c>
      <c r="C83" s="2">
        <f>+B83+C82</f>
        <v>72000</v>
      </c>
      <c r="D83" s="2">
        <f t="shared" ref="D83:M83" si="21">+C83+D82</f>
        <v>82000</v>
      </c>
      <c r="E83" s="7">
        <f t="shared" si="21"/>
        <v>126355</v>
      </c>
      <c r="F83" s="2">
        <f t="shared" si="21"/>
        <v>313195</v>
      </c>
      <c r="G83" s="7">
        <f t="shared" si="21"/>
        <v>515195</v>
      </c>
      <c r="H83" s="2">
        <f t="shared" si="21"/>
        <v>712195</v>
      </c>
      <c r="I83" s="2">
        <f t="shared" si="21"/>
        <v>854195</v>
      </c>
      <c r="J83" s="7">
        <f t="shared" si="21"/>
        <v>973195</v>
      </c>
      <c r="K83" s="2">
        <f t="shared" si="21"/>
        <v>973195</v>
      </c>
      <c r="L83" s="2">
        <f t="shared" si="21"/>
        <v>973195</v>
      </c>
      <c r="M83" s="2">
        <f t="shared" si="21"/>
        <v>1428195</v>
      </c>
    </row>
    <row r="84" spans="1:14">
      <c r="A84" s="33" t="s">
        <v>72</v>
      </c>
      <c r="B84" s="7">
        <f>+B53</f>
        <v>101289</v>
      </c>
      <c r="C84" s="7">
        <f>SUM($B53:C53)</f>
        <v>331668</v>
      </c>
      <c r="D84" s="7">
        <f>SUM($B53:D53)</f>
        <v>337015</v>
      </c>
      <c r="E84" s="7">
        <f>SUM($B53:E53)</f>
        <v>355037.65</v>
      </c>
      <c r="F84" s="7">
        <f>SUM($B53:F53)</f>
        <v>440476.65</v>
      </c>
      <c r="G84" s="7">
        <f>SUM($B53:G53)</f>
        <v>463540.65</v>
      </c>
      <c r="H84" s="7">
        <f>SUM(B53:H53)</f>
        <v>479142.65</v>
      </c>
      <c r="I84" s="7">
        <f>SUM(B53:I53)</f>
        <v>547959.65</v>
      </c>
      <c r="J84" s="7">
        <f>SUM(B53:J53)</f>
        <v>555659.65</v>
      </c>
      <c r="K84" s="7">
        <f>SUM(B53:K53)</f>
        <v>563997.65</v>
      </c>
      <c r="L84" s="7">
        <f>SUM(B53:L53)</f>
        <v>892187.65</v>
      </c>
      <c r="M84" s="7">
        <f>SUM(B53:M53)</f>
        <v>1167187.6499999999</v>
      </c>
    </row>
    <row r="85" spans="1:14">
      <c r="A85" s="33" t="s">
        <v>73</v>
      </c>
      <c r="B85" s="7">
        <f t="shared" ref="B85:G85" si="22">+B83-B84</f>
        <v>-49289</v>
      </c>
      <c r="C85" s="7">
        <f t="shared" si="22"/>
        <v>-259668</v>
      </c>
      <c r="D85" s="7">
        <f t="shared" si="22"/>
        <v>-255015</v>
      </c>
      <c r="E85" s="7">
        <f t="shared" si="22"/>
        <v>-228682.65000000002</v>
      </c>
      <c r="F85" s="7">
        <f t="shared" si="22"/>
        <v>-127281.65000000002</v>
      </c>
      <c r="G85" s="7">
        <f t="shared" si="22"/>
        <v>51654.349999999977</v>
      </c>
      <c r="H85" s="7">
        <f t="shared" ref="H85:M85" si="23">+H83-H84</f>
        <v>233052.34999999998</v>
      </c>
      <c r="I85" s="7">
        <f t="shared" si="23"/>
        <v>306235.34999999998</v>
      </c>
      <c r="J85" s="7">
        <f t="shared" si="23"/>
        <v>417535.35</v>
      </c>
      <c r="K85" s="7">
        <f t="shared" si="23"/>
        <v>409197.35</v>
      </c>
      <c r="L85" s="7">
        <f t="shared" si="23"/>
        <v>81007.349999999977</v>
      </c>
      <c r="M85" s="7">
        <f t="shared" si="23"/>
        <v>261007.35000000009</v>
      </c>
    </row>
    <row r="86" spans="1:14">
      <c r="J86" s="6"/>
      <c r="K86" s="6"/>
    </row>
    <row r="87" spans="1:14">
      <c r="A87" t="s">
        <v>74</v>
      </c>
      <c r="B87" s="35">
        <f>-B56-B57</f>
        <v>199977</v>
      </c>
      <c r="C87" s="35">
        <f t="shared" ref="C87:N87" si="24">-C56-C57</f>
        <v>52488</v>
      </c>
      <c r="D87" s="35">
        <f t="shared" si="24"/>
        <v>171042</v>
      </c>
      <c r="E87" s="35">
        <f t="shared" si="24"/>
        <v>165026</v>
      </c>
      <c r="F87" s="35">
        <f t="shared" si="24"/>
        <v>105115</v>
      </c>
      <c r="G87" s="40">
        <f t="shared" si="24"/>
        <v>114576.58</v>
      </c>
      <c r="H87" s="40">
        <f t="shared" si="24"/>
        <v>447597</v>
      </c>
      <c r="I87" s="35">
        <f t="shared" si="24"/>
        <v>-304863</v>
      </c>
      <c r="J87" s="35">
        <f t="shared" si="24"/>
        <v>-101872</v>
      </c>
      <c r="K87" s="40">
        <f t="shared" si="24"/>
        <v>-14602</v>
      </c>
      <c r="L87" s="35">
        <f t="shared" si="24"/>
        <v>-15815.599999999999</v>
      </c>
      <c r="M87" s="35">
        <f t="shared" si="24"/>
        <v>37500</v>
      </c>
      <c r="N87" s="35">
        <f t="shared" si="24"/>
        <v>856168.98000000021</v>
      </c>
    </row>
    <row r="88" spans="1:14">
      <c r="C88" s="35">
        <f>+B87+C87</f>
        <v>252465</v>
      </c>
      <c r="D88" s="35">
        <f>+C88+D87</f>
        <v>423507</v>
      </c>
      <c r="E88" s="35">
        <f t="shared" ref="E88:M88" si="25">+D88+E87</f>
        <v>588533</v>
      </c>
      <c r="F88" s="35">
        <f t="shared" si="25"/>
        <v>693648</v>
      </c>
      <c r="G88" s="40">
        <f t="shared" si="25"/>
        <v>808224.58</v>
      </c>
      <c r="H88" s="35">
        <f t="shared" si="25"/>
        <v>1255821.58</v>
      </c>
      <c r="I88" s="40">
        <f t="shared" si="25"/>
        <v>950958.58000000007</v>
      </c>
      <c r="J88" s="40">
        <f t="shared" si="25"/>
        <v>849086.58000000007</v>
      </c>
      <c r="K88" s="40">
        <f t="shared" si="25"/>
        <v>834484.58000000007</v>
      </c>
      <c r="L88" s="35">
        <f t="shared" si="25"/>
        <v>818668.9800000001</v>
      </c>
      <c r="M88" s="35">
        <f t="shared" si="25"/>
        <v>856168.9800000001</v>
      </c>
    </row>
    <row r="89" spans="1:14">
      <c r="B89" s="6"/>
      <c r="C89" s="6"/>
      <c r="D89" s="6"/>
      <c r="E89" s="6"/>
    </row>
    <row r="90" spans="1:14">
      <c r="B90" s="6"/>
      <c r="C90" s="6"/>
      <c r="D90" s="21"/>
      <c r="E90" s="6"/>
    </row>
    <row r="91" spans="1:14">
      <c r="B91" s="6"/>
      <c r="C91" s="6"/>
      <c r="D91" s="6"/>
      <c r="E91" s="6"/>
    </row>
    <row r="92" spans="1:14">
      <c r="B92" s="70">
        <v>78554</v>
      </c>
      <c r="C92" s="70">
        <v>78293</v>
      </c>
      <c r="D92" s="70">
        <v>79025</v>
      </c>
      <c r="E92" s="70">
        <v>81090</v>
      </c>
      <c r="F92" s="71">
        <v>81090</v>
      </c>
      <c r="G92" s="70">
        <v>81079</v>
      </c>
      <c r="H92" s="71">
        <v>89229</v>
      </c>
      <c r="I92" s="71">
        <v>88964</v>
      </c>
      <c r="J92" s="71">
        <v>88964</v>
      </c>
      <c r="K92" s="71">
        <v>88563</v>
      </c>
      <c r="L92" s="71">
        <v>97279</v>
      </c>
      <c r="M92" s="71">
        <v>97277</v>
      </c>
    </row>
    <row r="93" spans="1:14">
      <c r="B93" s="6">
        <f>+B92*-1</f>
        <v>-78554</v>
      </c>
      <c r="C93" s="6">
        <f t="shared" ref="C93:M93" si="26">+C92*-1</f>
        <v>-78293</v>
      </c>
      <c r="D93" s="6">
        <f t="shared" si="26"/>
        <v>-79025</v>
      </c>
      <c r="E93" s="6">
        <f t="shared" si="26"/>
        <v>-81090</v>
      </c>
      <c r="F93" s="6">
        <f t="shared" si="26"/>
        <v>-81090</v>
      </c>
      <c r="G93" s="6">
        <f t="shared" si="26"/>
        <v>-81079</v>
      </c>
      <c r="H93" s="6">
        <f t="shared" si="26"/>
        <v>-89229</v>
      </c>
      <c r="I93" s="6">
        <f t="shared" si="26"/>
        <v>-88964</v>
      </c>
      <c r="J93" s="6">
        <f t="shared" si="26"/>
        <v>-88964</v>
      </c>
      <c r="K93" s="6">
        <f t="shared" si="26"/>
        <v>-88563</v>
      </c>
      <c r="L93" s="6">
        <f t="shared" si="26"/>
        <v>-97279</v>
      </c>
      <c r="M93" s="6">
        <f t="shared" si="26"/>
        <v>-97277</v>
      </c>
    </row>
    <row r="94" spans="1:14">
      <c r="B94" s="6"/>
      <c r="C94" s="6"/>
      <c r="D94" s="34"/>
      <c r="E94" s="6"/>
    </row>
    <row r="95" spans="1:14">
      <c r="B95" s="6"/>
      <c r="C95" s="6"/>
      <c r="D95" s="6"/>
      <c r="E95" s="6"/>
    </row>
    <row r="96" spans="1:14">
      <c r="B96" s="6"/>
      <c r="C96" s="6"/>
      <c r="D96" s="6"/>
      <c r="E96" s="6"/>
    </row>
    <row r="97" spans="7:9">
      <c r="G97" s="6">
        <v>95705.42</v>
      </c>
      <c r="I97">
        <v>18871.16</v>
      </c>
    </row>
  </sheetData>
  <pageMargins left="0.28000000000000003" right="0.25" top="0.99" bottom="0.75" header="0.63" footer="0.23"/>
  <pageSetup scale="65" orientation="landscape" r:id="rId1"/>
  <headerFooter alignWithMargins="0">
    <oddHeader xml:space="preserve">&amp;C&amp;"Arial,Bold"&amp;11 49ER SHOPS, INC.
&amp;UFY2017/2018 OPERATIONAL CASH FLOW </oddHeader>
    <oddFooter>&amp;CCash Flow - FY2017/2018
May 2018</oddFooter>
  </headerFooter>
  <legacyDrawing r:id="rId2"/>
</worksheet>
</file>

<file path=xl/worksheets/sheet2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FF00"/>
    <pageSetUpPr fitToPage="1"/>
  </sheetPr>
  <dimension ref="A1:AR97"/>
  <sheetViews>
    <sheetView showGridLines="0" zoomScale="60" zoomScaleNormal="60" workbookViewId="0">
      <selection activeCell="M11" sqref="M11"/>
    </sheetView>
  </sheetViews>
  <sheetFormatPr defaultRowHeight="12.75"/>
  <cols>
    <col min="1" max="1" width="35.42578125" customWidth="1"/>
    <col min="2" max="2" width="14" customWidth="1"/>
    <col min="3" max="3" width="12.5703125" customWidth="1"/>
    <col min="4" max="4" width="14" customWidth="1"/>
    <col min="5" max="5" width="13.5703125" customWidth="1"/>
    <col min="6" max="6" width="12.85546875" customWidth="1"/>
    <col min="7" max="7" width="12.5703125" style="6" customWidth="1"/>
    <col min="8" max="9" width="12.85546875" customWidth="1"/>
    <col min="10" max="10" width="13.85546875" customWidth="1"/>
    <col min="11" max="11" width="14.42578125" customWidth="1"/>
    <col min="12" max="13" width="12.85546875" customWidth="1"/>
    <col min="14" max="14" width="12.85546875" bestFit="1" customWidth="1"/>
    <col min="15" max="15" width="12.42578125" bestFit="1" customWidth="1"/>
    <col min="16" max="16" width="13.140625" bestFit="1" customWidth="1"/>
  </cols>
  <sheetData>
    <row r="1" spans="1:16" ht="13.5" thickBot="1">
      <c r="A1" s="46" t="s">
        <v>110</v>
      </c>
      <c r="E1" s="6"/>
      <c r="F1" s="6"/>
      <c r="J1" s="6"/>
      <c r="K1" s="6"/>
      <c r="N1" s="3"/>
    </row>
    <row r="2" spans="1:16">
      <c r="B2" s="45" t="s">
        <v>24</v>
      </c>
      <c r="C2" s="45" t="s">
        <v>24</v>
      </c>
      <c r="D2" s="45" t="s">
        <v>24</v>
      </c>
      <c r="E2" s="45" t="s">
        <v>24</v>
      </c>
      <c r="F2" s="45" t="s">
        <v>24</v>
      </c>
      <c r="G2" s="45" t="s">
        <v>24</v>
      </c>
      <c r="H2" s="45" t="s">
        <v>24</v>
      </c>
      <c r="I2" s="45" t="s">
        <v>24</v>
      </c>
      <c r="J2" s="45" t="s">
        <v>24</v>
      </c>
      <c r="K2" s="45" t="s">
        <v>24</v>
      </c>
      <c r="L2" s="45" t="s">
        <v>24</v>
      </c>
      <c r="M2" s="45" t="s">
        <v>24</v>
      </c>
      <c r="N2" s="28" t="s">
        <v>25</v>
      </c>
    </row>
    <row r="3" spans="1:16" s="5" customFormat="1">
      <c r="B3" s="11">
        <v>42918</v>
      </c>
      <c r="C3" s="11">
        <v>42949</v>
      </c>
      <c r="D3" s="11">
        <v>42980</v>
      </c>
      <c r="E3" s="11">
        <v>43010</v>
      </c>
      <c r="F3" s="11">
        <v>43041</v>
      </c>
      <c r="G3" s="11">
        <v>43071</v>
      </c>
      <c r="H3" s="11">
        <v>43102</v>
      </c>
      <c r="I3" s="11">
        <v>43133</v>
      </c>
      <c r="J3" s="11">
        <v>43161</v>
      </c>
      <c r="K3" s="11">
        <v>43192</v>
      </c>
      <c r="L3" s="11">
        <v>43222</v>
      </c>
      <c r="M3" s="11">
        <v>43253</v>
      </c>
      <c r="N3" s="57" t="s">
        <v>100</v>
      </c>
    </row>
    <row r="4" spans="1:16" hidden="1">
      <c r="A4" s="1" t="s">
        <v>27</v>
      </c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>
        <f>SUM(B4:M4)</f>
        <v>0</v>
      </c>
      <c r="O4" s="29"/>
    </row>
    <row r="5" spans="1:16" s="6" customFormat="1" hidden="1">
      <c r="A5" s="6" t="s">
        <v>28</v>
      </c>
      <c r="B5" s="53">
        <v>1102036</v>
      </c>
      <c r="C5" s="53">
        <v>2503975</v>
      </c>
      <c r="D5" s="53">
        <v>5591236</v>
      </c>
      <c r="E5" s="53">
        <v>3997731</v>
      </c>
      <c r="F5" s="53">
        <v>2408043</v>
      </c>
      <c r="G5" s="53">
        <v>2520652</v>
      </c>
      <c r="H5" s="53">
        <v>3392954</v>
      </c>
      <c r="I5" s="53">
        <v>3526195</v>
      </c>
      <c r="J5" s="53">
        <v>3275212</v>
      </c>
      <c r="K5" s="53">
        <v>3101717</v>
      </c>
      <c r="L5" s="53">
        <v>2775087</v>
      </c>
      <c r="M5" s="53">
        <v>1019199</v>
      </c>
      <c r="N5" s="12">
        <f>SUM(B5:M5)</f>
        <v>35214037</v>
      </c>
      <c r="O5" s="29"/>
    </row>
    <row r="6" spans="1:16" s="6" customFormat="1" hidden="1">
      <c r="A6" s="6" t="s">
        <v>29</v>
      </c>
      <c r="B6" s="53">
        <v>70448</v>
      </c>
      <c r="C6" s="53">
        <v>71234</v>
      </c>
      <c r="D6" s="53">
        <v>278603</v>
      </c>
      <c r="E6" s="53">
        <v>67286</v>
      </c>
      <c r="F6" s="53">
        <v>128754</v>
      </c>
      <c r="G6" s="53">
        <v>72857</v>
      </c>
      <c r="H6" s="53">
        <v>74941</v>
      </c>
      <c r="I6" s="53">
        <v>131161</v>
      </c>
      <c r="J6" s="53">
        <v>330162</v>
      </c>
      <c r="K6" s="53">
        <v>75265</v>
      </c>
      <c r="L6" s="53">
        <v>232832</v>
      </c>
      <c r="M6" s="53">
        <v>85443</v>
      </c>
      <c r="N6" s="7">
        <f>SUM(B6:M6)</f>
        <v>1618986</v>
      </c>
      <c r="O6" s="29"/>
    </row>
    <row r="7" spans="1:16" s="6" customFormat="1" hidden="1">
      <c r="B7" s="7"/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7">
        <f>SUM(B7:M7)</f>
        <v>0</v>
      </c>
      <c r="O7" s="29"/>
    </row>
    <row r="8" spans="1:16" s="6" customFormat="1" hidden="1">
      <c r="B8" s="15"/>
      <c r="C8" s="15"/>
      <c r="D8" s="15"/>
      <c r="E8" s="15"/>
      <c r="F8" s="15"/>
      <c r="G8" s="15"/>
      <c r="H8" s="15"/>
      <c r="I8" s="15"/>
      <c r="J8" s="15"/>
      <c r="K8" s="15"/>
      <c r="L8" s="15"/>
      <c r="M8" s="15"/>
      <c r="N8" s="15">
        <f>SUM(B8:M8)</f>
        <v>0</v>
      </c>
      <c r="O8" s="29"/>
    </row>
    <row r="9" spans="1:16" s="6" customFormat="1">
      <c r="A9" s="13" t="s">
        <v>30</v>
      </c>
      <c r="B9" s="12">
        <f t="shared" ref="B9:N9" si="0">SUM(B5:B8)</f>
        <v>1172484</v>
      </c>
      <c r="C9" s="12">
        <f t="shared" si="0"/>
        <v>2575209</v>
      </c>
      <c r="D9" s="12">
        <f t="shared" si="0"/>
        <v>5869839</v>
      </c>
      <c r="E9" s="12">
        <f t="shared" si="0"/>
        <v>4065017</v>
      </c>
      <c r="F9" s="12">
        <f t="shared" si="0"/>
        <v>2536797</v>
      </c>
      <c r="G9" s="12">
        <f t="shared" si="0"/>
        <v>2593509</v>
      </c>
      <c r="H9" s="12">
        <f t="shared" si="0"/>
        <v>3467895</v>
      </c>
      <c r="I9" s="12">
        <f t="shared" si="0"/>
        <v>3657356</v>
      </c>
      <c r="J9" s="12">
        <f t="shared" si="0"/>
        <v>3605374</v>
      </c>
      <c r="K9" s="12">
        <f t="shared" si="0"/>
        <v>3176982</v>
      </c>
      <c r="L9" s="12">
        <f t="shared" si="0"/>
        <v>3007919</v>
      </c>
      <c r="M9" s="12">
        <f t="shared" si="0"/>
        <v>1104642</v>
      </c>
      <c r="N9" s="12">
        <f t="shared" si="0"/>
        <v>36833023</v>
      </c>
      <c r="O9" s="29"/>
    </row>
    <row r="10" spans="1:16" s="6" customFormat="1" ht="6.75" customHeight="1"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29"/>
    </row>
    <row r="11" spans="1:16" s="6" customFormat="1">
      <c r="A11" s="13" t="s">
        <v>31</v>
      </c>
      <c r="B11" s="7">
        <f>99729+B56</f>
        <v>87140</v>
      </c>
      <c r="C11" s="7">
        <f>10280+C56</f>
        <v>-1332</v>
      </c>
      <c r="D11" s="7">
        <f>13117+D56</f>
        <v>851</v>
      </c>
      <c r="E11" s="7">
        <f>31849+E56</f>
        <v>21931</v>
      </c>
      <c r="F11" s="7">
        <f>9121+F56</f>
        <v>964</v>
      </c>
      <c r="G11" s="7">
        <f>96279+G56</f>
        <v>573.58000000000175</v>
      </c>
      <c r="H11" s="7">
        <f>9315+H56</f>
        <v>22</v>
      </c>
      <c r="I11" s="7">
        <f>26695+I56</f>
        <v>18172</v>
      </c>
      <c r="J11" s="7">
        <f>22350+J56</f>
        <v>10053</v>
      </c>
      <c r="K11" s="7">
        <v>6827.89</v>
      </c>
      <c r="L11" s="7">
        <v>-473</v>
      </c>
      <c r="M11" s="7">
        <v>90910</v>
      </c>
      <c r="N11" s="7">
        <f>SUM(B11:M11)</f>
        <v>235639.47000000003</v>
      </c>
      <c r="O11" s="29">
        <v>-232025</v>
      </c>
      <c r="P11" s="7">
        <f>SUM(N11:O11)</f>
        <v>3614.4700000000303</v>
      </c>
    </row>
    <row r="12" spans="1:16" s="6" customFormat="1" ht="7.5" customHeight="1">
      <c r="B12" s="7"/>
      <c r="C12" s="7"/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  <c r="O12" s="29"/>
    </row>
    <row r="13" spans="1:16" s="6" customFormat="1" ht="13.5" thickBot="1">
      <c r="A13" s="13" t="s">
        <v>32</v>
      </c>
      <c r="B13" s="14">
        <f t="shared" ref="B13:N13" si="1">B9+B11</f>
        <v>1259624</v>
      </c>
      <c r="C13" s="14">
        <f>C9+C11</f>
        <v>2573877</v>
      </c>
      <c r="D13" s="14">
        <f t="shared" si="1"/>
        <v>5870690</v>
      </c>
      <c r="E13" s="14">
        <f t="shared" si="1"/>
        <v>4086948</v>
      </c>
      <c r="F13" s="14">
        <f t="shared" si="1"/>
        <v>2537761</v>
      </c>
      <c r="G13" s="14">
        <f t="shared" si="1"/>
        <v>2594082.58</v>
      </c>
      <c r="H13" s="14">
        <f t="shared" si="1"/>
        <v>3467917</v>
      </c>
      <c r="I13" s="14">
        <f t="shared" si="1"/>
        <v>3675528</v>
      </c>
      <c r="J13" s="14">
        <f t="shared" si="1"/>
        <v>3615427</v>
      </c>
      <c r="K13" s="14">
        <f t="shared" si="1"/>
        <v>3183809.89</v>
      </c>
      <c r="L13" s="14">
        <f t="shared" si="1"/>
        <v>3007446</v>
      </c>
      <c r="M13" s="14">
        <f t="shared" si="1"/>
        <v>1195552</v>
      </c>
      <c r="N13" s="14">
        <f t="shared" si="1"/>
        <v>37068662.469999999</v>
      </c>
      <c r="O13" s="29"/>
    </row>
    <row r="14" spans="1:16" s="6" customFormat="1" ht="13.5" thickTop="1">
      <c r="B14" s="7"/>
      <c r="C14" s="7"/>
      <c r="D14" s="7"/>
      <c r="E14" s="7"/>
      <c r="F14" s="7"/>
      <c r="G14" s="7"/>
      <c r="H14" s="7"/>
      <c r="I14" s="7"/>
      <c r="J14" s="7"/>
      <c r="K14" s="7"/>
      <c r="L14" s="7"/>
      <c r="M14" s="7"/>
    </row>
    <row r="15" spans="1:16" s="6" customFormat="1" hidden="1">
      <c r="A15" s="13" t="s">
        <v>33</v>
      </c>
      <c r="B15" s="7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</row>
    <row r="16" spans="1:16" s="6" customFormat="1" hidden="1">
      <c r="A16" s="6" t="s">
        <v>34</v>
      </c>
      <c r="B16" s="53">
        <v>444475</v>
      </c>
      <c r="C16" s="53">
        <v>1463048</v>
      </c>
      <c r="D16" s="53">
        <v>3023160</v>
      </c>
      <c r="E16" s="53">
        <v>1465276</v>
      </c>
      <c r="F16" s="53">
        <v>847496</v>
      </c>
      <c r="G16" s="53">
        <v>990047</v>
      </c>
      <c r="H16" s="53">
        <v>2082629</v>
      </c>
      <c r="I16" s="53">
        <v>1500369</v>
      </c>
      <c r="J16" s="53">
        <v>1164645</v>
      </c>
      <c r="K16" s="53">
        <v>1029016</v>
      </c>
      <c r="L16" s="53">
        <v>986497</v>
      </c>
      <c r="M16" s="53">
        <v>437810</v>
      </c>
      <c r="N16" s="7">
        <f>SUM(B16:M16)</f>
        <v>15434468</v>
      </c>
      <c r="O16" s="29"/>
    </row>
    <row r="17" spans="1:44" s="6" customFormat="1" hidden="1">
      <c r="B17" s="27"/>
      <c r="C17" s="27"/>
      <c r="D17" s="27"/>
      <c r="E17" s="27"/>
      <c r="F17" s="27"/>
      <c r="G17" s="27"/>
      <c r="H17" s="27"/>
      <c r="I17" s="27"/>
      <c r="J17" s="27"/>
      <c r="K17" s="27"/>
      <c r="L17" s="27"/>
      <c r="M17" s="27"/>
      <c r="N17" s="7">
        <f>SUM(B17:M17)</f>
        <v>0</v>
      </c>
    </row>
    <row r="18" spans="1:44" s="6" customFormat="1" hidden="1">
      <c r="B18" s="7"/>
      <c r="C18" s="7"/>
      <c r="D18" s="7"/>
      <c r="E18" s="7"/>
      <c r="F18" s="7"/>
      <c r="G18" s="7"/>
      <c r="H18" s="7"/>
      <c r="I18" s="7"/>
      <c r="J18" s="7"/>
      <c r="K18" s="7"/>
      <c r="L18" s="7"/>
      <c r="M18" s="7"/>
      <c r="N18" s="7">
        <v>0</v>
      </c>
    </row>
    <row r="19" spans="1:44" s="6" customFormat="1" hidden="1">
      <c r="B19" s="15"/>
      <c r="C19" s="15"/>
      <c r="D19" s="15"/>
      <c r="E19" s="15"/>
      <c r="F19" s="15"/>
      <c r="G19" s="15"/>
      <c r="H19" s="15"/>
      <c r="I19" s="15"/>
      <c r="J19" s="15"/>
      <c r="K19" s="15"/>
      <c r="L19" s="15"/>
      <c r="M19" s="15"/>
      <c r="N19" s="15">
        <f>SUM(B19:M19)</f>
        <v>0</v>
      </c>
    </row>
    <row r="20" spans="1:44" s="6" customFormat="1">
      <c r="A20" s="13" t="s">
        <v>35</v>
      </c>
      <c r="B20" s="12">
        <f t="shared" ref="B20:N20" si="2">SUM(B16:B19)</f>
        <v>444475</v>
      </c>
      <c r="C20" s="12">
        <f t="shared" si="2"/>
        <v>1463048</v>
      </c>
      <c r="D20" s="12">
        <f t="shared" si="2"/>
        <v>3023160</v>
      </c>
      <c r="E20" s="12">
        <f t="shared" si="2"/>
        <v>1465276</v>
      </c>
      <c r="F20" s="12">
        <f t="shared" si="2"/>
        <v>847496</v>
      </c>
      <c r="G20" s="12">
        <f t="shared" si="2"/>
        <v>990047</v>
      </c>
      <c r="H20" s="12">
        <f t="shared" si="2"/>
        <v>2082629</v>
      </c>
      <c r="I20" s="12">
        <f t="shared" si="2"/>
        <v>1500369</v>
      </c>
      <c r="J20" s="12">
        <f t="shared" si="2"/>
        <v>1164645</v>
      </c>
      <c r="K20" s="12">
        <f t="shared" si="2"/>
        <v>1029016</v>
      </c>
      <c r="L20" s="12">
        <f t="shared" si="2"/>
        <v>986497</v>
      </c>
      <c r="M20" s="12">
        <f t="shared" si="2"/>
        <v>437810</v>
      </c>
      <c r="N20" s="12">
        <f t="shared" si="2"/>
        <v>15434468</v>
      </c>
      <c r="O20" s="29"/>
    </row>
    <row r="21" spans="1:44" s="6" customFormat="1">
      <c r="B21" s="7"/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</row>
    <row r="22" spans="1:44" s="6" customFormat="1" hidden="1">
      <c r="A22" s="13" t="s">
        <v>36</v>
      </c>
      <c r="B22" s="7"/>
      <c r="C22" s="7"/>
      <c r="D22" s="7"/>
      <c r="E22" s="7"/>
      <c r="F22" s="7"/>
      <c r="G22" s="7"/>
      <c r="H22" s="7"/>
      <c r="I22" s="7"/>
      <c r="J22" s="7"/>
      <c r="K22" s="7"/>
      <c r="L22" s="7"/>
      <c r="M22" s="7"/>
    </row>
    <row r="23" spans="1:44" s="6" customFormat="1" hidden="1">
      <c r="A23" s="6" t="s">
        <v>37</v>
      </c>
      <c r="B23" s="7">
        <f t="shared" ref="B23:M26" si="3">+B5-B16</f>
        <v>657561</v>
      </c>
      <c r="C23" s="7">
        <f t="shared" si="3"/>
        <v>1040927</v>
      </c>
      <c r="D23" s="7">
        <f t="shared" si="3"/>
        <v>2568076</v>
      </c>
      <c r="E23" s="7">
        <f t="shared" si="3"/>
        <v>2532455</v>
      </c>
      <c r="F23" s="7">
        <f t="shared" si="3"/>
        <v>1560547</v>
      </c>
      <c r="G23" s="7">
        <f t="shared" si="3"/>
        <v>1530605</v>
      </c>
      <c r="H23" s="7">
        <f t="shared" si="3"/>
        <v>1310325</v>
      </c>
      <c r="I23" s="7">
        <f t="shared" si="3"/>
        <v>2025826</v>
      </c>
      <c r="J23" s="7">
        <f t="shared" si="3"/>
        <v>2110567</v>
      </c>
      <c r="K23" s="7">
        <f t="shared" si="3"/>
        <v>2072701</v>
      </c>
      <c r="L23" s="7">
        <f t="shared" si="3"/>
        <v>1788590</v>
      </c>
      <c r="M23" s="7">
        <f t="shared" si="3"/>
        <v>581389</v>
      </c>
      <c r="N23" s="7">
        <f>SUM(B23:M23)</f>
        <v>19779569</v>
      </c>
      <c r="O23" s="29"/>
    </row>
    <row r="24" spans="1:44" s="6" customFormat="1" hidden="1">
      <c r="A24" s="6" t="s">
        <v>37</v>
      </c>
      <c r="B24" s="7">
        <f t="shared" si="3"/>
        <v>70448</v>
      </c>
      <c r="C24" s="7">
        <f t="shared" si="3"/>
        <v>71234</v>
      </c>
      <c r="D24" s="7">
        <f t="shared" si="3"/>
        <v>278603</v>
      </c>
      <c r="E24" s="7">
        <f t="shared" si="3"/>
        <v>67286</v>
      </c>
      <c r="F24" s="7">
        <f t="shared" si="3"/>
        <v>128754</v>
      </c>
      <c r="G24" s="7">
        <f t="shared" si="3"/>
        <v>72857</v>
      </c>
      <c r="H24" s="7">
        <f t="shared" si="3"/>
        <v>74941</v>
      </c>
      <c r="I24" s="7">
        <f t="shared" si="3"/>
        <v>131161</v>
      </c>
      <c r="J24" s="7">
        <f t="shared" si="3"/>
        <v>330162</v>
      </c>
      <c r="K24" s="7">
        <f t="shared" si="3"/>
        <v>75265</v>
      </c>
      <c r="L24" s="7">
        <f t="shared" si="3"/>
        <v>232832</v>
      </c>
      <c r="M24" s="7">
        <f t="shared" si="3"/>
        <v>85443</v>
      </c>
      <c r="N24" s="7">
        <f>SUM(B24:M24)</f>
        <v>1618986</v>
      </c>
      <c r="O24" s="29"/>
    </row>
    <row r="25" spans="1:44" s="6" customFormat="1" hidden="1">
      <c r="A25" s="6" t="s">
        <v>38</v>
      </c>
      <c r="B25" s="7">
        <f t="shared" si="3"/>
        <v>0</v>
      </c>
      <c r="C25" s="7">
        <f t="shared" si="3"/>
        <v>0</v>
      </c>
      <c r="D25" s="7">
        <f t="shared" si="3"/>
        <v>0</v>
      </c>
      <c r="E25" s="7">
        <f t="shared" si="3"/>
        <v>0</v>
      </c>
      <c r="F25" s="7">
        <f t="shared" si="3"/>
        <v>0</v>
      </c>
      <c r="G25" s="7">
        <f t="shared" si="3"/>
        <v>0</v>
      </c>
      <c r="H25" s="7">
        <f t="shared" si="3"/>
        <v>0</v>
      </c>
      <c r="I25" s="7">
        <f t="shared" si="3"/>
        <v>0</v>
      </c>
      <c r="J25" s="7">
        <f t="shared" si="3"/>
        <v>0</v>
      </c>
      <c r="K25" s="7">
        <f t="shared" si="3"/>
        <v>0</v>
      </c>
      <c r="L25" s="7">
        <f t="shared" si="3"/>
        <v>0</v>
      </c>
      <c r="M25" s="7">
        <f t="shared" si="3"/>
        <v>0</v>
      </c>
      <c r="N25" s="7">
        <f>SUM(B25:M25)</f>
        <v>0</v>
      </c>
      <c r="O25" s="29"/>
    </row>
    <row r="26" spans="1:44" s="6" customFormat="1" hidden="1">
      <c r="A26" s="6" t="s">
        <v>38</v>
      </c>
      <c r="B26" s="15">
        <f t="shared" si="3"/>
        <v>0</v>
      </c>
      <c r="C26" s="15">
        <f t="shared" si="3"/>
        <v>0</v>
      </c>
      <c r="D26" s="15">
        <f t="shared" si="3"/>
        <v>0</v>
      </c>
      <c r="E26" s="15">
        <f t="shared" si="3"/>
        <v>0</v>
      </c>
      <c r="F26" s="15">
        <f t="shared" si="3"/>
        <v>0</v>
      </c>
      <c r="G26" s="15">
        <f t="shared" si="3"/>
        <v>0</v>
      </c>
      <c r="H26" s="15">
        <f t="shared" si="3"/>
        <v>0</v>
      </c>
      <c r="I26" s="15">
        <f t="shared" si="3"/>
        <v>0</v>
      </c>
      <c r="J26" s="15">
        <f t="shared" si="3"/>
        <v>0</v>
      </c>
      <c r="K26" s="15">
        <f t="shared" si="3"/>
        <v>0</v>
      </c>
      <c r="L26" s="15">
        <f t="shared" si="3"/>
        <v>0</v>
      </c>
      <c r="M26" s="15">
        <f t="shared" si="3"/>
        <v>0</v>
      </c>
      <c r="N26" s="15">
        <f>SUM(B26:M26)</f>
        <v>0</v>
      </c>
      <c r="O26" s="29"/>
    </row>
    <row r="27" spans="1:44" s="6" customFormat="1">
      <c r="A27" s="13" t="s">
        <v>39</v>
      </c>
      <c r="B27" s="12">
        <f t="shared" ref="B27:N27" si="4">SUM(B23:B26)</f>
        <v>728009</v>
      </c>
      <c r="C27" s="12">
        <f t="shared" si="4"/>
        <v>1112161</v>
      </c>
      <c r="D27" s="12">
        <f t="shared" si="4"/>
        <v>2846679</v>
      </c>
      <c r="E27" s="12">
        <f t="shared" si="4"/>
        <v>2599741</v>
      </c>
      <c r="F27" s="12">
        <f t="shared" si="4"/>
        <v>1689301</v>
      </c>
      <c r="G27" s="12">
        <f t="shared" si="4"/>
        <v>1603462</v>
      </c>
      <c r="H27" s="12">
        <f t="shared" si="4"/>
        <v>1385266</v>
      </c>
      <c r="I27" s="12">
        <f t="shared" si="4"/>
        <v>2156987</v>
      </c>
      <c r="J27" s="12">
        <f t="shared" si="4"/>
        <v>2440729</v>
      </c>
      <c r="K27" s="12">
        <f t="shared" si="4"/>
        <v>2147966</v>
      </c>
      <c r="L27" s="12">
        <f t="shared" si="4"/>
        <v>2021422</v>
      </c>
      <c r="M27" s="12">
        <f>SUM(M23:M26)</f>
        <v>666832</v>
      </c>
      <c r="N27" s="12">
        <f t="shared" si="4"/>
        <v>21398555</v>
      </c>
      <c r="O27" s="29"/>
    </row>
    <row r="28" spans="1:44" s="6" customFormat="1" ht="14.45" customHeight="1">
      <c r="B28" s="73">
        <f>+B27/B9</f>
        <v>0.620911671289331</v>
      </c>
      <c r="C28" s="73">
        <f t="shared" ref="C28:N28" si="5">+C27/C9</f>
        <v>0.43187213154349802</v>
      </c>
      <c r="D28" s="73">
        <f t="shared" si="5"/>
        <v>0.48496713453299145</v>
      </c>
      <c r="E28" s="73">
        <f t="shared" si="5"/>
        <v>0.63954000684375978</v>
      </c>
      <c r="F28" s="73">
        <f t="shared" si="5"/>
        <v>0.66591887328785082</v>
      </c>
      <c r="G28" s="73">
        <f t="shared" si="5"/>
        <v>0.6182596628737359</v>
      </c>
      <c r="H28" s="73">
        <f t="shared" si="5"/>
        <v>0.39945442408146731</v>
      </c>
      <c r="I28" s="73">
        <f t="shared" si="5"/>
        <v>0.58976676046849141</v>
      </c>
      <c r="J28" s="73">
        <f t="shared" si="5"/>
        <v>0.67696971243482651</v>
      </c>
      <c r="K28" s="73">
        <f t="shared" si="5"/>
        <v>0.67610266598929425</v>
      </c>
      <c r="L28" s="73">
        <f t="shared" si="5"/>
        <v>0.67203338919698308</v>
      </c>
      <c r="M28" s="73">
        <f t="shared" si="5"/>
        <v>0.60366344933471661</v>
      </c>
      <c r="N28" s="73">
        <f t="shared" si="5"/>
        <v>0.58096113913864744</v>
      </c>
    </row>
    <row r="29" spans="1:44" s="6" customFormat="1" hidden="1">
      <c r="A29" s="13" t="s">
        <v>40</v>
      </c>
      <c r="B29" s="7"/>
      <c r="C29" s="7"/>
      <c r="D29" s="7"/>
      <c r="E29" s="7"/>
      <c r="F29" s="7"/>
      <c r="G29" s="7"/>
      <c r="H29" s="7"/>
      <c r="I29" s="7"/>
      <c r="J29" s="7"/>
      <c r="K29" s="7"/>
      <c r="L29" s="7"/>
      <c r="M29" s="7"/>
    </row>
    <row r="30" spans="1:44" s="6" customFormat="1" hidden="1">
      <c r="A30" s="6" t="s">
        <v>93</v>
      </c>
      <c r="B30" s="53">
        <v>415779</v>
      </c>
      <c r="C30" s="53">
        <v>561495</v>
      </c>
      <c r="D30" s="53">
        <v>742338</v>
      </c>
      <c r="E30" s="53">
        <v>829683</v>
      </c>
      <c r="F30" s="53">
        <v>607435</v>
      </c>
      <c r="G30" s="53">
        <v>631393</v>
      </c>
      <c r="H30" s="53">
        <v>607413</v>
      </c>
      <c r="I30" s="53">
        <v>721705</v>
      </c>
      <c r="J30" s="53">
        <v>687238</v>
      </c>
      <c r="K30" s="53">
        <v>765469</v>
      </c>
      <c r="L30" s="53">
        <v>649845</v>
      </c>
      <c r="M30" s="53">
        <v>494384</v>
      </c>
      <c r="N30" s="7">
        <f>SUM(B30:M30)</f>
        <v>7714177</v>
      </c>
      <c r="O30" s="29"/>
    </row>
    <row r="31" spans="1:44" s="6" customFormat="1" hidden="1">
      <c r="A31" s="6" t="s">
        <v>42</v>
      </c>
      <c r="B31" s="53">
        <v>245383</v>
      </c>
      <c r="C31" s="53">
        <v>212042</v>
      </c>
      <c r="D31" s="53">
        <v>203129</v>
      </c>
      <c r="E31" s="53">
        <v>235434</v>
      </c>
      <c r="F31" s="53">
        <v>203129</v>
      </c>
      <c r="G31" s="53">
        <v>209186</v>
      </c>
      <c r="H31" s="53">
        <v>237769</v>
      </c>
      <c r="I31" s="53">
        <v>201008</v>
      </c>
      <c r="J31" s="53">
        <v>218161</v>
      </c>
      <c r="K31" s="53">
        <v>210395</v>
      </c>
      <c r="L31" s="53">
        <v>209978</v>
      </c>
      <c r="M31" s="53">
        <v>196661</v>
      </c>
      <c r="N31" s="7">
        <f>SUM(B31:M31)</f>
        <v>2582275</v>
      </c>
      <c r="O31" s="29"/>
    </row>
    <row r="32" spans="1:44" s="6" customFormat="1" ht="15" hidden="1">
      <c r="A32" s="6" t="s">
        <v>38</v>
      </c>
      <c r="B32" s="68"/>
      <c r="C32" s="68"/>
      <c r="D32" s="68"/>
      <c r="E32" s="68"/>
      <c r="F32" s="68"/>
      <c r="G32" s="68"/>
      <c r="H32" s="68"/>
      <c r="I32" s="68"/>
      <c r="J32" s="68"/>
      <c r="K32" s="68"/>
      <c r="L32" s="68"/>
      <c r="M32" s="68"/>
      <c r="N32" s="7">
        <f>SUM(B32:M32)</f>
        <v>0</v>
      </c>
      <c r="O32" s="29"/>
      <c r="P32" s="6">
        <f>+B32*-1</f>
        <v>0</v>
      </c>
      <c r="Q32" s="6">
        <f t="shared" ref="Q32:AF33" si="6">+C32*-1</f>
        <v>0</v>
      </c>
      <c r="R32" s="6">
        <f t="shared" si="6"/>
        <v>0</v>
      </c>
      <c r="S32" s="6">
        <f t="shared" si="6"/>
        <v>0</v>
      </c>
      <c r="T32" s="6">
        <f t="shared" si="6"/>
        <v>0</v>
      </c>
      <c r="U32" s="6">
        <f t="shared" si="6"/>
        <v>0</v>
      </c>
      <c r="V32" s="6">
        <f t="shared" si="6"/>
        <v>0</v>
      </c>
      <c r="W32" s="6">
        <f t="shared" si="6"/>
        <v>0</v>
      </c>
      <c r="X32" s="6">
        <f t="shared" si="6"/>
        <v>0</v>
      </c>
      <c r="Y32" s="6">
        <f t="shared" si="6"/>
        <v>0</v>
      </c>
      <c r="Z32" s="6">
        <f t="shared" si="6"/>
        <v>0</v>
      </c>
      <c r="AA32" s="6">
        <f t="shared" si="6"/>
        <v>0</v>
      </c>
      <c r="AB32" s="6">
        <f t="shared" si="6"/>
        <v>0</v>
      </c>
      <c r="AC32" s="6">
        <f t="shared" si="6"/>
        <v>0</v>
      </c>
      <c r="AD32" s="6">
        <f t="shared" si="6"/>
        <v>0</v>
      </c>
      <c r="AE32" s="6">
        <f t="shared" si="6"/>
        <v>0</v>
      </c>
      <c r="AF32" s="6">
        <f t="shared" si="6"/>
        <v>0</v>
      </c>
      <c r="AG32" s="6">
        <f t="shared" ref="AG32:AR33" si="7">+S32*-1</f>
        <v>0</v>
      </c>
      <c r="AH32" s="6">
        <f t="shared" si="7"/>
        <v>0</v>
      </c>
      <c r="AI32" s="6">
        <f t="shared" si="7"/>
        <v>0</v>
      </c>
      <c r="AJ32" s="6">
        <f t="shared" si="7"/>
        <v>0</v>
      </c>
      <c r="AK32" s="6">
        <f t="shared" si="7"/>
        <v>0</v>
      </c>
      <c r="AL32" s="6">
        <f t="shared" si="7"/>
        <v>0</v>
      </c>
      <c r="AM32" s="6">
        <f t="shared" si="7"/>
        <v>0</v>
      </c>
      <c r="AN32" s="6">
        <f t="shared" si="7"/>
        <v>0</v>
      </c>
      <c r="AO32" s="6">
        <f t="shared" si="7"/>
        <v>0</v>
      </c>
      <c r="AP32" s="6">
        <f t="shared" si="7"/>
        <v>0</v>
      </c>
      <c r="AQ32" s="6">
        <f t="shared" si="7"/>
        <v>0</v>
      </c>
      <c r="AR32" s="6">
        <f t="shared" si="7"/>
        <v>0</v>
      </c>
    </row>
    <row r="33" spans="1:44" s="6" customFormat="1" hidden="1">
      <c r="B33" s="15"/>
      <c r="C33" s="15"/>
      <c r="D33" s="15"/>
      <c r="E33" s="15"/>
      <c r="F33" s="15"/>
      <c r="G33" s="15"/>
      <c r="H33" s="15"/>
      <c r="I33" s="15"/>
      <c r="J33" s="15"/>
      <c r="K33" s="15"/>
      <c r="L33" s="15"/>
      <c r="M33" s="15"/>
      <c r="N33" s="15">
        <f>SUM(B33:M33)</f>
        <v>0</v>
      </c>
      <c r="O33" s="29"/>
      <c r="Q33" s="6">
        <f t="shared" si="6"/>
        <v>0</v>
      </c>
      <c r="R33" s="6">
        <f t="shared" si="6"/>
        <v>0</v>
      </c>
      <c r="S33" s="6">
        <f t="shared" si="6"/>
        <v>0</v>
      </c>
      <c r="T33" s="6">
        <f t="shared" si="6"/>
        <v>0</v>
      </c>
      <c r="U33" s="6">
        <f t="shared" si="6"/>
        <v>0</v>
      </c>
      <c r="V33" s="6">
        <f t="shared" si="6"/>
        <v>0</v>
      </c>
      <c r="W33" s="6">
        <f t="shared" si="6"/>
        <v>0</v>
      </c>
      <c r="X33" s="6">
        <f t="shared" si="6"/>
        <v>0</v>
      </c>
      <c r="Y33" s="6">
        <f t="shared" si="6"/>
        <v>0</v>
      </c>
      <c r="Z33" s="6">
        <f t="shared" si="6"/>
        <v>0</v>
      </c>
      <c r="AA33" s="6">
        <f t="shared" si="6"/>
        <v>0</v>
      </c>
      <c r="AB33" s="6">
        <f t="shared" si="6"/>
        <v>0</v>
      </c>
      <c r="AC33" s="6">
        <f t="shared" si="6"/>
        <v>0</v>
      </c>
      <c r="AD33" s="6">
        <f t="shared" si="6"/>
        <v>0</v>
      </c>
      <c r="AE33" s="6">
        <f t="shared" si="6"/>
        <v>0</v>
      </c>
      <c r="AF33" s="6">
        <f t="shared" si="6"/>
        <v>0</v>
      </c>
      <c r="AG33" s="6">
        <f t="shared" si="7"/>
        <v>0</v>
      </c>
      <c r="AH33" s="6">
        <f t="shared" si="7"/>
        <v>0</v>
      </c>
      <c r="AI33" s="6">
        <f t="shared" si="7"/>
        <v>0</v>
      </c>
      <c r="AJ33" s="6">
        <f t="shared" si="7"/>
        <v>0</v>
      </c>
      <c r="AK33" s="6">
        <f t="shared" si="7"/>
        <v>0</v>
      </c>
      <c r="AL33" s="6">
        <f t="shared" si="7"/>
        <v>0</v>
      </c>
      <c r="AM33" s="6">
        <f t="shared" si="7"/>
        <v>0</v>
      </c>
      <c r="AN33" s="6">
        <f t="shared" si="7"/>
        <v>0</v>
      </c>
      <c r="AO33" s="6">
        <f t="shared" si="7"/>
        <v>0</v>
      </c>
      <c r="AP33" s="6">
        <f t="shared" si="7"/>
        <v>0</v>
      </c>
      <c r="AQ33" s="6">
        <f t="shared" si="7"/>
        <v>0</v>
      </c>
      <c r="AR33" s="6">
        <f t="shared" si="7"/>
        <v>0</v>
      </c>
    </row>
    <row r="34" spans="1:44" s="6" customFormat="1">
      <c r="A34" s="13" t="s">
        <v>43</v>
      </c>
      <c r="B34" s="12">
        <f t="shared" ref="B34:N34" si="8">SUM(B30:B33)</f>
        <v>661162</v>
      </c>
      <c r="C34" s="12">
        <f t="shared" si="8"/>
        <v>773537</v>
      </c>
      <c r="D34" s="12">
        <f t="shared" si="8"/>
        <v>945467</v>
      </c>
      <c r="E34" s="12">
        <f t="shared" si="8"/>
        <v>1065117</v>
      </c>
      <c r="F34" s="12">
        <f t="shared" si="8"/>
        <v>810564</v>
      </c>
      <c r="G34" s="12">
        <f t="shared" si="8"/>
        <v>840579</v>
      </c>
      <c r="H34" s="12">
        <f t="shared" si="8"/>
        <v>845182</v>
      </c>
      <c r="I34" s="12">
        <f t="shared" si="8"/>
        <v>922713</v>
      </c>
      <c r="J34" s="12">
        <f t="shared" si="8"/>
        <v>905399</v>
      </c>
      <c r="K34" s="12">
        <f t="shared" si="8"/>
        <v>975864</v>
      </c>
      <c r="L34" s="12">
        <f t="shared" si="8"/>
        <v>859823</v>
      </c>
      <c r="M34" s="12">
        <f t="shared" si="8"/>
        <v>691045</v>
      </c>
      <c r="N34" s="12">
        <f t="shared" si="8"/>
        <v>10296452</v>
      </c>
      <c r="O34" s="29"/>
    </row>
    <row r="35" spans="1:44" s="6" customFormat="1">
      <c r="B35" s="7"/>
      <c r="C35" s="7"/>
      <c r="D35" s="7"/>
      <c r="E35" s="7"/>
      <c r="F35" s="7"/>
      <c r="G35" s="7"/>
      <c r="H35" s="7"/>
      <c r="I35" s="7"/>
      <c r="J35" s="7"/>
      <c r="K35" s="7"/>
      <c r="L35" s="7"/>
      <c r="M35" s="7"/>
    </row>
    <row r="36" spans="1:44" s="6" customFormat="1" hidden="1">
      <c r="A36" s="13" t="s">
        <v>44</v>
      </c>
      <c r="B36" s="7"/>
      <c r="C36" s="7"/>
      <c r="D36" s="7"/>
      <c r="E36" s="7"/>
      <c r="F36" s="7"/>
      <c r="G36" s="7"/>
      <c r="H36" s="7"/>
      <c r="I36" s="7"/>
      <c r="J36" s="7"/>
      <c r="K36" s="7"/>
      <c r="L36" s="7"/>
      <c r="M36" s="7"/>
    </row>
    <row r="37" spans="1:44" s="6" customFormat="1" hidden="1">
      <c r="A37" s="6" t="s">
        <v>45</v>
      </c>
      <c r="B37" s="53">
        <v>1168701</v>
      </c>
      <c r="C37" s="53">
        <v>1244422</v>
      </c>
      <c r="D37" s="53">
        <v>1461507</v>
      </c>
      <c r="E37" s="53">
        <v>1790911</v>
      </c>
      <c r="F37" s="53">
        <v>1370885</v>
      </c>
      <c r="G37" s="66">
        <v>1564207</v>
      </c>
      <c r="H37" s="66">
        <v>1269929</v>
      </c>
      <c r="I37" s="66">
        <v>1483414</v>
      </c>
      <c r="J37" s="66">
        <v>1568535</v>
      </c>
      <c r="K37" s="53">
        <v>1616062</v>
      </c>
      <c r="L37" s="53">
        <v>1393585</v>
      </c>
      <c r="M37" s="53">
        <v>1140509</v>
      </c>
      <c r="N37" s="7">
        <f>SUM(B37:M37)</f>
        <v>17072667</v>
      </c>
      <c r="O37" s="29"/>
      <c r="P37" s="69"/>
    </row>
    <row r="38" spans="1:44" s="6" customFormat="1" hidden="1">
      <c r="A38" s="6" t="s">
        <v>46</v>
      </c>
      <c r="B38" s="7">
        <f>-B34</f>
        <v>-661162</v>
      </c>
      <c r="C38" s="7">
        <f t="shared" ref="C38:M38" si="9">-C34</f>
        <v>-773537</v>
      </c>
      <c r="D38" s="7">
        <f t="shared" si="9"/>
        <v>-945467</v>
      </c>
      <c r="E38" s="7">
        <f t="shared" si="9"/>
        <v>-1065117</v>
      </c>
      <c r="F38" s="7">
        <f t="shared" si="9"/>
        <v>-810564</v>
      </c>
      <c r="G38" s="7">
        <f t="shared" si="9"/>
        <v>-840579</v>
      </c>
      <c r="H38" s="7">
        <f t="shared" si="9"/>
        <v>-845182</v>
      </c>
      <c r="I38" s="7">
        <f t="shared" si="9"/>
        <v>-922713</v>
      </c>
      <c r="J38" s="7">
        <f t="shared" si="9"/>
        <v>-905399</v>
      </c>
      <c r="K38" s="7">
        <f t="shared" si="9"/>
        <v>-975864</v>
      </c>
      <c r="L38" s="7">
        <f t="shared" si="9"/>
        <v>-859823</v>
      </c>
      <c r="M38" s="7">
        <f t="shared" si="9"/>
        <v>-691045</v>
      </c>
      <c r="N38" s="7">
        <f>SUM(B38:M38)</f>
        <v>-10296452</v>
      </c>
      <c r="O38" s="29"/>
    </row>
    <row r="39" spans="1:44" s="6" customFormat="1" hidden="1">
      <c r="A39" s="6" t="s">
        <v>47</v>
      </c>
      <c r="B39" s="72">
        <v>-77886</v>
      </c>
      <c r="C39" s="72">
        <v>-77317</v>
      </c>
      <c r="D39" s="72">
        <v>-76975</v>
      </c>
      <c r="E39" s="72">
        <v>-75957</v>
      </c>
      <c r="F39" s="72">
        <v>-75944</v>
      </c>
      <c r="G39" s="72">
        <v>-75944</v>
      </c>
      <c r="H39" s="72">
        <v>-75944</v>
      </c>
      <c r="I39" s="72">
        <v>-75679</v>
      </c>
      <c r="J39" s="72">
        <v>-75679</v>
      </c>
      <c r="K39" s="72">
        <v>-78971</v>
      </c>
      <c r="L39" s="72">
        <v>-79895</v>
      </c>
      <c r="M39" s="72">
        <v>-80832</v>
      </c>
      <c r="N39" s="7">
        <f>SUM(B39:M39)</f>
        <v>-927023</v>
      </c>
      <c r="O39" s="29"/>
    </row>
    <row r="40" spans="1:44" s="6" customFormat="1" hidden="1">
      <c r="A40" s="6" t="s">
        <v>78</v>
      </c>
      <c r="B40" s="53"/>
      <c r="C40" s="53"/>
      <c r="D40" s="53"/>
      <c r="E40" s="53"/>
      <c r="F40" s="53"/>
      <c r="G40" s="53"/>
      <c r="H40" s="53"/>
      <c r="I40" s="53"/>
      <c r="J40" s="53"/>
      <c r="K40" s="53"/>
      <c r="L40" s="53"/>
      <c r="M40" s="53"/>
      <c r="N40" s="7">
        <f>SUM(B40:M40)</f>
        <v>0</v>
      </c>
      <c r="O40" s="29"/>
    </row>
    <row r="41" spans="1:44" s="6" customFormat="1" hidden="1">
      <c r="A41" s="6" t="s">
        <v>48</v>
      </c>
      <c r="B41" s="60">
        <v>-8350</v>
      </c>
      <c r="C41" s="60">
        <v>-8250</v>
      </c>
      <c r="D41" s="60">
        <v>-8350</v>
      </c>
      <c r="E41" s="60">
        <v>-8350</v>
      </c>
      <c r="F41" s="60">
        <v>-8350</v>
      </c>
      <c r="G41" s="60">
        <v>-8350</v>
      </c>
      <c r="H41" s="60">
        <v>-8350</v>
      </c>
      <c r="I41" s="60">
        <v>-8350</v>
      </c>
      <c r="J41" s="60">
        <v>-8350</v>
      </c>
      <c r="K41" s="60">
        <v>-8350</v>
      </c>
      <c r="L41" s="60">
        <v>-8350</v>
      </c>
      <c r="M41" s="60">
        <v>-91750</v>
      </c>
      <c r="N41" s="15">
        <f>SUM(B41:M41)</f>
        <v>-183500</v>
      </c>
      <c r="O41" s="29"/>
    </row>
    <row r="42" spans="1:44" s="6" customFormat="1">
      <c r="A42" s="13" t="s">
        <v>49</v>
      </c>
      <c r="B42" s="12">
        <f t="shared" ref="B42:N42" si="10">SUM(B37:B41)</f>
        <v>421303</v>
      </c>
      <c r="C42" s="12">
        <f t="shared" si="10"/>
        <v>385318</v>
      </c>
      <c r="D42" s="12">
        <f t="shared" si="10"/>
        <v>430715</v>
      </c>
      <c r="E42" s="12">
        <f t="shared" si="10"/>
        <v>641487</v>
      </c>
      <c r="F42" s="12">
        <f t="shared" si="10"/>
        <v>476027</v>
      </c>
      <c r="G42" s="12">
        <f t="shared" si="10"/>
        <v>639334</v>
      </c>
      <c r="H42" s="12">
        <f t="shared" si="10"/>
        <v>340453</v>
      </c>
      <c r="I42" s="12">
        <f t="shared" si="10"/>
        <v>476672</v>
      </c>
      <c r="J42" s="12">
        <f t="shared" si="10"/>
        <v>579107</v>
      </c>
      <c r="K42" s="12">
        <f t="shared" si="10"/>
        <v>552877</v>
      </c>
      <c r="L42" s="12">
        <f t="shared" si="10"/>
        <v>445517</v>
      </c>
      <c r="M42" s="12">
        <f t="shared" si="10"/>
        <v>276882</v>
      </c>
      <c r="N42" s="12">
        <f t="shared" si="10"/>
        <v>5665692</v>
      </c>
      <c r="O42" s="29"/>
    </row>
    <row r="43" spans="1:44">
      <c r="A43" s="1"/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2"/>
      <c r="N43" s="12"/>
      <c r="O43" s="6"/>
    </row>
    <row r="44" spans="1:44">
      <c r="A44" s="13" t="s">
        <v>50</v>
      </c>
      <c r="B44" s="53">
        <v>296581</v>
      </c>
      <c r="C44" s="53">
        <v>244043</v>
      </c>
      <c r="D44" s="53">
        <v>272075</v>
      </c>
      <c r="E44" s="53">
        <v>331396</v>
      </c>
      <c r="F44" s="53">
        <v>346084</v>
      </c>
      <c r="G44" s="53">
        <v>278977</v>
      </c>
      <c r="H44" s="53">
        <v>350131</v>
      </c>
      <c r="I44" s="53">
        <v>267034</v>
      </c>
      <c r="J44" s="53">
        <v>354437</v>
      </c>
      <c r="K44" s="53">
        <v>342373</v>
      </c>
      <c r="L44" s="53">
        <v>283726</v>
      </c>
      <c r="M44" s="53">
        <v>285354</v>
      </c>
      <c r="N44" s="12">
        <f>SUM(B44:M44)</f>
        <v>3652211</v>
      </c>
      <c r="O44" s="29"/>
      <c r="P44" s="53"/>
    </row>
    <row r="45" spans="1:44">
      <c r="A45" s="6" t="s">
        <v>107</v>
      </c>
      <c r="B45" s="22"/>
      <c r="C45" s="22"/>
      <c r="D45" s="22"/>
      <c r="E45" s="22"/>
      <c r="F45" s="22"/>
      <c r="G45" s="22"/>
      <c r="H45" s="22"/>
      <c r="I45" s="22"/>
      <c r="J45" s="77">
        <v>1160600</v>
      </c>
      <c r="K45" s="22"/>
      <c r="L45" s="22"/>
      <c r="M45" s="77">
        <f>-467483+380000</f>
        <v>-87483</v>
      </c>
      <c r="N45" s="22">
        <f>SUM(B45:M45)</f>
        <v>1073117</v>
      </c>
      <c r="O45" s="29"/>
      <c r="P45" s="22"/>
    </row>
    <row r="46" spans="1:44">
      <c r="A46" s="1" t="s">
        <v>50</v>
      </c>
      <c r="B46" s="12">
        <f>SUM(B44:B45)</f>
        <v>296581</v>
      </c>
      <c r="C46" s="12">
        <f>SUM(C44:C45)</f>
        <v>244043</v>
      </c>
      <c r="D46" s="12">
        <f t="shared" ref="D46:N46" si="11">SUM(D44:D45)</f>
        <v>272075</v>
      </c>
      <c r="E46" s="12">
        <f t="shared" si="11"/>
        <v>331396</v>
      </c>
      <c r="F46" s="12">
        <f t="shared" si="11"/>
        <v>346084</v>
      </c>
      <c r="G46" s="12">
        <f t="shared" si="11"/>
        <v>278977</v>
      </c>
      <c r="H46" s="12">
        <f t="shared" si="11"/>
        <v>350131</v>
      </c>
      <c r="I46" s="12">
        <f t="shared" si="11"/>
        <v>267034</v>
      </c>
      <c r="J46" s="12">
        <f t="shared" si="11"/>
        <v>1515037</v>
      </c>
      <c r="K46" s="12">
        <f t="shared" si="11"/>
        <v>342373</v>
      </c>
      <c r="L46" s="12">
        <f t="shared" si="11"/>
        <v>283726</v>
      </c>
      <c r="M46" s="12">
        <f t="shared" si="11"/>
        <v>197871</v>
      </c>
      <c r="N46" s="12">
        <f t="shared" si="11"/>
        <v>4725328</v>
      </c>
      <c r="O46" s="29"/>
      <c r="P46" s="12"/>
    </row>
    <row r="47" spans="1:44">
      <c r="B47" s="7"/>
      <c r="C47" s="7"/>
      <c r="D47" s="7"/>
      <c r="E47" s="7"/>
      <c r="F47" s="7"/>
      <c r="G47" s="7"/>
      <c r="H47" s="7"/>
      <c r="I47" s="7"/>
      <c r="J47" s="7"/>
      <c r="K47" s="6"/>
      <c r="L47" s="6"/>
      <c r="M47" s="6"/>
      <c r="N47" s="6"/>
      <c r="O47" s="6"/>
      <c r="P47" s="6"/>
    </row>
    <row r="48" spans="1:44">
      <c r="A48" s="13" t="s">
        <v>52</v>
      </c>
      <c r="B48" s="19">
        <f t="shared" ref="B48:N48" si="12">+B20+B34+B42+B46</f>
        <v>1823521</v>
      </c>
      <c r="C48" s="19">
        <f t="shared" si="12"/>
        <v>2865946</v>
      </c>
      <c r="D48" s="19">
        <f t="shared" si="12"/>
        <v>4671417</v>
      </c>
      <c r="E48" s="19">
        <f t="shared" si="12"/>
        <v>3503276</v>
      </c>
      <c r="F48" s="19">
        <f t="shared" si="12"/>
        <v>2480171</v>
      </c>
      <c r="G48" s="19">
        <f t="shared" si="12"/>
        <v>2748937</v>
      </c>
      <c r="H48" s="19">
        <f t="shared" si="12"/>
        <v>3618395</v>
      </c>
      <c r="I48" s="19">
        <f t="shared" si="12"/>
        <v>3166788</v>
      </c>
      <c r="J48" s="19">
        <f t="shared" si="12"/>
        <v>4164188</v>
      </c>
      <c r="K48" s="19">
        <f t="shared" si="12"/>
        <v>2900130</v>
      </c>
      <c r="L48" s="19">
        <f t="shared" si="12"/>
        <v>2575563</v>
      </c>
      <c r="M48" s="19">
        <f t="shared" si="12"/>
        <v>1603608</v>
      </c>
      <c r="N48" s="19">
        <f t="shared" si="12"/>
        <v>36121940</v>
      </c>
      <c r="O48" s="29"/>
    </row>
    <row r="49" spans="1:17">
      <c r="B49" s="7"/>
      <c r="C49" s="7"/>
      <c r="D49" s="7"/>
      <c r="E49" s="7"/>
      <c r="F49" s="7"/>
      <c r="G49" s="7"/>
      <c r="H49" s="7"/>
      <c r="I49" s="7"/>
      <c r="J49" s="7"/>
      <c r="K49" s="6"/>
      <c r="L49" s="6"/>
      <c r="M49" s="6"/>
      <c r="N49" s="6"/>
      <c r="O49" s="6"/>
    </row>
    <row r="50" spans="1:17">
      <c r="A50" s="1" t="s">
        <v>53</v>
      </c>
      <c r="B50" s="12">
        <f t="shared" ref="B50:M50" si="13">+B13-B48</f>
        <v>-563897</v>
      </c>
      <c r="C50" s="12">
        <f t="shared" si="13"/>
        <v>-292069</v>
      </c>
      <c r="D50" s="12">
        <f t="shared" si="13"/>
        <v>1199273</v>
      </c>
      <c r="E50" s="12">
        <f t="shared" si="13"/>
        <v>583672</v>
      </c>
      <c r="F50" s="12">
        <f t="shared" si="13"/>
        <v>57590</v>
      </c>
      <c r="G50" s="12">
        <f t="shared" si="13"/>
        <v>-154854.41999999993</v>
      </c>
      <c r="H50" s="12">
        <f t="shared" si="13"/>
        <v>-150478</v>
      </c>
      <c r="I50" s="12">
        <f t="shared" si="13"/>
        <v>508740</v>
      </c>
      <c r="J50" s="12">
        <f t="shared" si="13"/>
        <v>-548761</v>
      </c>
      <c r="K50" s="12">
        <f t="shared" si="13"/>
        <v>283679.89000000013</v>
      </c>
      <c r="L50" s="12">
        <f t="shared" si="13"/>
        <v>431883</v>
      </c>
      <c r="M50" s="12">
        <f t="shared" si="13"/>
        <v>-408056</v>
      </c>
      <c r="N50" s="12">
        <f>SUM(B50:M50)</f>
        <v>946722.4700000002</v>
      </c>
      <c r="O50" s="6"/>
      <c r="P50" s="25"/>
    </row>
    <row r="51" spans="1:17" ht="7.5" customHeight="1">
      <c r="B51" s="7"/>
      <c r="C51" s="7"/>
      <c r="D51" s="7"/>
      <c r="E51" s="7"/>
      <c r="F51" s="7"/>
      <c r="G51" s="7"/>
      <c r="H51" s="7"/>
      <c r="I51" s="7"/>
      <c r="J51" s="7"/>
      <c r="K51" s="6"/>
      <c r="L51" s="6"/>
      <c r="M51" s="6"/>
      <c r="N51" s="6"/>
      <c r="O51" s="6"/>
    </row>
    <row r="52" spans="1:17">
      <c r="A52" s="1" t="s">
        <v>54</v>
      </c>
      <c r="B52" s="7"/>
      <c r="C52" s="7"/>
      <c r="D52" s="7"/>
      <c r="E52" s="7"/>
      <c r="F52" s="7"/>
      <c r="G52" s="7"/>
      <c r="H52" s="7"/>
      <c r="I52" s="7"/>
      <c r="J52" s="7"/>
      <c r="K52" s="6"/>
      <c r="L52" s="6"/>
      <c r="M52" s="6"/>
      <c r="N52" s="6"/>
      <c r="O52" s="6"/>
    </row>
    <row r="53" spans="1:17" s="6" customFormat="1">
      <c r="A53" s="6" t="s">
        <v>55</v>
      </c>
      <c r="B53" s="10">
        <v>101289</v>
      </c>
      <c r="C53" s="10">
        <v>230379</v>
      </c>
      <c r="D53" s="10">
        <v>5347</v>
      </c>
      <c r="E53" s="10">
        <f>740+15090+2192.65</f>
        <v>18022.650000000001</v>
      </c>
      <c r="F53" s="10">
        <v>85439</v>
      </c>
      <c r="G53" s="10">
        <v>23064</v>
      </c>
      <c r="H53" s="23">
        <v>15602</v>
      </c>
      <c r="I53" s="10">
        <v>68817</v>
      </c>
      <c r="J53" s="10">
        <v>7700</v>
      </c>
      <c r="K53" s="10">
        <v>8338</v>
      </c>
      <c r="L53" s="10">
        <v>328190</v>
      </c>
      <c r="M53" s="10">
        <f>5671-64849</f>
        <v>-59178</v>
      </c>
      <c r="N53" s="10">
        <f>SUM(B53:M53)</f>
        <v>833009.65</v>
      </c>
      <c r="P53" s="40"/>
    </row>
    <row r="54" spans="1:17" s="6" customFormat="1">
      <c r="A54" s="6" t="s">
        <v>96</v>
      </c>
      <c r="B54" s="10"/>
      <c r="C54" s="10"/>
      <c r="D54" s="10"/>
      <c r="E54" s="10"/>
      <c r="F54" s="10">
        <v>95000</v>
      </c>
      <c r="G54" s="10"/>
      <c r="H54" s="10"/>
      <c r="I54" s="10"/>
      <c r="J54" s="10"/>
      <c r="K54" s="10"/>
      <c r="L54" s="10"/>
      <c r="M54" s="10"/>
      <c r="N54" s="10">
        <f>SUM(B54:M54)</f>
        <v>95000</v>
      </c>
      <c r="P54" s="7"/>
      <c r="Q54" s="6">
        <v>0</v>
      </c>
    </row>
    <row r="55" spans="1:17" s="6" customFormat="1">
      <c r="A55" s="6" t="s">
        <v>111</v>
      </c>
      <c r="B55" s="10">
        <f>276228+184</f>
        <v>276412</v>
      </c>
      <c r="C55" s="10"/>
      <c r="D55" s="10"/>
      <c r="E55" s="10"/>
      <c r="F55" s="10"/>
      <c r="G55" s="10"/>
      <c r="H55" s="10"/>
      <c r="I55" s="10"/>
      <c r="J55" s="47">
        <v>-1160600</v>
      </c>
      <c r="K55" s="10"/>
      <c r="L55" s="10">
        <v>0</v>
      </c>
      <c r="M55" s="77">
        <f>467483-380000</f>
        <v>87483</v>
      </c>
      <c r="N55" s="10">
        <f>SUM(B55:M55)</f>
        <v>-796705</v>
      </c>
      <c r="P55" s="7"/>
    </row>
    <row r="56" spans="1:17" s="6" customFormat="1">
      <c r="A56" s="37" t="s">
        <v>58</v>
      </c>
      <c r="B56" s="7">
        <v>-12589</v>
      </c>
      <c r="C56" s="7">
        <v>-11612</v>
      </c>
      <c r="D56" s="7">
        <v>-12266</v>
      </c>
      <c r="E56" s="7">
        <v>-9918</v>
      </c>
      <c r="F56" s="7">
        <v>-8157</v>
      </c>
      <c r="G56" s="7">
        <v>-95705.42</v>
      </c>
      <c r="H56" s="10">
        <v>-9293</v>
      </c>
      <c r="I56" s="7">
        <v>-8523</v>
      </c>
      <c r="J56" s="7">
        <v>-12297</v>
      </c>
      <c r="K56" s="7">
        <v>-18474</v>
      </c>
      <c r="L56" s="7">
        <f>-10419-407</f>
        <v>-10826</v>
      </c>
      <c r="M56" s="7">
        <f>-10916-476</f>
        <v>-11392</v>
      </c>
      <c r="N56" s="7">
        <f>SUM(B56:M56)</f>
        <v>-221052.41999999998</v>
      </c>
      <c r="P56" s="56"/>
    </row>
    <row r="57" spans="1:17" s="6" customFormat="1">
      <c r="A57" s="6" t="s">
        <v>59</v>
      </c>
      <c r="B57" s="22">
        <v>-187388</v>
      </c>
      <c r="C57" s="22">
        <v>-40876</v>
      </c>
      <c r="D57" s="22">
        <v>-158851</v>
      </c>
      <c r="E57" s="22">
        <v>-155108</v>
      </c>
      <c r="F57" s="22">
        <v>-96958</v>
      </c>
      <c r="G57" s="22">
        <v>-18871.16</v>
      </c>
      <c r="H57" s="10">
        <v>-438304</v>
      </c>
      <c r="I57" s="22">
        <v>313386</v>
      </c>
      <c r="J57" s="22">
        <v>120187</v>
      </c>
      <c r="K57" s="22">
        <v>33076</v>
      </c>
      <c r="L57" s="22">
        <v>26234.6</v>
      </c>
      <c r="M57" s="22">
        <v>108907</v>
      </c>
      <c r="N57" s="22">
        <f>SUM(B57:M57)</f>
        <v>-494565.56000000017</v>
      </c>
      <c r="P57" s="56"/>
    </row>
    <row r="58" spans="1:17" s="6" customFormat="1">
      <c r="A58" s="13" t="s">
        <v>60</v>
      </c>
      <c r="B58" s="19">
        <f t="shared" ref="B58:N58" si="14">SUM(B53:B57)</f>
        <v>177724</v>
      </c>
      <c r="C58" s="19">
        <f t="shared" si="14"/>
        <v>177891</v>
      </c>
      <c r="D58" s="19">
        <f t="shared" si="14"/>
        <v>-165770</v>
      </c>
      <c r="E58" s="19">
        <f t="shared" si="14"/>
        <v>-147003.35</v>
      </c>
      <c r="F58" s="19">
        <f t="shared" si="14"/>
        <v>75324</v>
      </c>
      <c r="G58" s="19">
        <f t="shared" si="14"/>
        <v>-91512.58</v>
      </c>
      <c r="H58" s="19">
        <f>SUM(H53:H57)</f>
        <v>-431995</v>
      </c>
      <c r="I58" s="19">
        <f t="shared" si="14"/>
        <v>373680</v>
      </c>
      <c r="J58" s="19">
        <f t="shared" si="14"/>
        <v>-1045010</v>
      </c>
      <c r="K58" s="19">
        <f t="shared" si="14"/>
        <v>22940</v>
      </c>
      <c r="L58" s="19">
        <f t="shared" si="14"/>
        <v>343598.6</v>
      </c>
      <c r="M58" s="19">
        <f t="shared" si="14"/>
        <v>125820</v>
      </c>
      <c r="N58" s="19">
        <f t="shared" si="14"/>
        <v>-584313.33000000007</v>
      </c>
      <c r="O58" s="29"/>
      <c r="P58" s="40"/>
    </row>
    <row r="59" spans="1:17">
      <c r="B59" s="7"/>
      <c r="C59" s="7"/>
      <c r="D59" s="7"/>
      <c r="E59" s="7"/>
      <c r="F59" s="7"/>
      <c r="G59" s="7"/>
      <c r="H59" s="7"/>
      <c r="I59" s="7"/>
      <c r="J59" s="7"/>
      <c r="K59" s="7"/>
      <c r="L59" s="7"/>
      <c r="M59" s="7"/>
      <c r="N59" s="7"/>
      <c r="O59" s="6"/>
    </row>
    <row r="60" spans="1:17">
      <c r="A60" s="1" t="s">
        <v>61</v>
      </c>
      <c r="B60" s="12">
        <v>13373023</v>
      </c>
      <c r="C60" s="7"/>
      <c r="D60" s="7"/>
      <c r="E60" s="7"/>
      <c r="F60" s="7"/>
      <c r="G60" s="7"/>
      <c r="H60" s="7" t="s">
        <v>38</v>
      </c>
      <c r="I60" s="7"/>
      <c r="J60" s="7"/>
      <c r="K60" s="6"/>
      <c r="L60" s="6"/>
      <c r="M60" s="6"/>
      <c r="N60" s="6"/>
      <c r="O60" s="6"/>
    </row>
    <row r="61" spans="1:17">
      <c r="A61" s="13" t="s">
        <v>62</v>
      </c>
      <c r="B61" s="19">
        <f t="shared" ref="B61:N61" si="15">+B58+B48</f>
        <v>2001245</v>
      </c>
      <c r="C61" s="19">
        <f t="shared" si="15"/>
        <v>3043837</v>
      </c>
      <c r="D61" s="19">
        <f t="shared" si="15"/>
        <v>4505647</v>
      </c>
      <c r="E61" s="19">
        <f t="shared" si="15"/>
        <v>3356272.65</v>
      </c>
      <c r="F61" s="19">
        <f t="shared" si="15"/>
        <v>2555495</v>
      </c>
      <c r="G61" s="19">
        <f t="shared" si="15"/>
        <v>2657424.42</v>
      </c>
      <c r="H61" s="19">
        <f t="shared" si="15"/>
        <v>3186400</v>
      </c>
      <c r="I61" s="19">
        <f t="shared" si="15"/>
        <v>3540468</v>
      </c>
      <c r="J61" s="19">
        <f t="shared" si="15"/>
        <v>3119178</v>
      </c>
      <c r="K61" s="19">
        <f t="shared" si="15"/>
        <v>2923070</v>
      </c>
      <c r="L61" s="19">
        <f t="shared" si="15"/>
        <v>2919161.6</v>
      </c>
      <c r="M61" s="19">
        <f t="shared" si="15"/>
        <v>1729428</v>
      </c>
      <c r="N61" s="19">
        <f t="shared" si="15"/>
        <v>35537626.670000002</v>
      </c>
      <c r="O61" s="29"/>
      <c r="P61" s="25"/>
    </row>
    <row r="62" spans="1:17" ht="13.5" thickBot="1">
      <c r="A62" s="13" t="s">
        <v>63</v>
      </c>
      <c r="B62" s="30">
        <f t="shared" ref="B62:N62" si="16">+B13-B61</f>
        <v>-741621</v>
      </c>
      <c r="C62" s="30">
        <f t="shared" si="16"/>
        <v>-469960</v>
      </c>
      <c r="D62" s="30">
        <f t="shared" si="16"/>
        <v>1365043</v>
      </c>
      <c r="E62" s="30">
        <f t="shared" si="16"/>
        <v>730675.35000000009</v>
      </c>
      <c r="F62" s="30">
        <f t="shared" si="16"/>
        <v>-17734</v>
      </c>
      <c r="G62" s="30">
        <f t="shared" si="16"/>
        <v>-63341.839999999851</v>
      </c>
      <c r="H62" s="30">
        <f t="shared" si="16"/>
        <v>281517</v>
      </c>
      <c r="I62" s="30">
        <f t="shared" si="16"/>
        <v>135060</v>
      </c>
      <c r="J62" s="30">
        <f t="shared" si="16"/>
        <v>496249</v>
      </c>
      <c r="K62" s="30">
        <f t="shared" si="16"/>
        <v>260739.89000000013</v>
      </c>
      <c r="L62" s="30">
        <f t="shared" si="16"/>
        <v>88284.399999999907</v>
      </c>
      <c r="M62" s="30">
        <f t="shared" si="16"/>
        <v>-533876</v>
      </c>
      <c r="N62" s="14">
        <f t="shared" si="16"/>
        <v>1531035.799999997</v>
      </c>
      <c r="O62" s="29"/>
      <c r="P62" s="25"/>
    </row>
    <row r="63" spans="1:17" s="6" customFormat="1" ht="13.5" thickTop="1">
      <c r="A63" s="13" t="s">
        <v>64</v>
      </c>
      <c r="B63" s="32">
        <f>+B62</f>
        <v>-741621</v>
      </c>
      <c r="C63" s="32">
        <f t="shared" ref="C63:M63" si="17">B63+C62</f>
        <v>-1211581</v>
      </c>
      <c r="D63" s="32">
        <f t="shared" si="17"/>
        <v>153462</v>
      </c>
      <c r="E63" s="32">
        <f t="shared" si="17"/>
        <v>884137.35000000009</v>
      </c>
      <c r="F63" s="32">
        <f t="shared" si="17"/>
        <v>866403.35000000009</v>
      </c>
      <c r="G63" s="32">
        <f t="shared" si="17"/>
        <v>803061.51000000024</v>
      </c>
      <c r="H63" s="32">
        <f t="shared" si="17"/>
        <v>1084578.5100000002</v>
      </c>
      <c r="I63" s="32">
        <f t="shared" si="17"/>
        <v>1219638.5100000002</v>
      </c>
      <c r="J63" s="32">
        <f t="shared" si="17"/>
        <v>1715887.5100000002</v>
      </c>
      <c r="K63" s="32">
        <f t="shared" si="17"/>
        <v>1976627.4000000004</v>
      </c>
      <c r="L63" s="32">
        <f t="shared" si="17"/>
        <v>2064911.8000000003</v>
      </c>
      <c r="M63" s="32">
        <f t="shared" si="17"/>
        <v>1531035.8000000003</v>
      </c>
      <c r="N63" s="12"/>
    </row>
    <row r="64" spans="1:17">
      <c r="A64" s="13" t="s">
        <v>65</v>
      </c>
      <c r="B64" s="12">
        <f t="shared" ref="B64:M64" si="18">+$B$60+B63</f>
        <v>12631402</v>
      </c>
      <c r="C64" s="12">
        <f t="shared" si="18"/>
        <v>12161442</v>
      </c>
      <c r="D64" s="12">
        <f t="shared" si="18"/>
        <v>13526485</v>
      </c>
      <c r="E64" s="12">
        <f t="shared" si="18"/>
        <v>14257160.35</v>
      </c>
      <c r="F64" s="12">
        <f t="shared" si="18"/>
        <v>14239426.35</v>
      </c>
      <c r="G64" s="12">
        <f t="shared" si="18"/>
        <v>14176084.51</v>
      </c>
      <c r="H64" s="12">
        <f t="shared" si="18"/>
        <v>14457601.51</v>
      </c>
      <c r="I64" s="12">
        <f t="shared" si="18"/>
        <v>14592661.51</v>
      </c>
      <c r="J64" s="12">
        <f t="shared" si="18"/>
        <v>15088910.51</v>
      </c>
      <c r="K64" s="12">
        <f t="shared" si="18"/>
        <v>15349650.4</v>
      </c>
      <c r="L64" s="12">
        <f t="shared" si="18"/>
        <v>15437934.800000001</v>
      </c>
      <c r="M64" s="12">
        <f t="shared" si="18"/>
        <v>14904058.800000001</v>
      </c>
      <c r="N64" s="12"/>
      <c r="O64" s="6"/>
      <c r="P64" s="29"/>
    </row>
    <row r="65" spans="1:16">
      <c r="A65" s="6"/>
      <c r="B65" s="7"/>
      <c r="C65" s="7"/>
      <c r="D65" s="7"/>
      <c r="E65" s="7"/>
      <c r="F65" s="7"/>
      <c r="G65" s="7"/>
      <c r="H65" s="7"/>
      <c r="I65" s="7"/>
      <c r="J65" s="7"/>
      <c r="K65" s="6"/>
      <c r="L65" s="6"/>
      <c r="M65" s="6"/>
      <c r="N65" s="6"/>
      <c r="O65" s="6"/>
    </row>
    <row r="66" spans="1:16" s="6" customFormat="1">
      <c r="A66" s="17" t="s">
        <v>94</v>
      </c>
      <c r="B66" s="18"/>
      <c r="C66" s="18"/>
      <c r="D66" s="18"/>
      <c r="E66" s="18"/>
      <c r="F66" s="18"/>
      <c r="G66" s="18"/>
      <c r="H66" s="18"/>
      <c r="I66" s="18"/>
      <c r="J66" s="18"/>
      <c r="K66" s="18"/>
      <c r="L66" s="18"/>
      <c r="M66" s="18"/>
      <c r="N66" s="18"/>
    </row>
    <row r="67" spans="1:16" ht="13.5" thickBot="1">
      <c r="A67" s="13" t="s">
        <v>67</v>
      </c>
      <c r="B67" s="14">
        <v>-968259</v>
      </c>
      <c r="C67" s="14">
        <v>165657</v>
      </c>
      <c r="D67" s="14">
        <v>1175481</v>
      </c>
      <c r="E67" s="14">
        <v>388022</v>
      </c>
      <c r="F67" s="14">
        <v>-191039</v>
      </c>
      <c r="G67" s="14">
        <v>96436</v>
      </c>
      <c r="H67" s="14">
        <v>-114280</v>
      </c>
      <c r="I67" s="14">
        <v>316290</v>
      </c>
      <c r="J67" s="14">
        <v>629469</v>
      </c>
      <c r="K67" s="14">
        <v>-20889</v>
      </c>
      <c r="L67" s="14">
        <v>188867</v>
      </c>
      <c r="M67" s="14">
        <v>-1359836</v>
      </c>
      <c r="N67" s="16"/>
      <c r="O67" s="6"/>
    </row>
    <row r="68" spans="1:16" ht="13.5" thickTop="1">
      <c r="A68" s="13" t="s">
        <v>64</v>
      </c>
      <c r="B68" s="12">
        <f>+B67</f>
        <v>-968259</v>
      </c>
      <c r="C68" s="12">
        <f>+B68+C67</f>
        <v>-802602</v>
      </c>
      <c r="D68" s="12">
        <f t="shared" ref="D68:M68" si="19">+C68+D67</f>
        <v>372879</v>
      </c>
      <c r="E68" s="12">
        <f t="shared" si="19"/>
        <v>760901</v>
      </c>
      <c r="F68" s="12">
        <f t="shared" si="19"/>
        <v>569862</v>
      </c>
      <c r="G68" s="12">
        <f t="shared" si="19"/>
        <v>666298</v>
      </c>
      <c r="H68" s="12">
        <f t="shared" si="19"/>
        <v>552018</v>
      </c>
      <c r="I68" s="12">
        <f t="shared" si="19"/>
        <v>868308</v>
      </c>
      <c r="J68" s="12">
        <f t="shared" si="19"/>
        <v>1497777</v>
      </c>
      <c r="K68" s="12">
        <f t="shared" si="19"/>
        <v>1476888</v>
      </c>
      <c r="L68" s="12">
        <f t="shared" si="19"/>
        <v>1665755</v>
      </c>
      <c r="M68" s="12">
        <f t="shared" si="19"/>
        <v>305919</v>
      </c>
      <c r="N68" s="16"/>
      <c r="O68" s="6"/>
    </row>
    <row r="69" spans="1:16">
      <c r="A69" s="13" t="s">
        <v>65</v>
      </c>
      <c r="B69" s="12">
        <v>10066787.80069958</v>
      </c>
      <c r="C69" s="12">
        <v>10474885.82712047</v>
      </c>
      <c r="D69" s="12">
        <v>11546728.467384296</v>
      </c>
      <c r="E69" s="12">
        <v>11992721.928639133</v>
      </c>
      <c r="F69" s="12">
        <v>11726972.321587943</v>
      </c>
      <c r="G69" s="12">
        <v>11337269.706012141</v>
      </c>
      <c r="H69" s="12">
        <v>11322908.797641888</v>
      </c>
      <c r="I69" s="12">
        <v>11526789.393104676</v>
      </c>
      <c r="J69" s="12">
        <v>11837705.668475684</v>
      </c>
      <c r="K69" s="12">
        <v>12021264.778665379</v>
      </c>
      <c r="L69" s="12">
        <v>12475612.568366794</v>
      </c>
      <c r="M69" s="12">
        <v>11197948.23476476</v>
      </c>
      <c r="N69" s="12"/>
      <c r="O69" s="6"/>
    </row>
    <row r="70" spans="1:16">
      <c r="A70" s="6"/>
      <c r="B70" s="6"/>
      <c r="C70" s="6"/>
      <c r="D70" s="6"/>
      <c r="E70" s="6"/>
      <c r="F70" s="6"/>
      <c r="H70" s="6"/>
      <c r="I70" s="6"/>
      <c r="J70" s="6"/>
      <c r="K70" s="6"/>
      <c r="L70" s="6"/>
      <c r="M70" s="6"/>
      <c r="N70" s="6"/>
      <c r="O70" s="6"/>
    </row>
    <row r="71" spans="1:16">
      <c r="A71" s="24" t="s">
        <v>68</v>
      </c>
      <c r="B71" s="18"/>
      <c r="C71" s="18"/>
      <c r="D71" s="18"/>
      <c r="E71" s="18"/>
      <c r="F71" s="18"/>
      <c r="G71" s="18"/>
      <c r="H71" s="18"/>
      <c r="I71" s="18"/>
      <c r="J71" s="18"/>
      <c r="K71" s="18"/>
      <c r="L71" s="18"/>
      <c r="M71" s="18"/>
      <c r="N71" s="18"/>
      <c r="O71" s="6"/>
    </row>
    <row r="72" spans="1:16">
      <c r="A72" s="13" t="s">
        <v>63</v>
      </c>
      <c r="B72" s="31">
        <f t="shared" ref="B72:N74" si="20">+B62-B67</f>
        <v>226638</v>
      </c>
      <c r="C72" s="31">
        <f t="shared" si="20"/>
        <v>-635617</v>
      </c>
      <c r="D72" s="31">
        <f t="shared" si="20"/>
        <v>189562</v>
      </c>
      <c r="E72" s="31">
        <f t="shared" si="20"/>
        <v>342653.35000000009</v>
      </c>
      <c r="F72" s="31">
        <f t="shared" si="20"/>
        <v>173305</v>
      </c>
      <c r="G72" s="31">
        <f t="shared" si="20"/>
        <v>-159777.83999999985</v>
      </c>
      <c r="H72" s="31">
        <f t="shared" si="20"/>
        <v>395797</v>
      </c>
      <c r="I72" s="31">
        <f t="shared" si="20"/>
        <v>-181230</v>
      </c>
      <c r="J72" s="31">
        <f t="shared" si="20"/>
        <v>-133220</v>
      </c>
      <c r="K72" s="31">
        <f t="shared" si="20"/>
        <v>281628.89000000013</v>
      </c>
      <c r="L72" s="31">
        <f t="shared" si="20"/>
        <v>-100582.60000000009</v>
      </c>
      <c r="M72" s="16">
        <f t="shared" si="20"/>
        <v>825960</v>
      </c>
      <c r="N72" s="6"/>
      <c r="O72" s="6"/>
      <c r="P72" s="16">
        <f>+N62-N67</f>
        <v>1531035.799999997</v>
      </c>
    </row>
    <row r="73" spans="1:16" s="6" customFormat="1">
      <c r="A73" s="13" t="s">
        <v>64</v>
      </c>
      <c r="B73" s="31">
        <f t="shared" si="20"/>
        <v>226638</v>
      </c>
      <c r="C73" s="31">
        <f t="shared" si="20"/>
        <v>-408979</v>
      </c>
      <c r="D73" s="31">
        <f t="shared" si="20"/>
        <v>-219417</v>
      </c>
      <c r="E73" s="31">
        <f t="shared" si="20"/>
        <v>123236.35000000009</v>
      </c>
      <c r="F73" s="31">
        <f t="shared" si="20"/>
        <v>296541.35000000009</v>
      </c>
      <c r="G73" s="31">
        <f t="shared" si="20"/>
        <v>136763.51000000024</v>
      </c>
      <c r="H73" s="31">
        <f t="shared" si="20"/>
        <v>532560.51000000024</v>
      </c>
      <c r="I73" s="31">
        <f t="shared" si="20"/>
        <v>351330.51000000024</v>
      </c>
      <c r="J73" s="31">
        <f t="shared" si="20"/>
        <v>218110.51000000024</v>
      </c>
      <c r="K73" s="31">
        <f t="shared" si="20"/>
        <v>499739.40000000037</v>
      </c>
      <c r="L73" s="31">
        <f t="shared" si="20"/>
        <v>399156.80000000028</v>
      </c>
      <c r="M73" s="16">
        <f t="shared" si="20"/>
        <v>1225116.8000000003</v>
      </c>
      <c r="N73" s="16">
        <f t="shared" si="20"/>
        <v>0</v>
      </c>
    </row>
    <row r="74" spans="1:16">
      <c r="A74" s="1" t="s">
        <v>65</v>
      </c>
      <c r="B74" s="16">
        <f t="shared" si="20"/>
        <v>2564614.1993004195</v>
      </c>
      <c r="C74" s="16">
        <f t="shared" si="20"/>
        <v>1686556.1728795301</v>
      </c>
      <c r="D74" s="16">
        <f t="shared" si="20"/>
        <v>1979756.5326157045</v>
      </c>
      <c r="E74" s="16">
        <f t="shared" si="20"/>
        <v>2264438.4213608671</v>
      </c>
      <c r="F74" s="16">
        <f t="shared" si="20"/>
        <v>2512454.0284120571</v>
      </c>
      <c r="G74" s="16">
        <f t="shared" si="20"/>
        <v>2838814.8039878588</v>
      </c>
      <c r="H74" s="16">
        <f t="shared" si="20"/>
        <v>3134692.7123581115</v>
      </c>
      <c r="I74" s="16">
        <f t="shared" si="20"/>
        <v>3065872.1168953236</v>
      </c>
      <c r="J74" s="16">
        <f t="shared" si="20"/>
        <v>3251204.841524316</v>
      </c>
      <c r="K74" s="16">
        <f t="shared" si="20"/>
        <v>3328385.6213346217</v>
      </c>
      <c r="L74" s="16">
        <f t="shared" si="20"/>
        <v>2962322.2316332068</v>
      </c>
      <c r="M74" s="16">
        <f t="shared" si="20"/>
        <v>3706110.5652352404</v>
      </c>
      <c r="N74" s="16"/>
      <c r="O74" s="6"/>
    </row>
    <row r="75" spans="1:16">
      <c r="B75" s="6"/>
      <c r="C75" s="6"/>
      <c r="D75" s="6"/>
      <c r="E75" s="6"/>
      <c r="F75" s="6"/>
      <c r="H75" s="6"/>
      <c r="I75" s="6"/>
      <c r="J75" s="6"/>
      <c r="K75" s="6"/>
      <c r="L75" s="6"/>
      <c r="M75" s="6"/>
      <c r="N75" s="6"/>
    </row>
    <row r="76" spans="1:16">
      <c r="A76" s="1"/>
      <c r="B76" s="4"/>
      <c r="C76" s="8"/>
      <c r="D76" s="8"/>
      <c r="E76" s="8"/>
      <c r="F76" s="8"/>
      <c r="H76" s="20"/>
      <c r="J76" s="6"/>
      <c r="K76" s="6"/>
    </row>
    <row r="77" spans="1:16">
      <c r="A77" s="1"/>
      <c r="B77" s="4"/>
      <c r="C77" s="8"/>
      <c r="D77" s="8"/>
      <c r="E77" s="8"/>
      <c r="F77" s="8"/>
      <c r="H77" s="20"/>
      <c r="J77" s="6"/>
      <c r="L77">
        <v>10419.15</v>
      </c>
    </row>
    <row r="78" spans="1:16">
      <c r="A78" s="1"/>
      <c r="B78" s="4"/>
      <c r="D78" s="8"/>
      <c r="E78" s="8"/>
      <c r="F78" s="8"/>
      <c r="H78" s="61"/>
      <c r="J78" s="6"/>
    </row>
    <row r="79" spans="1:16">
      <c r="E79" s="6"/>
      <c r="H79" s="20"/>
      <c r="J79" s="6"/>
      <c r="N79" s="25"/>
    </row>
    <row r="80" spans="1:16">
      <c r="A80" t="s">
        <v>69</v>
      </c>
      <c r="B80" t="s">
        <v>69</v>
      </c>
      <c r="C80" t="s">
        <v>69</v>
      </c>
      <c r="D80" t="s">
        <v>69</v>
      </c>
      <c r="E80" s="6" t="s">
        <v>69</v>
      </c>
      <c r="F80" t="s">
        <v>69</v>
      </c>
      <c r="G80" s="6" t="s">
        <v>69</v>
      </c>
      <c r="H80" t="s">
        <v>69</v>
      </c>
      <c r="I80" t="s">
        <v>69</v>
      </c>
      <c r="J80" s="6" t="s">
        <v>69</v>
      </c>
      <c r="K80" t="s">
        <v>69</v>
      </c>
      <c r="L80" t="s">
        <v>69</v>
      </c>
      <c r="M80" t="s">
        <v>69</v>
      </c>
      <c r="N80" t="s">
        <v>69</v>
      </c>
    </row>
    <row r="81" spans="1:14">
      <c r="E81" s="6"/>
      <c r="J81" s="6"/>
    </row>
    <row r="82" spans="1:14">
      <c r="A82" s="33" t="s">
        <v>70</v>
      </c>
      <c r="B82" s="47">
        <v>52000</v>
      </c>
      <c r="C82" s="47">
        <v>20000</v>
      </c>
      <c r="D82" s="47">
        <v>10000</v>
      </c>
      <c r="E82" s="47">
        <v>44355</v>
      </c>
      <c r="F82" s="47">
        <v>186840</v>
      </c>
      <c r="G82" s="10">
        <v>202000</v>
      </c>
      <c r="H82" s="54">
        <v>197000</v>
      </c>
      <c r="I82" s="47">
        <v>142000</v>
      </c>
      <c r="J82" s="47">
        <v>119000</v>
      </c>
      <c r="K82" s="47">
        <v>0</v>
      </c>
      <c r="L82" s="47">
        <v>0</v>
      </c>
      <c r="M82" s="47">
        <v>455000</v>
      </c>
      <c r="N82" s="7">
        <v>1428195</v>
      </c>
    </row>
    <row r="83" spans="1:14">
      <c r="A83" s="33" t="s">
        <v>71</v>
      </c>
      <c r="B83" s="2">
        <f>+B82</f>
        <v>52000</v>
      </c>
      <c r="C83" s="2">
        <f>+B83+C82</f>
        <v>72000</v>
      </c>
      <c r="D83" s="2">
        <f t="shared" ref="D83:M83" si="21">+C83+D82</f>
        <v>82000</v>
      </c>
      <c r="E83" s="7">
        <f t="shared" si="21"/>
        <v>126355</v>
      </c>
      <c r="F83" s="2">
        <f t="shared" si="21"/>
        <v>313195</v>
      </c>
      <c r="G83" s="7">
        <f t="shared" si="21"/>
        <v>515195</v>
      </c>
      <c r="H83" s="2">
        <f t="shared" si="21"/>
        <v>712195</v>
      </c>
      <c r="I83" s="2">
        <f t="shared" si="21"/>
        <v>854195</v>
      </c>
      <c r="J83" s="7">
        <f t="shared" si="21"/>
        <v>973195</v>
      </c>
      <c r="K83" s="2">
        <f t="shared" si="21"/>
        <v>973195</v>
      </c>
      <c r="L83" s="2">
        <f t="shared" si="21"/>
        <v>973195</v>
      </c>
      <c r="M83" s="2">
        <f t="shared" si="21"/>
        <v>1428195</v>
      </c>
    </row>
    <row r="84" spans="1:14">
      <c r="A84" s="33" t="s">
        <v>72</v>
      </c>
      <c r="B84" s="7">
        <f>+B53</f>
        <v>101289</v>
      </c>
      <c r="C84" s="7">
        <f>SUM($B53:C53)</f>
        <v>331668</v>
      </c>
      <c r="D84" s="7">
        <f>SUM($B53:D53)</f>
        <v>337015</v>
      </c>
      <c r="E84" s="7">
        <f>SUM($B53:E53)</f>
        <v>355037.65</v>
      </c>
      <c r="F84" s="7">
        <f>SUM($B53:F53)</f>
        <v>440476.65</v>
      </c>
      <c r="G84" s="7">
        <f>SUM($B53:G53)</f>
        <v>463540.65</v>
      </c>
      <c r="H84" s="7">
        <f>SUM(B53:H53)</f>
        <v>479142.65</v>
      </c>
      <c r="I84" s="7">
        <f>SUM(B53:I53)</f>
        <v>547959.65</v>
      </c>
      <c r="J84" s="7">
        <f>SUM(B53:J53)</f>
        <v>555659.65</v>
      </c>
      <c r="K84" s="7">
        <f>SUM(B53:K53)</f>
        <v>563997.65</v>
      </c>
      <c r="L84" s="7">
        <f>SUM(B53:L53)</f>
        <v>892187.65</v>
      </c>
      <c r="M84" s="7">
        <f>SUM(B53:M53)</f>
        <v>833009.65</v>
      </c>
    </row>
    <row r="85" spans="1:14">
      <c r="A85" s="33" t="s">
        <v>73</v>
      </c>
      <c r="B85" s="7">
        <f t="shared" ref="B85:G85" si="22">+B83-B84</f>
        <v>-49289</v>
      </c>
      <c r="C85" s="7">
        <f t="shared" si="22"/>
        <v>-259668</v>
      </c>
      <c r="D85" s="7">
        <f t="shared" si="22"/>
        <v>-255015</v>
      </c>
      <c r="E85" s="7">
        <f t="shared" si="22"/>
        <v>-228682.65000000002</v>
      </c>
      <c r="F85" s="7">
        <f t="shared" si="22"/>
        <v>-127281.65000000002</v>
      </c>
      <c r="G85" s="7">
        <f t="shared" si="22"/>
        <v>51654.349999999977</v>
      </c>
      <c r="H85" s="7">
        <f t="shared" ref="H85:M85" si="23">+H83-H84</f>
        <v>233052.34999999998</v>
      </c>
      <c r="I85" s="7">
        <f t="shared" si="23"/>
        <v>306235.34999999998</v>
      </c>
      <c r="J85" s="7">
        <f t="shared" si="23"/>
        <v>417535.35</v>
      </c>
      <c r="K85" s="7">
        <f t="shared" si="23"/>
        <v>409197.35</v>
      </c>
      <c r="L85" s="7">
        <f t="shared" si="23"/>
        <v>81007.349999999977</v>
      </c>
      <c r="M85" s="7">
        <f t="shared" si="23"/>
        <v>595185.35</v>
      </c>
    </row>
    <row r="86" spans="1:14">
      <c r="J86" s="6"/>
      <c r="K86" s="6"/>
    </row>
    <row r="87" spans="1:14">
      <c r="A87" t="s">
        <v>74</v>
      </c>
      <c r="B87" s="35">
        <f>-B56-B57</f>
        <v>199977</v>
      </c>
      <c r="C87" s="35">
        <f t="shared" ref="C87:N87" si="24">-C56-C57</f>
        <v>52488</v>
      </c>
      <c r="D87" s="35">
        <f t="shared" si="24"/>
        <v>171117</v>
      </c>
      <c r="E87" s="35">
        <f t="shared" si="24"/>
        <v>165026</v>
      </c>
      <c r="F87" s="35">
        <f t="shared" si="24"/>
        <v>105115</v>
      </c>
      <c r="G87" s="40">
        <f t="shared" si="24"/>
        <v>114576.58</v>
      </c>
      <c r="H87" s="40">
        <f t="shared" si="24"/>
        <v>447597</v>
      </c>
      <c r="I87" s="35">
        <f t="shared" si="24"/>
        <v>-304863</v>
      </c>
      <c r="J87" s="35">
        <f t="shared" si="24"/>
        <v>-107890</v>
      </c>
      <c r="K87" s="40">
        <f t="shared" si="24"/>
        <v>-14602</v>
      </c>
      <c r="L87" s="35">
        <f t="shared" si="24"/>
        <v>-15408.599999999999</v>
      </c>
      <c r="M87" s="35">
        <f t="shared" si="24"/>
        <v>-97515</v>
      </c>
      <c r="N87" s="35">
        <f t="shared" si="24"/>
        <v>715617.98000000021</v>
      </c>
    </row>
    <row r="88" spans="1:14">
      <c r="C88" s="35">
        <f>+B87+C87</f>
        <v>252465</v>
      </c>
      <c r="D88" s="35">
        <f>+C88+D87</f>
        <v>423582</v>
      </c>
      <c r="E88" s="35">
        <f t="shared" ref="E88:M88" si="25">+D88+E87</f>
        <v>588608</v>
      </c>
      <c r="F88" s="35">
        <f t="shared" si="25"/>
        <v>693723</v>
      </c>
      <c r="G88" s="40">
        <f t="shared" si="25"/>
        <v>808299.58</v>
      </c>
      <c r="H88" s="35">
        <f t="shared" si="25"/>
        <v>1255896.58</v>
      </c>
      <c r="I88" s="40">
        <f t="shared" si="25"/>
        <v>951033.58000000007</v>
      </c>
      <c r="J88" s="40">
        <f t="shared" si="25"/>
        <v>843143.58000000007</v>
      </c>
      <c r="K88" s="40">
        <f t="shared" si="25"/>
        <v>828541.58000000007</v>
      </c>
      <c r="L88" s="35">
        <f t="shared" si="25"/>
        <v>813132.9800000001</v>
      </c>
      <c r="M88" s="35">
        <f t="shared" si="25"/>
        <v>715617.9800000001</v>
      </c>
    </row>
    <row r="89" spans="1:14">
      <c r="B89" s="6"/>
      <c r="C89" s="6"/>
      <c r="D89" s="6"/>
      <c r="E89" s="6"/>
    </row>
    <row r="90" spans="1:14">
      <c r="B90" s="6"/>
      <c r="C90" s="6"/>
      <c r="D90" s="21"/>
      <c r="E90" s="6"/>
    </row>
    <row r="91" spans="1:14">
      <c r="B91" s="6"/>
      <c r="C91" s="6"/>
      <c r="D91" s="6"/>
      <c r="E91" s="6"/>
    </row>
    <row r="92" spans="1:14">
      <c r="B92" s="70">
        <v>78554</v>
      </c>
      <c r="C92" s="70">
        <v>78293</v>
      </c>
      <c r="D92" s="70">
        <v>79025</v>
      </c>
      <c r="E92" s="70">
        <v>81090</v>
      </c>
      <c r="F92" s="71">
        <v>81090</v>
      </c>
      <c r="G92" s="70">
        <v>81079</v>
      </c>
      <c r="H92" s="71">
        <v>89229</v>
      </c>
      <c r="I92" s="71">
        <v>88964</v>
      </c>
      <c r="J92" s="71">
        <v>88964</v>
      </c>
      <c r="K92" s="71">
        <v>88563</v>
      </c>
      <c r="L92" s="71">
        <v>97279</v>
      </c>
      <c r="M92" s="71">
        <v>97277</v>
      </c>
    </row>
    <row r="93" spans="1:14">
      <c r="B93" s="6">
        <f>+B92*-1</f>
        <v>-78554</v>
      </c>
      <c r="C93" s="6">
        <f t="shared" ref="C93:M93" si="26">+C92*-1</f>
        <v>-78293</v>
      </c>
      <c r="D93" s="6">
        <f t="shared" si="26"/>
        <v>-79025</v>
      </c>
      <c r="E93" s="6">
        <f t="shared" si="26"/>
        <v>-81090</v>
      </c>
      <c r="F93" s="6">
        <f t="shared" si="26"/>
        <v>-81090</v>
      </c>
      <c r="G93" s="6">
        <f t="shared" si="26"/>
        <v>-81079</v>
      </c>
      <c r="H93" s="6">
        <f t="shared" si="26"/>
        <v>-89229</v>
      </c>
      <c r="I93" s="6">
        <f t="shared" si="26"/>
        <v>-88964</v>
      </c>
      <c r="J93" s="6">
        <f t="shared" si="26"/>
        <v>-88964</v>
      </c>
      <c r="K93" s="6">
        <f t="shared" si="26"/>
        <v>-88563</v>
      </c>
      <c r="L93" s="6">
        <f t="shared" si="26"/>
        <v>-97279</v>
      </c>
      <c r="M93" s="6">
        <f t="shared" si="26"/>
        <v>-97277</v>
      </c>
    </row>
    <row r="94" spans="1:14">
      <c r="B94" s="6"/>
      <c r="C94" s="6"/>
      <c r="D94" s="34"/>
      <c r="E94" s="6"/>
    </row>
    <row r="95" spans="1:14">
      <c r="B95" s="6"/>
      <c r="C95" s="6"/>
      <c r="D95" s="6"/>
      <c r="E95" s="6"/>
    </row>
    <row r="96" spans="1:14">
      <c r="B96" s="6"/>
      <c r="C96" s="6"/>
      <c r="D96" s="6"/>
      <c r="E96" s="6"/>
    </row>
    <row r="97" spans="7:9">
      <c r="G97" s="6">
        <v>95705.42</v>
      </c>
      <c r="I97">
        <v>18871.16</v>
      </c>
    </row>
  </sheetData>
  <pageMargins left="0.28000000000000003" right="0.25" top="0.99" bottom="0.75" header="0.63" footer="0.23"/>
  <pageSetup scale="65" orientation="landscape" r:id="rId1"/>
  <headerFooter alignWithMargins="0">
    <oddHeader xml:space="preserve">&amp;C&amp;"Arial,Bold"&amp;11 49ER SHOPS, INC.
&amp;UFY2017/2018 OPERATIONAL CASH FLOW </oddHeader>
    <oddFooter>&amp;CCash Flow - FY2017/2018
June 2018 Pre-audit</oddFooter>
  </headerFooter>
  <legacyDrawing r:id="rId2"/>
</worksheet>
</file>

<file path=xl/worksheets/sheet3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92D050"/>
    <pageSetUpPr fitToPage="1"/>
  </sheetPr>
  <dimension ref="A1:O97"/>
  <sheetViews>
    <sheetView showGridLines="0" zoomScale="60" zoomScaleNormal="60" workbookViewId="0">
      <selection activeCell="P45" sqref="P45"/>
    </sheetView>
  </sheetViews>
  <sheetFormatPr defaultRowHeight="12.75"/>
  <cols>
    <col min="1" max="1" width="35.42578125" customWidth="1"/>
    <col min="2" max="2" width="14" customWidth="1"/>
    <col min="3" max="3" width="12.5703125" customWidth="1"/>
    <col min="4" max="4" width="14" customWidth="1"/>
    <col min="5" max="5" width="13.5703125" customWidth="1"/>
    <col min="6" max="6" width="12.85546875" customWidth="1"/>
    <col min="7" max="7" width="12.5703125" style="6" customWidth="1"/>
    <col min="8" max="9" width="12.85546875" customWidth="1"/>
    <col min="10" max="10" width="13.85546875" customWidth="1"/>
    <col min="11" max="11" width="14.42578125" customWidth="1"/>
    <col min="12" max="13" width="12.85546875" customWidth="1"/>
    <col min="14" max="14" width="12.85546875" bestFit="1" customWidth="1"/>
    <col min="15" max="15" width="12.42578125" bestFit="1" customWidth="1"/>
  </cols>
  <sheetData>
    <row r="1" spans="1:15" ht="13.5" thickBot="1">
      <c r="A1" s="46" t="s">
        <v>110</v>
      </c>
      <c r="E1" s="6"/>
      <c r="F1" s="6"/>
      <c r="J1" s="6"/>
      <c r="K1" s="6"/>
      <c r="N1" s="3"/>
    </row>
    <row r="2" spans="1:15">
      <c r="B2" s="45" t="s">
        <v>24</v>
      </c>
      <c r="C2" s="45" t="s">
        <v>24</v>
      </c>
      <c r="D2" s="45" t="s">
        <v>24</v>
      </c>
      <c r="E2" s="45" t="s">
        <v>24</v>
      </c>
      <c r="F2" s="45" t="s">
        <v>24</v>
      </c>
      <c r="G2" s="45" t="s">
        <v>24</v>
      </c>
      <c r="H2" s="45" t="s">
        <v>24</v>
      </c>
      <c r="I2" s="45" t="s">
        <v>24</v>
      </c>
      <c r="J2" s="45" t="s">
        <v>24</v>
      </c>
      <c r="K2" s="45" t="s">
        <v>24</v>
      </c>
      <c r="L2" s="45" t="s">
        <v>24</v>
      </c>
      <c r="M2" s="45" t="s">
        <v>24</v>
      </c>
      <c r="N2" s="28" t="s">
        <v>25</v>
      </c>
    </row>
    <row r="3" spans="1:15" s="5" customFormat="1">
      <c r="B3" s="11">
        <v>42918</v>
      </c>
      <c r="C3" s="11">
        <v>42949</v>
      </c>
      <c r="D3" s="11">
        <v>42980</v>
      </c>
      <c r="E3" s="11">
        <v>43010</v>
      </c>
      <c r="F3" s="11">
        <v>43041</v>
      </c>
      <c r="G3" s="11">
        <v>43071</v>
      </c>
      <c r="H3" s="11">
        <v>43102</v>
      </c>
      <c r="I3" s="11">
        <v>43133</v>
      </c>
      <c r="J3" s="11">
        <v>43161</v>
      </c>
      <c r="K3" s="11">
        <v>43192</v>
      </c>
      <c r="L3" s="11">
        <v>43222</v>
      </c>
      <c r="M3" s="11">
        <v>43253</v>
      </c>
      <c r="N3" s="57" t="s">
        <v>100</v>
      </c>
    </row>
    <row r="4" spans="1:15" hidden="1">
      <c r="A4" s="1" t="s">
        <v>27</v>
      </c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>
        <f>SUM(B4:M4)</f>
        <v>0</v>
      </c>
      <c r="O4" s="29"/>
    </row>
    <row r="5" spans="1:15" s="6" customFormat="1" hidden="1">
      <c r="A5" s="6" t="s">
        <v>28</v>
      </c>
      <c r="B5" s="53">
        <v>1102036</v>
      </c>
      <c r="C5" s="53">
        <v>2503975</v>
      </c>
      <c r="D5" s="53">
        <v>5591236</v>
      </c>
      <c r="E5" s="53">
        <v>3997731</v>
      </c>
      <c r="F5" s="53">
        <v>2408043</v>
      </c>
      <c r="G5" s="53">
        <v>2520652</v>
      </c>
      <c r="H5" s="53">
        <v>3392954</v>
      </c>
      <c r="I5" s="53">
        <v>3526195</v>
      </c>
      <c r="J5" s="53">
        <v>3275212</v>
      </c>
      <c r="K5" s="53">
        <v>3101717</v>
      </c>
      <c r="L5" s="53">
        <v>2775087</v>
      </c>
      <c r="M5" s="53">
        <v>1008592</v>
      </c>
      <c r="N5" s="12">
        <f>SUM(B5:M5)</f>
        <v>35203430</v>
      </c>
      <c r="O5" s="29"/>
    </row>
    <row r="6" spans="1:15" s="6" customFormat="1" hidden="1">
      <c r="A6" s="6" t="s">
        <v>29</v>
      </c>
      <c r="B6" s="53">
        <v>70448</v>
      </c>
      <c r="C6" s="53">
        <v>71234</v>
      </c>
      <c r="D6" s="53">
        <v>278603</v>
      </c>
      <c r="E6" s="53">
        <v>67286</v>
      </c>
      <c r="F6" s="53">
        <v>128754</v>
      </c>
      <c r="G6" s="53">
        <v>72857</v>
      </c>
      <c r="H6" s="53">
        <v>74941</v>
      </c>
      <c r="I6" s="53">
        <v>131161</v>
      </c>
      <c r="J6" s="53">
        <v>330162</v>
      </c>
      <c r="K6" s="53">
        <v>75265</v>
      </c>
      <c r="L6" s="53">
        <v>232832</v>
      </c>
      <c r="M6" s="53">
        <v>262464</v>
      </c>
      <c r="N6" s="7">
        <f>SUM(B6:M6)</f>
        <v>1796007</v>
      </c>
      <c r="O6" s="29"/>
    </row>
    <row r="7" spans="1:15" s="6" customFormat="1" hidden="1">
      <c r="B7" s="7"/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7">
        <f>SUM(B7:M7)</f>
        <v>0</v>
      </c>
      <c r="O7" s="29"/>
    </row>
    <row r="8" spans="1:15" s="6" customFormat="1" hidden="1">
      <c r="B8" s="15"/>
      <c r="C8" s="15"/>
      <c r="D8" s="15"/>
      <c r="E8" s="15"/>
      <c r="F8" s="15"/>
      <c r="G8" s="15"/>
      <c r="H8" s="15"/>
      <c r="I8" s="15"/>
      <c r="J8" s="15"/>
      <c r="K8" s="15"/>
      <c r="L8" s="15"/>
      <c r="M8" s="15"/>
      <c r="N8" s="15">
        <f>SUM(B8:M8)</f>
        <v>0</v>
      </c>
      <c r="O8" s="29"/>
    </row>
    <row r="9" spans="1:15" s="6" customFormat="1">
      <c r="A9" s="13" t="s">
        <v>30</v>
      </c>
      <c r="B9" s="12">
        <f t="shared" ref="B9:N9" si="0">SUM(B5:B8)</f>
        <v>1172484</v>
      </c>
      <c r="C9" s="12">
        <f t="shared" si="0"/>
        <v>2575209</v>
      </c>
      <c r="D9" s="12">
        <f t="shared" si="0"/>
        <v>5869839</v>
      </c>
      <c r="E9" s="12">
        <f t="shared" si="0"/>
        <v>4065017</v>
      </c>
      <c r="F9" s="12">
        <f t="shared" si="0"/>
        <v>2536797</v>
      </c>
      <c r="G9" s="12">
        <f t="shared" si="0"/>
        <v>2593509</v>
      </c>
      <c r="H9" s="12">
        <f t="shared" si="0"/>
        <v>3467895</v>
      </c>
      <c r="I9" s="12">
        <f t="shared" si="0"/>
        <v>3657356</v>
      </c>
      <c r="J9" s="12">
        <f t="shared" si="0"/>
        <v>3605374</v>
      </c>
      <c r="K9" s="12">
        <f t="shared" si="0"/>
        <v>3176982</v>
      </c>
      <c r="L9" s="12">
        <f t="shared" si="0"/>
        <v>3007919</v>
      </c>
      <c r="M9" s="12">
        <f t="shared" si="0"/>
        <v>1271056</v>
      </c>
      <c r="N9" s="12">
        <f t="shared" si="0"/>
        <v>36999437</v>
      </c>
      <c r="O9" s="29"/>
    </row>
    <row r="10" spans="1:15" s="6" customFormat="1" ht="6.75" customHeight="1"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29"/>
    </row>
    <row r="11" spans="1:15" s="6" customFormat="1">
      <c r="A11" s="13" t="s">
        <v>31</v>
      </c>
      <c r="B11" s="7">
        <f>99729+B56</f>
        <v>87140</v>
      </c>
      <c r="C11" s="7">
        <f>10280+C56</f>
        <v>-1332</v>
      </c>
      <c r="D11" s="7">
        <f>13117+D56</f>
        <v>851</v>
      </c>
      <c r="E11" s="7">
        <f>31849+E56</f>
        <v>21931</v>
      </c>
      <c r="F11" s="7">
        <f>9121+F56</f>
        <v>964</v>
      </c>
      <c r="G11" s="7">
        <f>96279+G56</f>
        <v>573.58000000000175</v>
      </c>
      <c r="H11" s="7">
        <f>9315+H56</f>
        <v>22</v>
      </c>
      <c r="I11" s="7">
        <f>26695+I56</f>
        <v>18172</v>
      </c>
      <c r="J11" s="7">
        <f>22350+J56</f>
        <v>10053</v>
      </c>
      <c r="K11" s="7">
        <v>6827.89</v>
      </c>
      <c r="L11" s="7">
        <v>-473</v>
      </c>
      <c r="M11" s="7">
        <v>87294</v>
      </c>
      <c r="N11" s="7">
        <f>SUM(B11:M11)</f>
        <v>232023.47000000003</v>
      </c>
      <c r="O11" s="29">
        <v>-232025</v>
      </c>
    </row>
    <row r="12" spans="1:15" s="6" customFormat="1" ht="7.5" customHeight="1">
      <c r="B12" s="7"/>
      <c r="C12" s="7"/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  <c r="O12" s="29"/>
    </row>
    <row r="13" spans="1:15" s="6" customFormat="1" ht="13.5" thickBot="1">
      <c r="A13" s="13" t="s">
        <v>32</v>
      </c>
      <c r="B13" s="14">
        <f t="shared" ref="B13:N13" si="1">B9+B11</f>
        <v>1259624</v>
      </c>
      <c r="C13" s="14">
        <f>C9+C11</f>
        <v>2573877</v>
      </c>
      <c r="D13" s="14">
        <f t="shared" si="1"/>
        <v>5870690</v>
      </c>
      <c r="E13" s="14">
        <f t="shared" si="1"/>
        <v>4086948</v>
      </c>
      <c r="F13" s="14">
        <f t="shared" si="1"/>
        <v>2537761</v>
      </c>
      <c r="G13" s="14">
        <f t="shared" si="1"/>
        <v>2594082.58</v>
      </c>
      <c r="H13" s="14">
        <f t="shared" si="1"/>
        <v>3467917</v>
      </c>
      <c r="I13" s="14">
        <f t="shared" si="1"/>
        <v>3675528</v>
      </c>
      <c r="J13" s="14">
        <f t="shared" si="1"/>
        <v>3615427</v>
      </c>
      <c r="K13" s="14">
        <f t="shared" si="1"/>
        <v>3183809.89</v>
      </c>
      <c r="L13" s="14">
        <f t="shared" si="1"/>
        <v>3007446</v>
      </c>
      <c r="M13" s="14">
        <f t="shared" si="1"/>
        <v>1358350</v>
      </c>
      <c r="N13" s="14">
        <f t="shared" si="1"/>
        <v>37231460.469999999</v>
      </c>
      <c r="O13" s="29"/>
    </row>
    <row r="14" spans="1:15" s="6" customFormat="1" ht="13.5" thickTop="1">
      <c r="B14" s="7"/>
      <c r="C14" s="7"/>
      <c r="D14" s="7"/>
      <c r="E14" s="7"/>
      <c r="F14" s="7"/>
      <c r="G14" s="7"/>
      <c r="H14" s="7"/>
      <c r="I14" s="7"/>
      <c r="J14" s="7"/>
      <c r="K14" s="7"/>
      <c r="L14" s="7"/>
      <c r="M14" s="7"/>
    </row>
    <row r="15" spans="1:15" s="6" customFormat="1" hidden="1">
      <c r="A15" s="13" t="s">
        <v>33</v>
      </c>
      <c r="B15" s="7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</row>
    <row r="16" spans="1:15" s="6" customFormat="1" hidden="1">
      <c r="A16" s="6" t="s">
        <v>34</v>
      </c>
      <c r="B16" s="53">
        <v>444475</v>
      </c>
      <c r="C16" s="53">
        <v>1463048</v>
      </c>
      <c r="D16" s="53">
        <v>3023160</v>
      </c>
      <c r="E16" s="53">
        <v>1465276</v>
      </c>
      <c r="F16" s="53">
        <v>847496</v>
      </c>
      <c r="G16" s="53">
        <v>990047</v>
      </c>
      <c r="H16" s="53">
        <v>2082629</v>
      </c>
      <c r="I16" s="53">
        <v>1500369</v>
      </c>
      <c r="J16" s="53">
        <v>1164645</v>
      </c>
      <c r="K16" s="53">
        <v>1029016</v>
      </c>
      <c r="L16" s="53">
        <v>986497</v>
      </c>
      <c r="M16" s="53">
        <v>437810</v>
      </c>
      <c r="N16" s="7">
        <f>SUM(B16:M16)</f>
        <v>15434468</v>
      </c>
      <c r="O16" s="29"/>
    </row>
    <row r="17" spans="1:15" s="6" customFormat="1" hidden="1">
      <c r="B17" s="27"/>
      <c r="C17" s="27"/>
      <c r="D17" s="27"/>
      <c r="E17" s="27"/>
      <c r="F17" s="27"/>
      <c r="G17" s="27"/>
      <c r="H17" s="27"/>
      <c r="I17" s="27"/>
      <c r="J17" s="27"/>
      <c r="K17" s="27"/>
      <c r="L17" s="27"/>
      <c r="M17" s="27"/>
      <c r="N17" s="7">
        <f>SUM(B17:M17)</f>
        <v>0</v>
      </c>
    </row>
    <row r="18" spans="1:15" s="6" customFormat="1" hidden="1">
      <c r="B18" s="7"/>
      <c r="C18" s="7"/>
      <c r="D18" s="7"/>
      <c r="E18" s="7"/>
      <c r="F18" s="7"/>
      <c r="G18" s="7"/>
      <c r="H18" s="7"/>
      <c r="I18" s="7"/>
      <c r="J18" s="7"/>
      <c r="K18" s="7"/>
      <c r="L18" s="7"/>
      <c r="M18" s="7"/>
      <c r="N18" s="7">
        <v>0</v>
      </c>
    </row>
    <row r="19" spans="1:15" s="6" customFormat="1" hidden="1">
      <c r="B19" s="15"/>
      <c r="C19" s="15"/>
      <c r="D19" s="15"/>
      <c r="E19" s="15"/>
      <c r="F19" s="15"/>
      <c r="G19" s="15"/>
      <c r="H19" s="15"/>
      <c r="I19" s="15"/>
      <c r="J19" s="15"/>
      <c r="K19" s="15"/>
      <c r="L19" s="15"/>
      <c r="M19" s="15"/>
      <c r="N19" s="15">
        <f>SUM(B19:M19)</f>
        <v>0</v>
      </c>
    </row>
    <row r="20" spans="1:15" s="6" customFormat="1">
      <c r="A20" s="13" t="s">
        <v>35</v>
      </c>
      <c r="B20" s="12">
        <f t="shared" ref="B20:N20" si="2">SUM(B16:B19)</f>
        <v>444475</v>
      </c>
      <c r="C20" s="12">
        <f t="shared" si="2"/>
        <v>1463048</v>
      </c>
      <c r="D20" s="12">
        <f t="shared" si="2"/>
        <v>3023160</v>
      </c>
      <c r="E20" s="12">
        <f t="shared" si="2"/>
        <v>1465276</v>
      </c>
      <c r="F20" s="12">
        <f t="shared" si="2"/>
        <v>847496</v>
      </c>
      <c r="G20" s="12">
        <f t="shared" si="2"/>
        <v>990047</v>
      </c>
      <c r="H20" s="12">
        <f t="shared" si="2"/>
        <v>2082629</v>
      </c>
      <c r="I20" s="12">
        <f t="shared" si="2"/>
        <v>1500369</v>
      </c>
      <c r="J20" s="12">
        <f t="shared" si="2"/>
        <v>1164645</v>
      </c>
      <c r="K20" s="12">
        <f t="shared" si="2"/>
        <v>1029016</v>
      </c>
      <c r="L20" s="12">
        <f t="shared" si="2"/>
        <v>986497</v>
      </c>
      <c r="M20" s="12">
        <f t="shared" si="2"/>
        <v>437810</v>
      </c>
      <c r="N20" s="12">
        <f t="shared" si="2"/>
        <v>15434468</v>
      </c>
      <c r="O20" s="29"/>
    </row>
    <row r="21" spans="1:15" s="6" customFormat="1">
      <c r="B21" s="7"/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</row>
    <row r="22" spans="1:15" s="6" customFormat="1" hidden="1">
      <c r="A22" s="13" t="s">
        <v>36</v>
      </c>
      <c r="B22" s="7"/>
      <c r="C22" s="7"/>
      <c r="D22" s="7"/>
      <c r="E22" s="7"/>
      <c r="F22" s="7"/>
      <c r="G22" s="7"/>
      <c r="H22" s="7"/>
      <c r="I22" s="7"/>
      <c r="J22" s="7"/>
      <c r="K22" s="7"/>
      <c r="L22" s="7"/>
      <c r="M22" s="7"/>
    </row>
    <row r="23" spans="1:15" s="6" customFormat="1" hidden="1">
      <c r="A23" s="6" t="s">
        <v>37</v>
      </c>
      <c r="B23" s="7">
        <f t="shared" ref="B23:M26" si="3">+B5-B16</f>
        <v>657561</v>
      </c>
      <c r="C23" s="7">
        <f t="shared" si="3"/>
        <v>1040927</v>
      </c>
      <c r="D23" s="7">
        <f t="shared" si="3"/>
        <v>2568076</v>
      </c>
      <c r="E23" s="7">
        <f t="shared" si="3"/>
        <v>2532455</v>
      </c>
      <c r="F23" s="7">
        <f t="shared" si="3"/>
        <v>1560547</v>
      </c>
      <c r="G23" s="7">
        <f t="shared" si="3"/>
        <v>1530605</v>
      </c>
      <c r="H23" s="7">
        <f t="shared" si="3"/>
        <v>1310325</v>
      </c>
      <c r="I23" s="7">
        <f t="shared" si="3"/>
        <v>2025826</v>
      </c>
      <c r="J23" s="7">
        <f t="shared" si="3"/>
        <v>2110567</v>
      </c>
      <c r="K23" s="7">
        <f t="shared" si="3"/>
        <v>2072701</v>
      </c>
      <c r="L23" s="7">
        <f t="shared" si="3"/>
        <v>1788590</v>
      </c>
      <c r="M23" s="7">
        <f t="shared" si="3"/>
        <v>570782</v>
      </c>
      <c r="N23" s="7">
        <f>SUM(B23:M23)</f>
        <v>19768962</v>
      </c>
      <c r="O23" s="29"/>
    </row>
    <row r="24" spans="1:15" s="6" customFormat="1" hidden="1">
      <c r="A24" s="6" t="s">
        <v>37</v>
      </c>
      <c r="B24" s="7">
        <f t="shared" si="3"/>
        <v>70448</v>
      </c>
      <c r="C24" s="7">
        <f t="shared" si="3"/>
        <v>71234</v>
      </c>
      <c r="D24" s="7">
        <f t="shared" si="3"/>
        <v>278603</v>
      </c>
      <c r="E24" s="7">
        <f t="shared" si="3"/>
        <v>67286</v>
      </c>
      <c r="F24" s="7">
        <f t="shared" si="3"/>
        <v>128754</v>
      </c>
      <c r="G24" s="7">
        <f t="shared" si="3"/>
        <v>72857</v>
      </c>
      <c r="H24" s="7">
        <f t="shared" si="3"/>
        <v>74941</v>
      </c>
      <c r="I24" s="7">
        <f t="shared" si="3"/>
        <v>131161</v>
      </c>
      <c r="J24" s="7">
        <f t="shared" si="3"/>
        <v>330162</v>
      </c>
      <c r="K24" s="7">
        <f t="shared" si="3"/>
        <v>75265</v>
      </c>
      <c r="L24" s="7">
        <f t="shared" si="3"/>
        <v>232832</v>
      </c>
      <c r="M24" s="7">
        <f t="shared" si="3"/>
        <v>262464</v>
      </c>
      <c r="N24" s="7">
        <f>SUM(B24:M24)</f>
        <v>1796007</v>
      </c>
      <c r="O24" s="29"/>
    </row>
    <row r="25" spans="1:15" s="6" customFormat="1" hidden="1">
      <c r="A25" s="6" t="s">
        <v>38</v>
      </c>
      <c r="B25" s="7">
        <f t="shared" si="3"/>
        <v>0</v>
      </c>
      <c r="C25" s="7">
        <f t="shared" si="3"/>
        <v>0</v>
      </c>
      <c r="D25" s="7">
        <f t="shared" si="3"/>
        <v>0</v>
      </c>
      <c r="E25" s="7">
        <f t="shared" si="3"/>
        <v>0</v>
      </c>
      <c r="F25" s="7">
        <f t="shared" si="3"/>
        <v>0</v>
      </c>
      <c r="G25" s="7">
        <f t="shared" si="3"/>
        <v>0</v>
      </c>
      <c r="H25" s="7">
        <f t="shared" si="3"/>
        <v>0</v>
      </c>
      <c r="I25" s="7">
        <f t="shared" si="3"/>
        <v>0</v>
      </c>
      <c r="J25" s="7">
        <f t="shared" si="3"/>
        <v>0</v>
      </c>
      <c r="K25" s="7">
        <f t="shared" si="3"/>
        <v>0</v>
      </c>
      <c r="L25" s="7">
        <f t="shared" si="3"/>
        <v>0</v>
      </c>
      <c r="M25" s="7">
        <f t="shared" si="3"/>
        <v>0</v>
      </c>
      <c r="N25" s="7">
        <f>SUM(B25:M25)</f>
        <v>0</v>
      </c>
      <c r="O25" s="29"/>
    </row>
    <row r="26" spans="1:15" s="6" customFormat="1" hidden="1">
      <c r="A26" s="6" t="s">
        <v>38</v>
      </c>
      <c r="B26" s="15">
        <f t="shared" si="3"/>
        <v>0</v>
      </c>
      <c r="C26" s="15">
        <f t="shared" si="3"/>
        <v>0</v>
      </c>
      <c r="D26" s="15">
        <f t="shared" si="3"/>
        <v>0</v>
      </c>
      <c r="E26" s="15">
        <f t="shared" si="3"/>
        <v>0</v>
      </c>
      <c r="F26" s="15">
        <f t="shared" si="3"/>
        <v>0</v>
      </c>
      <c r="G26" s="15">
        <f t="shared" si="3"/>
        <v>0</v>
      </c>
      <c r="H26" s="15">
        <f t="shared" si="3"/>
        <v>0</v>
      </c>
      <c r="I26" s="15">
        <f t="shared" si="3"/>
        <v>0</v>
      </c>
      <c r="J26" s="15">
        <f t="shared" si="3"/>
        <v>0</v>
      </c>
      <c r="K26" s="15">
        <f t="shared" si="3"/>
        <v>0</v>
      </c>
      <c r="L26" s="15">
        <f t="shared" si="3"/>
        <v>0</v>
      </c>
      <c r="M26" s="15">
        <f t="shared" si="3"/>
        <v>0</v>
      </c>
      <c r="N26" s="15">
        <f>SUM(B26:M26)</f>
        <v>0</v>
      </c>
      <c r="O26" s="29"/>
    </row>
    <row r="27" spans="1:15" s="6" customFormat="1">
      <c r="A27" s="13" t="s">
        <v>39</v>
      </c>
      <c r="B27" s="12">
        <f t="shared" ref="B27:N27" si="4">SUM(B23:B26)</f>
        <v>728009</v>
      </c>
      <c r="C27" s="12">
        <f t="shared" si="4"/>
        <v>1112161</v>
      </c>
      <c r="D27" s="12">
        <f t="shared" si="4"/>
        <v>2846679</v>
      </c>
      <c r="E27" s="12">
        <f t="shared" si="4"/>
        <v>2599741</v>
      </c>
      <c r="F27" s="12">
        <f t="shared" si="4"/>
        <v>1689301</v>
      </c>
      <c r="G27" s="12">
        <f t="shared" si="4"/>
        <v>1603462</v>
      </c>
      <c r="H27" s="12">
        <f t="shared" si="4"/>
        <v>1385266</v>
      </c>
      <c r="I27" s="12">
        <f t="shared" si="4"/>
        <v>2156987</v>
      </c>
      <c r="J27" s="12">
        <f t="shared" si="4"/>
        <v>2440729</v>
      </c>
      <c r="K27" s="12">
        <f t="shared" si="4"/>
        <v>2147966</v>
      </c>
      <c r="L27" s="12">
        <f t="shared" si="4"/>
        <v>2021422</v>
      </c>
      <c r="M27" s="12">
        <f>SUM(M23:M26)</f>
        <v>833246</v>
      </c>
      <c r="N27" s="12">
        <f t="shared" si="4"/>
        <v>21564969</v>
      </c>
      <c r="O27" s="29"/>
    </row>
    <row r="28" spans="1:15" s="6" customFormat="1" ht="14.45" customHeight="1">
      <c r="B28" s="73">
        <f>+B27/B9</f>
        <v>0.620911671289331</v>
      </c>
      <c r="C28" s="73">
        <f t="shared" ref="C28:N28" si="5">+C27/C9</f>
        <v>0.43187213154349802</v>
      </c>
      <c r="D28" s="73">
        <f t="shared" si="5"/>
        <v>0.48496713453299145</v>
      </c>
      <c r="E28" s="73">
        <f t="shared" si="5"/>
        <v>0.63954000684375978</v>
      </c>
      <c r="F28" s="73">
        <f t="shared" si="5"/>
        <v>0.66591887328785082</v>
      </c>
      <c r="G28" s="73">
        <f t="shared" si="5"/>
        <v>0.6182596628737359</v>
      </c>
      <c r="H28" s="73">
        <f t="shared" si="5"/>
        <v>0.39945442408146731</v>
      </c>
      <c r="I28" s="73">
        <f t="shared" si="5"/>
        <v>0.58976676046849141</v>
      </c>
      <c r="J28" s="73">
        <f t="shared" si="5"/>
        <v>0.67696971243482651</v>
      </c>
      <c r="K28" s="73">
        <f t="shared" si="5"/>
        <v>0.67610266598929425</v>
      </c>
      <c r="L28" s="73">
        <f t="shared" si="5"/>
        <v>0.67203338919698308</v>
      </c>
      <c r="M28" s="73">
        <f t="shared" si="5"/>
        <v>0.65555412192696472</v>
      </c>
      <c r="N28" s="73">
        <f t="shared" si="5"/>
        <v>0.58284586870875899</v>
      </c>
    </row>
    <row r="29" spans="1:15" s="6" customFormat="1" hidden="1">
      <c r="A29" s="13" t="s">
        <v>40</v>
      </c>
      <c r="B29" s="7"/>
      <c r="C29" s="7"/>
      <c r="D29" s="7"/>
      <c r="E29" s="7"/>
      <c r="F29" s="7"/>
      <c r="G29" s="7"/>
      <c r="H29" s="7"/>
      <c r="I29" s="7"/>
      <c r="J29" s="7"/>
      <c r="K29" s="7"/>
      <c r="L29" s="7"/>
      <c r="M29" s="7"/>
    </row>
    <row r="30" spans="1:15" s="6" customFormat="1" hidden="1">
      <c r="A30" s="6" t="s">
        <v>93</v>
      </c>
      <c r="B30" s="53">
        <v>415779</v>
      </c>
      <c r="C30" s="53">
        <v>561495</v>
      </c>
      <c r="D30" s="53">
        <v>742338</v>
      </c>
      <c r="E30" s="53">
        <v>829683</v>
      </c>
      <c r="F30" s="53">
        <v>607435</v>
      </c>
      <c r="G30" s="53">
        <v>631393</v>
      </c>
      <c r="H30" s="53">
        <v>607413</v>
      </c>
      <c r="I30" s="53">
        <v>721705</v>
      </c>
      <c r="J30" s="53">
        <v>687238</v>
      </c>
      <c r="K30" s="53">
        <v>765469</v>
      </c>
      <c r="L30" s="53">
        <v>649845</v>
      </c>
      <c r="M30" s="53">
        <v>494384</v>
      </c>
      <c r="N30" s="7">
        <f>SUM(B30:M30)</f>
        <v>7714177</v>
      </c>
      <c r="O30" s="29"/>
    </row>
    <row r="31" spans="1:15" s="6" customFormat="1" hidden="1">
      <c r="A31" s="6" t="s">
        <v>42</v>
      </c>
      <c r="B31" s="53">
        <v>245383</v>
      </c>
      <c r="C31" s="53">
        <v>212042</v>
      </c>
      <c r="D31" s="53">
        <v>203129</v>
      </c>
      <c r="E31" s="53">
        <v>235434</v>
      </c>
      <c r="F31" s="53">
        <v>203129</v>
      </c>
      <c r="G31" s="53">
        <v>209186</v>
      </c>
      <c r="H31" s="53">
        <v>237769</v>
      </c>
      <c r="I31" s="53">
        <v>201008</v>
      </c>
      <c r="J31" s="53">
        <v>218161</v>
      </c>
      <c r="K31" s="53">
        <v>210395</v>
      </c>
      <c r="L31" s="53">
        <v>209978</v>
      </c>
      <c r="M31" s="53">
        <v>197583</v>
      </c>
      <c r="N31" s="7">
        <f>SUM(B31:M31)</f>
        <v>2583197</v>
      </c>
      <c r="O31" s="29"/>
    </row>
    <row r="32" spans="1:15" s="6" customFormat="1" ht="15" hidden="1">
      <c r="A32" s="6" t="s">
        <v>38</v>
      </c>
      <c r="B32" s="68"/>
      <c r="C32" s="68"/>
      <c r="D32" s="68"/>
      <c r="E32" s="68"/>
      <c r="F32" s="68"/>
      <c r="G32" s="68"/>
      <c r="H32" s="68"/>
      <c r="I32" s="68"/>
      <c r="J32" s="68"/>
      <c r="K32" s="68"/>
      <c r="L32" s="68"/>
      <c r="M32" s="68"/>
      <c r="N32" s="7">
        <f>SUM(B32:M32)</f>
        <v>0</v>
      </c>
      <c r="O32" s="29"/>
    </row>
    <row r="33" spans="1:15" s="6" customFormat="1" hidden="1">
      <c r="B33" s="15"/>
      <c r="C33" s="15"/>
      <c r="D33" s="15"/>
      <c r="E33" s="15"/>
      <c r="F33" s="15"/>
      <c r="G33" s="15"/>
      <c r="H33" s="15"/>
      <c r="I33" s="15"/>
      <c r="J33" s="15"/>
      <c r="K33" s="15"/>
      <c r="L33" s="15"/>
      <c r="M33" s="15"/>
      <c r="N33" s="15">
        <f>SUM(B33:M33)</f>
        <v>0</v>
      </c>
      <c r="O33" s="29"/>
    </row>
    <row r="34" spans="1:15" s="6" customFormat="1">
      <c r="A34" s="13" t="s">
        <v>43</v>
      </c>
      <c r="B34" s="12">
        <f t="shared" ref="B34:N34" si="6">SUM(B30:B33)</f>
        <v>661162</v>
      </c>
      <c r="C34" s="12">
        <f t="shared" si="6"/>
        <v>773537</v>
      </c>
      <c r="D34" s="12">
        <f t="shared" si="6"/>
        <v>945467</v>
      </c>
      <c r="E34" s="12">
        <f t="shared" si="6"/>
        <v>1065117</v>
      </c>
      <c r="F34" s="12">
        <f t="shared" si="6"/>
        <v>810564</v>
      </c>
      <c r="G34" s="12">
        <f t="shared" si="6"/>
        <v>840579</v>
      </c>
      <c r="H34" s="12">
        <f t="shared" si="6"/>
        <v>845182</v>
      </c>
      <c r="I34" s="12">
        <f t="shared" si="6"/>
        <v>922713</v>
      </c>
      <c r="J34" s="12">
        <f t="shared" si="6"/>
        <v>905399</v>
      </c>
      <c r="K34" s="12">
        <f t="shared" si="6"/>
        <v>975864</v>
      </c>
      <c r="L34" s="12">
        <f t="shared" si="6"/>
        <v>859823</v>
      </c>
      <c r="M34" s="12">
        <f t="shared" si="6"/>
        <v>691967</v>
      </c>
      <c r="N34" s="12">
        <f t="shared" si="6"/>
        <v>10297374</v>
      </c>
      <c r="O34" s="29"/>
    </row>
    <row r="35" spans="1:15" s="6" customFormat="1">
      <c r="B35" s="7"/>
      <c r="C35" s="7"/>
      <c r="D35" s="7"/>
      <c r="E35" s="7"/>
      <c r="F35" s="7"/>
      <c r="G35" s="7"/>
      <c r="H35" s="7"/>
      <c r="I35" s="7"/>
      <c r="J35" s="7"/>
      <c r="K35" s="7"/>
      <c r="L35" s="7"/>
      <c r="M35" s="7"/>
    </row>
    <row r="36" spans="1:15" s="6" customFormat="1" hidden="1">
      <c r="A36" s="13" t="s">
        <v>44</v>
      </c>
      <c r="B36" s="7"/>
      <c r="C36" s="7"/>
      <c r="D36" s="7"/>
      <c r="E36" s="7"/>
      <c r="F36" s="7"/>
      <c r="G36" s="7"/>
      <c r="H36" s="7"/>
      <c r="I36" s="7"/>
      <c r="J36" s="7"/>
      <c r="K36" s="7"/>
      <c r="L36" s="7"/>
      <c r="M36" s="7"/>
    </row>
    <row r="37" spans="1:15" s="6" customFormat="1" hidden="1">
      <c r="A37" s="6" t="s">
        <v>45</v>
      </c>
      <c r="B37" s="53">
        <v>1168701</v>
      </c>
      <c r="C37" s="53">
        <v>1244422</v>
      </c>
      <c r="D37" s="53">
        <v>1461507</v>
      </c>
      <c r="E37" s="53">
        <v>1790911</v>
      </c>
      <c r="F37" s="53">
        <v>1370885</v>
      </c>
      <c r="G37" s="66">
        <v>1564207</v>
      </c>
      <c r="H37" s="66">
        <v>1269929</v>
      </c>
      <c r="I37" s="66">
        <v>1483414</v>
      </c>
      <c r="J37" s="66">
        <v>1568535</v>
      </c>
      <c r="K37" s="53">
        <v>1616062</v>
      </c>
      <c r="L37" s="53">
        <v>1393585</v>
      </c>
      <c r="M37" s="53">
        <v>1127635</v>
      </c>
      <c r="N37" s="7">
        <f>SUM(B37:M37)</f>
        <v>17059793</v>
      </c>
      <c r="O37" s="29"/>
    </row>
    <row r="38" spans="1:15" s="6" customFormat="1" hidden="1">
      <c r="A38" s="6" t="s">
        <v>46</v>
      </c>
      <c r="B38" s="7">
        <f>-B34</f>
        <v>-661162</v>
      </c>
      <c r="C38" s="7">
        <f t="shared" ref="C38:M38" si="7">-C34</f>
        <v>-773537</v>
      </c>
      <c r="D38" s="7">
        <f t="shared" si="7"/>
        <v>-945467</v>
      </c>
      <c r="E38" s="7">
        <f t="shared" si="7"/>
        <v>-1065117</v>
      </c>
      <c r="F38" s="7">
        <f t="shared" si="7"/>
        <v>-810564</v>
      </c>
      <c r="G38" s="7">
        <f t="shared" si="7"/>
        <v>-840579</v>
      </c>
      <c r="H38" s="7">
        <f t="shared" si="7"/>
        <v>-845182</v>
      </c>
      <c r="I38" s="7">
        <f t="shared" si="7"/>
        <v>-922713</v>
      </c>
      <c r="J38" s="7">
        <f t="shared" si="7"/>
        <v>-905399</v>
      </c>
      <c r="K38" s="7">
        <f t="shared" si="7"/>
        <v>-975864</v>
      </c>
      <c r="L38" s="7">
        <f t="shared" si="7"/>
        <v>-859823</v>
      </c>
      <c r="M38" s="7">
        <f t="shared" si="7"/>
        <v>-691967</v>
      </c>
      <c r="N38" s="7">
        <f>SUM(B38:M38)</f>
        <v>-10297374</v>
      </c>
      <c r="O38" s="29"/>
    </row>
    <row r="39" spans="1:15" s="6" customFormat="1" hidden="1">
      <c r="A39" s="6" t="s">
        <v>47</v>
      </c>
      <c r="B39" s="72">
        <v>-77886</v>
      </c>
      <c r="C39" s="72">
        <v>-77317</v>
      </c>
      <c r="D39" s="72">
        <v>-76975</v>
      </c>
      <c r="E39" s="72">
        <v>-75957</v>
      </c>
      <c r="F39" s="72">
        <v>-75944</v>
      </c>
      <c r="G39" s="72">
        <v>-75944</v>
      </c>
      <c r="H39" s="72">
        <v>-75944</v>
      </c>
      <c r="I39" s="72">
        <v>-75679</v>
      </c>
      <c r="J39" s="72">
        <v>-75679</v>
      </c>
      <c r="K39" s="72">
        <v>-78971</v>
      </c>
      <c r="L39" s="72">
        <v>-79895</v>
      </c>
      <c r="M39" s="72">
        <v>-80832</v>
      </c>
      <c r="N39" s="7">
        <f>SUM(B39:M39)</f>
        <v>-927023</v>
      </c>
      <c r="O39" s="29"/>
    </row>
    <row r="40" spans="1:15" s="6" customFormat="1" hidden="1">
      <c r="A40" s="6" t="s">
        <v>78</v>
      </c>
      <c r="B40" s="53"/>
      <c r="C40" s="53"/>
      <c r="D40" s="53"/>
      <c r="E40" s="53"/>
      <c r="F40" s="53"/>
      <c r="G40" s="53"/>
      <c r="H40" s="53"/>
      <c r="I40" s="53"/>
      <c r="J40" s="53"/>
      <c r="K40" s="53"/>
      <c r="L40" s="53"/>
      <c r="M40" s="53"/>
      <c r="N40" s="7">
        <f>SUM(B40:M40)</f>
        <v>0</v>
      </c>
      <c r="O40" s="29"/>
    </row>
    <row r="41" spans="1:15" s="6" customFormat="1" hidden="1">
      <c r="A41" s="6" t="s">
        <v>48</v>
      </c>
      <c r="B41" s="60">
        <v>-8350</v>
      </c>
      <c r="C41" s="60">
        <v>-8250</v>
      </c>
      <c r="D41" s="60">
        <v>-8350</v>
      </c>
      <c r="E41" s="60">
        <v>-8350</v>
      </c>
      <c r="F41" s="60">
        <v>-8350</v>
      </c>
      <c r="G41" s="60">
        <v>-8350</v>
      </c>
      <c r="H41" s="60">
        <v>-8350</v>
      </c>
      <c r="I41" s="60">
        <v>-8350</v>
      </c>
      <c r="J41" s="60">
        <v>-8350</v>
      </c>
      <c r="K41" s="60">
        <v>-8350</v>
      </c>
      <c r="L41" s="60">
        <v>-8350</v>
      </c>
      <c r="M41" s="60">
        <v>-91750</v>
      </c>
      <c r="N41" s="15">
        <f>SUM(B41:M41)</f>
        <v>-183500</v>
      </c>
      <c r="O41" s="29"/>
    </row>
    <row r="42" spans="1:15" s="6" customFormat="1">
      <c r="A42" s="13" t="s">
        <v>49</v>
      </c>
      <c r="B42" s="12">
        <f t="shared" ref="B42:N42" si="8">SUM(B37:B41)</f>
        <v>421303</v>
      </c>
      <c r="C42" s="12">
        <f t="shared" si="8"/>
        <v>385318</v>
      </c>
      <c r="D42" s="12">
        <f t="shared" si="8"/>
        <v>430715</v>
      </c>
      <c r="E42" s="12">
        <f t="shared" si="8"/>
        <v>641487</v>
      </c>
      <c r="F42" s="12">
        <f t="shared" si="8"/>
        <v>476027</v>
      </c>
      <c r="G42" s="12">
        <f t="shared" si="8"/>
        <v>639334</v>
      </c>
      <c r="H42" s="12">
        <f t="shared" si="8"/>
        <v>340453</v>
      </c>
      <c r="I42" s="12">
        <f t="shared" si="8"/>
        <v>476672</v>
      </c>
      <c r="J42" s="12">
        <f t="shared" si="8"/>
        <v>579107</v>
      </c>
      <c r="K42" s="12">
        <f t="shared" si="8"/>
        <v>552877</v>
      </c>
      <c r="L42" s="12">
        <f t="shared" si="8"/>
        <v>445517</v>
      </c>
      <c r="M42" s="12">
        <f t="shared" si="8"/>
        <v>263086</v>
      </c>
      <c r="N42" s="12">
        <f t="shared" si="8"/>
        <v>5651896</v>
      </c>
      <c r="O42" s="29"/>
    </row>
    <row r="43" spans="1:15">
      <c r="A43" s="1"/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2"/>
      <c r="N43" s="12"/>
      <c r="O43" s="6"/>
    </row>
    <row r="44" spans="1:15" hidden="1">
      <c r="A44" s="13" t="s">
        <v>50</v>
      </c>
      <c r="B44" s="53">
        <v>296581</v>
      </c>
      <c r="C44" s="53">
        <v>244043</v>
      </c>
      <c r="D44" s="53">
        <v>272075</v>
      </c>
      <c r="E44" s="53">
        <v>331396</v>
      </c>
      <c r="F44" s="53">
        <v>346084</v>
      </c>
      <c r="G44" s="53">
        <v>278977</v>
      </c>
      <c r="H44" s="53">
        <v>350131</v>
      </c>
      <c r="I44" s="53">
        <v>267034</v>
      </c>
      <c r="J44" s="53">
        <v>354437</v>
      </c>
      <c r="K44" s="53">
        <v>342373</v>
      </c>
      <c r="L44" s="53">
        <v>283726</v>
      </c>
      <c r="M44" s="53">
        <v>284799</v>
      </c>
      <c r="N44" s="12">
        <f>SUM(B44:M44)</f>
        <v>3651656</v>
      </c>
      <c r="O44" s="29"/>
    </row>
    <row r="45" spans="1:15" hidden="1">
      <c r="A45" s="6" t="s">
        <v>107</v>
      </c>
      <c r="B45" s="22"/>
      <c r="C45" s="22"/>
      <c r="D45" s="22"/>
      <c r="E45" s="22"/>
      <c r="F45" s="22"/>
      <c r="G45" s="22"/>
      <c r="H45" s="22"/>
      <c r="I45" s="22"/>
      <c r="J45" s="77">
        <v>1160600</v>
      </c>
      <c r="K45" s="22"/>
      <c r="L45" s="22"/>
      <c r="M45" s="77">
        <f>-467483+380000</f>
        <v>-87483</v>
      </c>
      <c r="N45" s="22">
        <f>SUM(B45:M45)</f>
        <v>1073117</v>
      </c>
      <c r="O45" s="29"/>
    </row>
    <row r="46" spans="1:15">
      <c r="A46" s="1" t="s">
        <v>50</v>
      </c>
      <c r="B46" s="12">
        <f>SUM(B44:B45)</f>
        <v>296581</v>
      </c>
      <c r="C46" s="12">
        <f>SUM(C44:C45)</f>
        <v>244043</v>
      </c>
      <c r="D46" s="12">
        <f t="shared" ref="D46:N46" si="9">SUM(D44:D45)</f>
        <v>272075</v>
      </c>
      <c r="E46" s="12">
        <f t="shared" si="9"/>
        <v>331396</v>
      </c>
      <c r="F46" s="12">
        <f t="shared" si="9"/>
        <v>346084</v>
      </c>
      <c r="G46" s="12">
        <f t="shared" si="9"/>
        <v>278977</v>
      </c>
      <c r="H46" s="12">
        <f t="shared" si="9"/>
        <v>350131</v>
      </c>
      <c r="I46" s="12">
        <f t="shared" si="9"/>
        <v>267034</v>
      </c>
      <c r="J46" s="12">
        <f t="shared" si="9"/>
        <v>1515037</v>
      </c>
      <c r="K46" s="12">
        <f t="shared" si="9"/>
        <v>342373</v>
      </c>
      <c r="L46" s="12">
        <f t="shared" si="9"/>
        <v>283726</v>
      </c>
      <c r="M46" s="12">
        <f t="shared" si="9"/>
        <v>197316</v>
      </c>
      <c r="N46" s="12">
        <f t="shared" si="9"/>
        <v>4724773</v>
      </c>
      <c r="O46" s="29"/>
    </row>
    <row r="47" spans="1:15">
      <c r="B47" s="7"/>
      <c r="C47" s="7"/>
      <c r="D47" s="7"/>
      <c r="E47" s="7"/>
      <c r="F47" s="7"/>
      <c r="G47" s="7"/>
      <c r="H47" s="7"/>
      <c r="I47" s="7"/>
      <c r="J47" s="7"/>
      <c r="K47" s="6"/>
      <c r="L47" s="6"/>
      <c r="M47" s="6"/>
      <c r="N47" s="6"/>
      <c r="O47" s="6"/>
    </row>
    <row r="48" spans="1:15">
      <c r="A48" s="13" t="s">
        <v>52</v>
      </c>
      <c r="B48" s="19">
        <f t="shared" ref="B48:N48" si="10">+B20+B34+B42+B46</f>
        <v>1823521</v>
      </c>
      <c r="C48" s="19">
        <f t="shared" si="10"/>
        <v>2865946</v>
      </c>
      <c r="D48" s="19">
        <f t="shared" si="10"/>
        <v>4671417</v>
      </c>
      <c r="E48" s="19">
        <f t="shared" si="10"/>
        <v>3503276</v>
      </c>
      <c r="F48" s="19">
        <f t="shared" si="10"/>
        <v>2480171</v>
      </c>
      <c r="G48" s="19">
        <f t="shared" si="10"/>
        <v>2748937</v>
      </c>
      <c r="H48" s="19">
        <f t="shared" si="10"/>
        <v>3618395</v>
      </c>
      <c r="I48" s="19">
        <f t="shared" si="10"/>
        <v>3166788</v>
      </c>
      <c r="J48" s="19">
        <f t="shared" si="10"/>
        <v>4164188</v>
      </c>
      <c r="K48" s="19">
        <f t="shared" si="10"/>
        <v>2900130</v>
      </c>
      <c r="L48" s="19">
        <f t="shared" si="10"/>
        <v>2575563</v>
      </c>
      <c r="M48" s="19">
        <f t="shared" si="10"/>
        <v>1590179</v>
      </c>
      <c r="N48" s="19">
        <f t="shared" si="10"/>
        <v>36108511</v>
      </c>
      <c r="O48" s="29"/>
    </row>
    <row r="49" spans="1:15">
      <c r="B49" s="7"/>
      <c r="C49" s="7"/>
      <c r="D49" s="7"/>
      <c r="E49" s="7"/>
      <c r="F49" s="7"/>
      <c r="G49" s="7"/>
      <c r="H49" s="7"/>
      <c r="I49" s="7"/>
      <c r="J49" s="7"/>
      <c r="K49" s="6"/>
      <c r="L49" s="6"/>
      <c r="M49" s="6"/>
      <c r="N49" s="6"/>
      <c r="O49" s="6"/>
    </row>
    <row r="50" spans="1:15">
      <c r="A50" s="1" t="s">
        <v>53</v>
      </c>
      <c r="B50" s="12">
        <f t="shared" ref="B50:M50" si="11">+B13-B48</f>
        <v>-563897</v>
      </c>
      <c r="C50" s="12">
        <f t="shared" si="11"/>
        <v>-292069</v>
      </c>
      <c r="D50" s="12">
        <f t="shared" si="11"/>
        <v>1199273</v>
      </c>
      <c r="E50" s="12">
        <f t="shared" si="11"/>
        <v>583672</v>
      </c>
      <c r="F50" s="12">
        <f t="shared" si="11"/>
        <v>57590</v>
      </c>
      <c r="G50" s="12">
        <f t="shared" si="11"/>
        <v>-154854.41999999993</v>
      </c>
      <c r="H50" s="12">
        <f t="shared" si="11"/>
        <v>-150478</v>
      </c>
      <c r="I50" s="12">
        <f t="shared" si="11"/>
        <v>508740</v>
      </c>
      <c r="J50" s="12">
        <f t="shared" si="11"/>
        <v>-548761</v>
      </c>
      <c r="K50" s="12">
        <f t="shared" si="11"/>
        <v>283679.89000000013</v>
      </c>
      <c r="L50" s="12">
        <f t="shared" si="11"/>
        <v>431883</v>
      </c>
      <c r="M50" s="12">
        <f t="shared" si="11"/>
        <v>-231829</v>
      </c>
      <c r="N50" s="12">
        <f>SUM(B50:M50)</f>
        <v>1122949.4700000002</v>
      </c>
      <c r="O50" s="6"/>
    </row>
    <row r="51" spans="1:15" ht="7.5" customHeight="1">
      <c r="B51" s="7"/>
      <c r="C51" s="7"/>
      <c r="D51" s="7"/>
      <c r="E51" s="7"/>
      <c r="F51" s="7"/>
      <c r="G51" s="7"/>
      <c r="H51" s="7"/>
      <c r="I51" s="7"/>
      <c r="J51" s="7"/>
      <c r="K51" s="6"/>
      <c r="L51" s="6"/>
      <c r="M51" s="6"/>
      <c r="N51" s="6"/>
      <c r="O51" s="6"/>
    </row>
    <row r="52" spans="1:15">
      <c r="A52" s="1" t="s">
        <v>54</v>
      </c>
      <c r="B52" s="7"/>
      <c r="C52" s="7"/>
      <c r="D52" s="7"/>
      <c r="E52" s="7"/>
      <c r="F52" s="7"/>
      <c r="G52" s="7"/>
      <c r="H52" s="7"/>
      <c r="I52" s="7"/>
      <c r="J52" s="7"/>
      <c r="K52" s="6"/>
      <c r="L52" s="6"/>
      <c r="M52" s="6"/>
      <c r="N52" s="6"/>
      <c r="O52" s="6"/>
    </row>
    <row r="53" spans="1:15" s="6" customFormat="1">
      <c r="A53" s="6" t="s">
        <v>55</v>
      </c>
      <c r="B53" s="10">
        <v>101289</v>
      </c>
      <c r="C53" s="10">
        <v>230379</v>
      </c>
      <c r="D53" s="10">
        <v>5347</v>
      </c>
      <c r="E53" s="10">
        <f>740+15090+2192.65</f>
        <v>18022.650000000001</v>
      </c>
      <c r="F53" s="10">
        <v>85439</v>
      </c>
      <c r="G53" s="10">
        <v>23064</v>
      </c>
      <c r="H53" s="23">
        <v>15602</v>
      </c>
      <c r="I53" s="10">
        <v>68817</v>
      </c>
      <c r="J53" s="10">
        <v>7700</v>
      </c>
      <c r="K53" s="10">
        <v>8338</v>
      </c>
      <c r="L53" s="10">
        <v>328190</v>
      </c>
      <c r="M53" s="10">
        <f>5671-64849</f>
        <v>-59178</v>
      </c>
      <c r="N53" s="10">
        <f>SUM(B53:M53)</f>
        <v>833009.65</v>
      </c>
    </row>
    <row r="54" spans="1:15" s="6" customFormat="1">
      <c r="A54" s="6" t="s">
        <v>96</v>
      </c>
      <c r="B54" s="10"/>
      <c r="C54" s="10"/>
      <c r="D54" s="10"/>
      <c r="E54" s="10"/>
      <c r="F54" s="10">
        <v>95000</v>
      </c>
      <c r="G54" s="10"/>
      <c r="H54" s="10"/>
      <c r="I54" s="10"/>
      <c r="J54" s="10"/>
      <c r="K54" s="10"/>
      <c r="L54" s="10"/>
      <c r="M54" s="10"/>
      <c r="N54" s="10">
        <f>SUM(B54:M54)</f>
        <v>95000</v>
      </c>
    </row>
    <row r="55" spans="1:15" s="6" customFormat="1">
      <c r="A55" s="6" t="s">
        <v>111</v>
      </c>
      <c r="B55" s="10">
        <f>276228+184</f>
        <v>276412</v>
      </c>
      <c r="C55" s="10"/>
      <c r="D55" s="10"/>
      <c r="E55" s="10"/>
      <c r="F55" s="10"/>
      <c r="G55" s="10"/>
      <c r="H55" s="10"/>
      <c r="I55" s="10"/>
      <c r="J55" s="47">
        <v>-1160600</v>
      </c>
      <c r="K55" s="10"/>
      <c r="L55" s="10">
        <v>0</v>
      </c>
      <c r="M55" s="77">
        <f>467483-380000</f>
        <v>87483</v>
      </c>
      <c r="N55" s="10">
        <f>SUM(B55:M55)</f>
        <v>-796705</v>
      </c>
    </row>
    <row r="56" spans="1:15" s="6" customFormat="1">
      <c r="A56" s="37" t="s">
        <v>58</v>
      </c>
      <c r="B56" s="7">
        <v>-12589</v>
      </c>
      <c r="C56" s="7">
        <v>-11612</v>
      </c>
      <c r="D56" s="7">
        <v>-12266</v>
      </c>
      <c r="E56" s="7">
        <v>-9918</v>
      </c>
      <c r="F56" s="7">
        <v>-8157</v>
      </c>
      <c r="G56" s="7">
        <v>-95705.42</v>
      </c>
      <c r="H56" s="10">
        <v>-9293</v>
      </c>
      <c r="I56" s="7">
        <v>-8523</v>
      </c>
      <c r="J56" s="7">
        <v>-12297</v>
      </c>
      <c r="K56" s="7">
        <v>-18474</v>
      </c>
      <c r="L56" s="7">
        <f>-10419-407-19580</f>
        <v>-30406</v>
      </c>
      <c r="M56" s="7">
        <v>-183380</v>
      </c>
      <c r="N56" s="7">
        <f>SUM(B56:M56)</f>
        <v>-412620.42</v>
      </c>
      <c r="O56" s="7">
        <v>412620</v>
      </c>
    </row>
    <row r="57" spans="1:15" s="6" customFormat="1">
      <c r="A57" s="6" t="s">
        <v>59</v>
      </c>
      <c r="B57" s="22">
        <v>-187388</v>
      </c>
      <c r="C57" s="22">
        <v>-40876</v>
      </c>
      <c r="D57" s="22">
        <v>-158851</v>
      </c>
      <c r="E57" s="22">
        <v>-155108</v>
      </c>
      <c r="F57" s="22">
        <v>-96958</v>
      </c>
      <c r="G57" s="22">
        <v>-18871.16</v>
      </c>
      <c r="H57" s="10">
        <v>-438304</v>
      </c>
      <c r="I57" s="22">
        <v>313386</v>
      </c>
      <c r="J57" s="22">
        <v>120187</v>
      </c>
      <c r="K57" s="22">
        <v>33076</v>
      </c>
      <c r="L57" s="22">
        <f>26234.6-27784</f>
        <v>-1549.4000000000015</v>
      </c>
      <c r="M57" s="22">
        <v>324643</v>
      </c>
      <c r="N57" s="22">
        <f>SUM(B57:M57)</f>
        <v>-306613.56000000017</v>
      </c>
      <c r="O57" s="56">
        <v>306614</v>
      </c>
    </row>
    <row r="58" spans="1:15" s="6" customFormat="1">
      <c r="A58" s="13" t="s">
        <v>60</v>
      </c>
      <c r="B58" s="19">
        <f t="shared" ref="B58:N58" si="12">SUM(B53:B57)</f>
        <v>177724</v>
      </c>
      <c r="C58" s="19">
        <f t="shared" si="12"/>
        <v>177891</v>
      </c>
      <c r="D58" s="19">
        <f t="shared" si="12"/>
        <v>-165770</v>
      </c>
      <c r="E58" s="19">
        <f t="shared" si="12"/>
        <v>-147003.35</v>
      </c>
      <c r="F58" s="19">
        <f t="shared" si="12"/>
        <v>75324</v>
      </c>
      <c r="G58" s="19">
        <f t="shared" si="12"/>
        <v>-91512.58</v>
      </c>
      <c r="H58" s="19">
        <f>SUM(H53:H57)</f>
        <v>-431995</v>
      </c>
      <c r="I58" s="19">
        <f t="shared" si="12"/>
        <v>373680</v>
      </c>
      <c r="J58" s="19">
        <f t="shared" si="12"/>
        <v>-1045010</v>
      </c>
      <c r="K58" s="19">
        <f t="shared" si="12"/>
        <v>22940</v>
      </c>
      <c r="L58" s="19">
        <f t="shared" si="12"/>
        <v>296234.59999999998</v>
      </c>
      <c r="M58" s="19">
        <f t="shared" si="12"/>
        <v>169568</v>
      </c>
      <c r="N58" s="19">
        <f t="shared" si="12"/>
        <v>-587929.33000000007</v>
      </c>
      <c r="O58" s="29"/>
    </row>
    <row r="59" spans="1:15">
      <c r="B59" s="7"/>
      <c r="C59" s="7"/>
      <c r="D59" s="7"/>
      <c r="E59" s="7"/>
      <c r="F59" s="7"/>
      <c r="G59" s="7"/>
      <c r="H59" s="7"/>
      <c r="I59" s="7"/>
      <c r="J59" s="7"/>
      <c r="K59" s="7"/>
      <c r="L59" s="7"/>
      <c r="M59" s="7"/>
      <c r="N59" s="7"/>
      <c r="O59" s="6"/>
    </row>
    <row r="60" spans="1:15">
      <c r="A60" s="1" t="s">
        <v>61</v>
      </c>
      <c r="B60" s="12">
        <v>13373023</v>
      </c>
      <c r="C60" s="7"/>
      <c r="D60" s="7"/>
      <c r="E60" s="7"/>
      <c r="F60" s="7"/>
      <c r="G60" s="7"/>
      <c r="H60" s="7" t="s">
        <v>38</v>
      </c>
      <c r="I60" s="7"/>
      <c r="J60" s="7"/>
      <c r="K60" s="6"/>
      <c r="L60" s="6"/>
      <c r="M60" s="6"/>
      <c r="N60" s="6"/>
      <c r="O60" s="6"/>
    </row>
    <row r="61" spans="1:15">
      <c r="A61" s="13" t="s">
        <v>62</v>
      </c>
      <c r="B61" s="19">
        <f t="shared" ref="B61:N61" si="13">+B58+B48</f>
        <v>2001245</v>
      </c>
      <c r="C61" s="19">
        <f t="shared" si="13"/>
        <v>3043837</v>
      </c>
      <c r="D61" s="19">
        <f t="shared" si="13"/>
        <v>4505647</v>
      </c>
      <c r="E61" s="19">
        <f t="shared" si="13"/>
        <v>3356272.65</v>
      </c>
      <c r="F61" s="19">
        <f t="shared" si="13"/>
        <v>2555495</v>
      </c>
      <c r="G61" s="19">
        <f t="shared" si="13"/>
        <v>2657424.42</v>
      </c>
      <c r="H61" s="19">
        <f t="shared" si="13"/>
        <v>3186400</v>
      </c>
      <c r="I61" s="19">
        <f t="shared" si="13"/>
        <v>3540468</v>
      </c>
      <c r="J61" s="19">
        <f t="shared" si="13"/>
        <v>3119178</v>
      </c>
      <c r="K61" s="19">
        <f t="shared" si="13"/>
        <v>2923070</v>
      </c>
      <c r="L61" s="19">
        <f t="shared" si="13"/>
        <v>2871797.6</v>
      </c>
      <c r="M61" s="19">
        <f t="shared" si="13"/>
        <v>1759747</v>
      </c>
      <c r="N61" s="19">
        <f t="shared" si="13"/>
        <v>35520581.670000002</v>
      </c>
      <c r="O61" s="29"/>
    </row>
    <row r="62" spans="1:15" ht="13.5" thickBot="1">
      <c r="A62" s="13" t="s">
        <v>63</v>
      </c>
      <c r="B62" s="30">
        <f t="shared" ref="B62:N62" si="14">+B13-B61</f>
        <v>-741621</v>
      </c>
      <c r="C62" s="30">
        <f t="shared" si="14"/>
        <v>-469960</v>
      </c>
      <c r="D62" s="30">
        <f t="shared" si="14"/>
        <v>1365043</v>
      </c>
      <c r="E62" s="30">
        <f t="shared" si="14"/>
        <v>730675.35000000009</v>
      </c>
      <c r="F62" s="30">
        <f t="shared" si="14"/>
        <v>-17734</v>
      </c>
      <c r="G62" s="30">
        <f t="shared" si="14"/>
        <v>-63341.839999999851</v>
      </c>
      <c r="H62" s="30">
        <f t="shared" si="14"/>
        <v>281517</v>
      </c>
      <c r="I62" s="30">
        <f t="shared" si="14"/>
        <v>135060</v>
      </c>
      <c r="J62" s="30">
        <f t="shared" si="14"/>
        <v>496249</v>
      </c>
      <c r="K62" s="30">
        <f t="shared" si="14"/>
        <v>260739.89000000013</v>
      </c>
      <c r="L62" s="30">
        <f t="shared" si="14"/>
        <v>135648.39999999991</v>
      </c>
      <c r="M62" s="30">
        <f t="shared" si="14"/>
        <v>-401397</v>
      </c>
      <c r="N62" s="30">
        <f t="shared" si="14"/>
        <v>1710878.799999997</v>
      </c>
      <c r="O62" s="29"/>
    </row>
    <row r="63" spans="1:15" s="6" customFormat="1" ht="13.5" thickTop="1">
      <c r="A63" s="13" t="s">
        <v>64</v>
      </c>
      <c r="B63" s="32">
        <f>+B62</f>
        <v>-741621</v>
      </c>
      <c r="C63" s="32">
        <f t="shared" ref="C63:M63" si="15">B63+C62</f>
        <v>-1211581</v>
      </c>
      <c r="D63" s="32">
        <f t="shared" si="15"/>
        <v>153462</v>
      </c>
      <c r="E63" s="32">
        <f t="shared" si="15"/>
        <v>884137.35000000009</v>
      </c>
      <c r="F63" s="32">
        <f t="shared" si="15"/>
        <v>866403.35000000009</v>
      </c>
      <c r="G63" s="32">
        <f t="shared" si="15"/>
        <v>803061.51000000024</v>
      </c>
      <c r="H63" s="32">
        <f t="shared" si="15"/>
        <v>1084578.5100000002</v>
      </c>
      <c r="I63" s="32">
        <f t="shared" si="15"/>
        <v>1219638.5100000002</v>
      </c>
      <c r="J63" s="32">
        <f t="shared" si="15"/>
        <v>1715887.5100000002</v>
      </c>
      <c r="K63" s="32">
        <f t="shared" si="15"/>
        <v>1976627.4000000004</v>
      </c>
      <c r="L63" s="32">
        <f t="shared" si="15"/>
        <v>2112275.8000000003</v>
      </c>
      <c r="M63" s="32">
        <f t="shared" si="15"/>
        <v>1710878.8000000003</v>
      </c>
      <c r="N63" s="12"/>
    </row>
    <row r="64" spans="1:15">
      <c r="A64" s="13" t="s">
        <v>65</v>
      </c>
      <c r="B64" s="12">
        <f t="shared" ref="B64:M64" si="16">+$B$60+B63</f>
        <v>12631402</v>
      </c>
      <c r="C64" s="12">
        <f t="shared" si="16"/>
        <v>12161442</v>
      </c>
      <c r="D64" s="12">
        <f t="shared" si="16"/>
        <v>13526485</v>
      </c>
      <c r="E64" s="12">
        <f t="shared" si="16"/>
        <v>14257160.35</v>
      </c>
      <c r="F64" s="12">
        <f t="shared" si="16"/>
        <v>14239426.35</v>
      </c>
      <c r="G64" s="12">
        <f t="shared" si="16"/>
        <v>14176084.51</v>
      </c>
      <c r="H64" s="12">
        <f t="shared" si="16"/>
        <v>14457601.51</v>
      </c>
      <c r="I64" s="12">
        <f t="shared" si="16"/>
        <v>14592661.51</v>
      </c>
      <c r="J64" s="12">
        <f t="shared" si="16"/>
        <v>15088910.51</v>
      </c>
      <c r="K64" s="12">
        <f t="shared" si="16"/>
        <v>15349650.4</v>
      </c>
      <c r="L64" s="12">
        <f t="shared" si="16"/>
        <v>15485298.800000001</v>
      </c>
      <c r="M64" s="12">
        <f t="shared" si="16"/>
        <v>15083901.800000001</v>
      </c>
      <c r="N64" s="12"/>
      <c r="O64" s="6"/>
    </row>
    <row r="65" spans="1:15">
      <c r="A65" s="6"/>
      <c r="B65" s="7"/>
      <c r="C65" s="7"/>
      <c r="D65" s="7"/>
      <c r="E65" s="7"/>
      <c r="F65" s="7"/>
      <c r="G65" s="7"/>
      <c r="H65" s="7"/>
      <c r="I65" s="7"/>
      <c r="J65" s="7"/>
      <c r="K65" s="6"/>
      <c r="L65" s="6"/>
      <c r="M65" s="6"/>
      <c r="N65" s="6"/>
      <c r="O65" s="6"/>
    </row>
    <row r="66" spans="1:15" s="6" customFormat="1">
      <c r="A66" s="17" t="s">
        <v>94</v>
      </c>
      <c r="B66" s="18"/>
      <c r="C66" s="18"/>
      <c r="D66" s="18"/>
      <c r="E66" s="18"/>
      <c r="F66" s="18"/>
      <c r="G66" s="18"/>
      <c r="H66" s="18"/>
      <c r="I66" s="18"/>
      <c r="J66" s="18"/>
      <c r="K66" s="18"/>
      <c r="L66" s="18"/>
      <c r="M66" s="18"/>
      <c r="N66" s="18"/>
    </row>
    <row r="67" spans="1:15" ht="13.5" thickBot="1">
      <c r="A67" s="13" t="s">
        <v>67</v>
      </c>
      <c r="B67" s="14">
        <v>-968259</v>
      </c>
      <c r="C67" s="14">
        <v>165657</v>
      </c>
      <c r="D67" s="14">
        <v>1175481</v>
      </c>
      <c r="E67" s="14">
        <v>388022</v>
      </c>
      <c r="F67" s="14">
        <v>-191039</v>
      </c>
      <c r="G67" s="14">
        <v>96436</v>
      </c>
      <c r="H67" s="14">
        <v>-114280</v>
      </c>
      <c r="I67" s="14">
        <v>316290</v>
      </c>
      <c r="J67" s="14">
        <v>629469</v>
      </c>
      <c r="K67" s="14">
        <v>-20889</v>
      </c>
      <c r="L67" s="14">
        <v>188867</v>
      </c>
      <c r="M67" s="14">
        <v>-1359836</v>
      </c>
      <c r="N67" s="16"/>
      <c r="O67" s="6"/>
    </row>
    <row r="68" spans="1:15" ht="13.5" thickTop="1">
      <c r="A68" s="13" t="s">
        <v>64</v>
      </c>
      <c r="B68" s="12">
        <f>+B67</f>
        <v>-968259</v>
      </c>
      <c r="C68" s="12">
        <f>+B68+C67</f>
        <v>-802602</v>
      </c>
      <c r="D68" s="12">
        <f t="shared" ref="D68:M68" si="17">+C68+D67</f>
        <v>372879</v>
      </c>
      <c r="E68" s="12">
        <f t="shared" si="17"/>
        <v>760901</v>
      </c>
      <c r="F68" s="12">
        <f t="shared" si="17"/>
        <v>569862</v>
      </c>
      <c r="G68" s="12">
        <f t="shared" si="17"/>
        <v>666298</v>
      </c>
      <c r="H68" s="12">
        <f t="shared" si="17"/>
        <v>552018</v>
      </c>
      <c r="I68" s="12">
        <f t="shared" si="17"/>
        <v>868308</v>
      </c>
      <c r="J68" s="12">
        <f t="shared" si="17"/>
        <v>1497777</v>
      </c>
      <c r="K68" s="12">
        <f t="shared" si="17"/>
        <v>1476888</v>
      </c>
      <c r="L68" s="12">
        <f t="shared" si="17"/>
        <v>1665755</v>
      </c>
      <c r="M68" s="12">
        <f t="shared" si="17"/>
        <v>305919</v>
      </c>
      <c r="N68" s="16"/>
      <c r="O68" s="6"/>
    </row>
    <row r="69" spans="1:15">
      <c r="A69" s="13" t="s">
        <v>65</v>
      </c>
      <c r="B69" s="12">
        <v>10066787.80069958</v>
      </c>
      <c r="C69" s="12">
        <v>10474885.82712047</v>
      </c>
      <c r="D69" s="12">
        <v>11546728.467384296</v>
      </c>
      <c r="E69" s="12">
        <v>11992721.928639133</v>
      </c>
      <c r="F69" s="12">
        <v>11726972.321587943</v>
      </c>
      <c r="G69" s="12">
        <v>11337269.706012141</v>
      </c>
      <c r="H69" s="12">
        <v>11322908.797641888</v>
      </c>
      <c r="I69" s="12">
        <v>11526789.393104676</v>
      </c>
      <c r="J69" s="12">
        <v>11837705.668475684</v>
      </c>
      <c r="K69" s="12">
        <v>12021264.778665379</v>
      </c>
      <c r="L69" s="12">
        <v>12475612.568366794</v>
      </c>
      <c r="M69" s="12">
        <v>11197948.23476476</v>
      </c>
      <c r="N69" s="12"/>
      <c r="O69" s="6"/>
    </row>
    <row r="70" spans="1:15">
      <c r="A70" s="6"/>
      <c r="B70" s="6"/>
      <c r="C70" s="6"/>
      <c r="D70" s="6"/>
      <c r="E70" s="6"/>
      <c r="F70" s="6"/>
      <c r="H70" s="6"/>
      <c r="I70" s="6"/>
      <c r="J70" s="6"/>
      <c r="K70" s="6"/>
      <c r="L70" s="6"/>
      <c r="M70" s="6"/>
      <c r="N70" s="6"/>
      <c r="O70" s="6"/>
    </row>
    <row r="71" spans="1:15">
      <c r="A71" s="24" t="s">
        <v>68</v>
      </c>
      <c r="B71" s="18"/>
      <c r="C71" s="18"/>
      <c r="D71" s="18"/>
      <c r="E71" s="18"/>
      <c r="F71" s="18"/>
      <c r="G71" s="18"/>
      <c r="H71" s="18"/>
      <c r="I71" s="18"/>
      <c r="J71" s="18"/>
      <c r="K71" s="18"/>
      <c r="L71" s="18"/>
      <c r="M71" s="18"/>
      <c r="N71" s="18"/>
      <c r="O71" s="6"/>
    </row>
    <row r="72" spans="1:15">
      <c r="A72" s="13" t="s">
        <v>63</v>
      </c>
      <c r="B72" s="31">
        <f t="shared" ref="B72:N74" si="18">+B62-B67</f>
        <v>226638</v>
      </c>
      <c r="C72" s="31">
        <f t="shared" si="18"/>
        <v>-635617</v>
      </c>
      <c r="D72" s="31">
        <f t="shared" si="18"/>
        <v>189562</v>
      </c>
      <c r="E72" s="31">
        <f t="shared" si="18"/>
        <v>342653.35000000009</v>
      </c>
      <c r="F72" s="31">
        <f t="shared" si="18"/>
        <v>173305</v>
      </c>
      <c r="G72" s="31">
        <f t="shared" si="18"/>
        <v>-159777.83999999985</v>
      </c>
      <c r="H72" s="31">
        <f t="shared" si="18"/>
        <v>395797</v>
      </c>
      <c r="I72" s="31">
        <f t="shared" si="18"/>
        <v>-181230</v>
      </c>
      <c r="J72" s="31">
        <f t="shared" si="18"/>
        <v>-133220</v>
      </c>
      <c r="K72" s="31">
        <f t="shared" si="18"/>
        <v>281628.89000000013</v>
      </c>
      <c r="L72" s="31">
        <f t="shared" si="18"/>
        <v>-53218.600000000093</v>
      </c>
      <c r="M72" s="31">
        <f t="shared" si="18"/>
        <v>958439</v>
      </c>
      <c r="N72" s="6"/>
      <c r="O72" s="6"/>
    </row>
    <row r="73" spans="1:15" s="6" customFormat="1">
      <c r="A73" s="13" t="s">
        <v>64</v>
      </c>
      <c r="B73" s="31">
        <f t="shared" si="18"/>
        <v>226638</v>
      </c>
      <c r="C73" s="31">
        <f t="shared" si="18"/>
        <v>-408979</v>
      </c>
      <c r="D73" s="31">
        <f t="shared" si="18"/>
        <v>-219417</v>
      </c>
      <c r="E73" s="31">
        <f t="shared" si="18"/>
        <v>123236.35000000009</v>
      </c>
      <c r="F73" s="31">
        <f t="shared" si="18"/>
        <v>296541.35000000009</v>
      </c>
      <c r="G73" s="31">
        <f t="shared" si="18"/>
        <v>136763.51000000024</v>
      </c>
      <c r="H73" s="31">
        <f t="shared" si="18"/>
        <v>532560.51000000024</v>
      </c>
      <c r="I73" s="31">
        <f t="shared" si="18"/>
        <v>351330.51000000024</v>
      </c>
      <c r="J73" s="31">
        <f t="shared" si="18"/>
        <v>218110.51000000024</v>
      </c>
      <c r="K73" s="31">
        <f t="shared" si="18"/>
        <v>499739.40000000037</v>
      </c>
      <c r="L73" s="31">
        <f t="shared" si="18"/>
        <v>446520.80000000028</v>
      </c>
      <c r="M73" s="31">
        <f t="shared" si="18"/>
        <v>1404959.8000000003</v>
      </c>
      <c r="N73" s="16">
        <f t="shared" si="18"/>
        <v>0</v>
      </c>
    </row>
    <row r="74" spans="1:15">
      <c r="A74" s="1" t="s">
        <v>65</v>
      </c>
      <c r="B74" s="16">
        <f t="shared" si="18"/>
        <v>2564614.1993004195</v>
      </c>
      <c r="C74" s="16">
        <f t="shared" si="18"/>
        <v>1686556.1728795301</v>
      </c>
      <c r="D74" s="16">
        <f t="shared" si="18"/>
        <v>1979756.5326157045</v>
      </c>
      <c r="E74" s="16">
        <f t="shared" si="18"/>
        <v>2264438.4213608671</v>
      </c>
      <c r="F74" s="16">
        <f t="shared" si="18"/>
        <v>2512454.0284120571</v>
      </c>
      <c r="G74" s="16">
        <f t="shared" si="18"/>
        <v>2838814.8039878588</v>
      </c>
      <c r="H74" s="16">
        <f t="shared" si="18"/>
        <v>3134692.7123581115</v>
      </c>
      <c r="I74" s="16">
        <f t="shared" si="18"/>
        <v>3065872.1168953236</v>
      </c>
      <c r="J74" s="16">
        <f t="shared" si="18"/>
        <v>3251204.841524316</v>
      </c>
      <c r="K74" s="16">
        <f t="shared" si="18"/>
        <v>3328385.6213346217</v>
      </c>
      <c r="L74" s="16">
        <f t="shared" si="18"/>
        <v>3009686.2316332068</v>
      </c>
      <c r="M74" s="16">
        <f t="shared" si="18"/>
        <v>3885953.5652352404</v>
      </c>
      <c r="N74" s="16"/>
      <c r="O74" s="6"/>
    </row>
    <row r="75" spans="1:15">
      <c r="B75" s="6"/>
      <c r="C75" s="6"/>
      <c r="D75" s="6"/>
      <c r="E75" s="6"/>
      <c r="F75" s="6"/>
      <c r="H75" s="6"/>
      <c r="I75" s="6"/>
      <c r="J75" s="6"/>
      <c r="K75" s="6"/>
      <c r="L75" s="6"/>
      <c r="M75" s="6"/>
      <c r="N75" s="6"/>
    </row>
    <row r="76" spans="1:15">
      <c r="A76" s="1"/>
      <c r="B76" s="4"/>
      <c r="C76" s="8"/>
      <c r="D76" s="8"/>
      <c r="E76" s="8"/>
      <c r="F76" s="8"/>
      <c r="H76" s="20"/>
      <c r="J76" s="6"/>
      <c r="K76" s="6"/>
    </row>
    <row r="77" spans="1:15">
      <c r="A77" s="1"/>
      <c r="B77" s="4"/>
      <c r="C77" s="8"/>
      <c r="D77" s="8"/>
      <c r="E77" s="8"/>
      <c r="F77" s="8"/>
      <c r="H77" s="20"/>
      <c r="J77" s="6"/>
      <c r="L77">
        <v>10419.15</v>
      </c>
    </row>
    <row r="78" spans="1:15">
      <c r="A78" s="1"/>
      <c r="B78" s="4"/>
      <c r="D78" s="8"/>
      <c r="E78" s="8"/>
      <c r="F78" s="8"/>
      <c r="H78" s="61"/>
      <c r="J78" s="6"/>
    </row>
    <row r="79" spans="1:15">
      <c r="E79" s="6"/>
      <c r="H79" s="20"/>
      <c r="J79" s="6"/>
      <c r="N79" s="25"/>
    </row>
    <row r="80" spans="1:15">
      <c r="A80" t="s">
        <v>69</v>
      </c>
      <c r="B80" t="s">
        <v>69</v>
      </c>
      <c r="C80" t="s">
        <v>69</v>
      </c>
      <c r="D80" t="s">
        <v>69</v>
      </c>
      <c r="E80" s="6" t="s">
        <v>69</v>
      </c>
      <c r="F80" t="s">
        <v>69</v>
      </c>
      <c r="G80" s="6" t="s">
        <v>69</v>
      </c>
      <c r="H80" t="s">
        <v>69</v>
      </c>
      <c r="I80" t="s">
        <v>69</v>
      </c>
      <c r="J80" s="6" t="s">
        <v>69</v>
      </c>
      <c r="K80" t="s">
        <v>69</v>
      </c>
      <c r="L80" t="s">
        <v>69</v>
      </c>
      <c r="M80" t="s">
        <v>69</v>
      </c>
      <c r="N80" t="s">
        <v>69</v>
      </c>
    </row>
    <row r="81" spans="1:14">
      <c r="E81" s="6"/>
      <c r="J81" s="6"/>
    </row>
    <row r="82" spans="1:14">
      <c r="A82" s="33" t="s">
        <v>70</v>
      </c>
      <c r="B82" s="47">
        <v>52000</v>
      </c>
      <c r="C82" s="47">
        <v>20000</v>
      </c>
      <c r="D82" s="47">
        <v>10000</v>
      </c>
      <c r="E82" s="47">
        <v>44355</v>
      </c>
      <c r="F82" s="47">
        <v>186840</v>
      </c>
      <c r="G82" s="10">
        <v>202000</v>
      </c>
      <c r="H82" s="54">
        <v>197000</v>
      </c>
      <c r="I82" s="47">
        <v>142000</v>
      </c>
      <c r="J82" s="47">
        <v>119000</v>
      </c>
      <c r="K82" s="47">
        <v>0</v>
      </c>
      <c r="L82" s="47">
        <v>0</v>
      </c>
      <c r="M82" s="47">
        <v>455000</v>
      </c>
      <c r="N82" s="7">
        <v>1428195</v>
      </c>
    </row>
    <row r="83" spans="1:14">
      <c r="A83" s="33" t="s">
        <v>71</v>
      </c>
      <c r="B83" s="2">
        <f>+B82</f>
        <v>52000</v>
      </c>
      <c r="C83" s="2">
        <f>+B83+C82</f>
        <v>72000</v>
      </c>
      <c r="D83" s="2">
        <f t="shared" ref="D83:M83" si="19">+C83+D82</f>
        <v>82000</v>
      </c>
      <c r="E83" s="7">
        <f t="shared" si="19"/>
        <v>126355</v>
      </c>
      <c r="F83" s="2">
        <f t="shared" si="19"/>
        <v>313195</v>
      </c>
      <c r="G83" s="7">
        <f t="shared" si="19"/>
        <v>515195</v>
      </c>
      <c r="H83" s="2">
        <f t="shared" si="19"/>
        <v>712195</v>
      </c>
      <c r="I83" s="2">
        <f t="shared" si="19"/>
        <v>854195</v>
      </c>
      <c r="J83" s="7">
        <f t="shared" si="19"/>
        <v>973195</v>
      </c>
      <c r="K83" s="2">
        <f t="shared" si="19"/>
        <v>973195</v>
      </c>
      <c r="L83" s="2">
        <f t="shared" si="19"/>
        <v>973195</v>
      </c>
      <c r="M83" s="2">
        <f t="shared" si="19"/>
        <v>1428195</v>
      </c>
    </row>
    <row r="84" spans="1:14">
      <c r="A84" s="33" t="s">
        <v>72</v>
      </c>
      <c r="B84" s="7">
        <f>+B53</f>
        <v>101289</v>
      </c>
      <c r="C84" s="7">
        <f>SUM($B53:C53)</f>
        <v>331668</v>
      </c>
      <c r="D84" s="7">
        <f>SUM($B53:D53)</f>
        <v>337015</v>
      </c>
      <c r="E84" s="7">
        <f>SUM($B53:E53)</f>
        <v>355037.65</v>
      </c>
      <c r="F84" s="7">
        <f>SUM($B53:F53)</f>
        <v>440476.65</v>
      </c>
      <c r="G84" s="7">
        <f>SUM($B53:G53)</f>
        <v>463540.65</v>
      </c>
      <c r="H84" s="7">
        <f>SUM(B53:H53)</f>
        <v>479142.65</v>
      </c>
      <c r="I84" s="7">
        <f>SUM(B53:I53)</f>
        <v>547959.65</v>
      </c>
      <c r="J84" s="7">
        <f>SUM(B53:J53)</f>
        <v>555659.65</v>
      </c>
      <c r="K84" s="7">
        <f>SUM(B53:K53)</f>
        <v>563997.65</v>
      </c>
      <c r="L84" s="7">
        <f>SUM(B53:L53)</f>
        <v>892187.65</v>
      </c>
      <c r="M84" s="7">
        <f>SUM(B53:M53)</f>
        <v>833009.65</v>
      </c>
    </row>
    <row r="85" spans="1:14">
      <c r="A85" s="33" t="s">
        <v>73</v>
      </c>
      <c r="B85" s="7">
        <f t="shared" ref="B85:G85" si="20">+B83-B84</f>
        <v>-49289</v>
      </c>
      <c r="C85" s="7">
        <f t="shared" si="20"/>
        <v>-259668</v>
      </c>
      <c r="D85" s="7">
        <f t="shared" si="20"/>
        <v>-255015</v>
      </c>
      <c r="E85" s="7">
        <f t="shared" si="20"/>
        <v>-228682.65000000002</v>
      </c>
      <c r="F85" s="7">
        <f t="shared" si="20"/>
        <v>-127281.65000000002</v>
      </c>
      <c r="G85" s="7">
        <f t="shared" si="20"/>
        <v>51654.349999999977</v>
      </c>
      <c r="H85" s="7">
        <f t="shared" ref="H85:M85" si="21">+H83-H84</f>
        <v>233052.34999999998</v>
      </c>
      <c r="I85" s="7">
        <f t="shared" si="21"/>
        <v>306235.34999999998</v>
      </c>
      <c r="J85" s="7">
        <f t="shared" si="21"/>
        <v>417535.35</v>
      </c>
      <c r="K85" s="7">
        <f t="shared" si="21"/>
        <v>409197.35</v>
      </c>
      <c r="L85" s="7">
        <f t="shared" si="21"/>
        <v>81007.349999999977</v>
      </c>
      <c r="M85" s="7">
        <f t="shared" si="21"/>
        <v>595185.35</v>
      </c>
    </row>
    <row r="86" spans="1:14">
      <c r="J86" s="6"/>
      <c r="K86" s="6"/>
    </row>
    <row r="87" spans="1:14">
      <c r="A87" t="s">
        <v>74</v>
      </c>
      <c r="B87" s="35">
        <f>-B56-B57</f>
        <v>199977</v>
      </c>
      <c r="C87" s="35">
        <f t="shared" ref="C87:N87" si="22">-C56-C57</f>
        <v>52488</v>
      </c>
      <c r="D87" s="35">
        <f t="shared" si="22"/>
        <v>171117</v>
      </c>
      <c r="E87" s="35">
        <f t="shared" si="22"/>
        <v>165026</v>
      </c>
      <c r="F87" s="35">
        <f t="shared" si="22"/>
        <v>105115</v>
      </c>
      <c r="G87" s="40">
        <f t="shared" si="22"/>
        <v>114576.58</v>
      </c>
      <c r="H87" s="40">
        <f t="shared" si="22"/>
        <v>447597</v>
      </c>
      <c r="I87" s="35">
        <f t="shared" si="22"/>
        <v>-304863</v>
      </c>
      <c r="J87" s="35">
        <f t="shared" si="22"/>
        <v>-107890</v>
      </c>
      <c r="K87" s="40">
        <f t="shared" si="22"/>
        <v>-14602</v>
      </c>
      <c r="L87" s="35">
        <f t="shared" si="22"/>
        <v>31955.4</v>
      </c>
      <c r="M87" s="35">
        <f t="shared" si="22"/>
        <v>-141263</v>
      </c>
      <c r="N87" s="35">
        <f t="shared" si="22"/>
        <v>719233.98000000021</v>
      </c>
    </row>
    <row r="88" spans="1:14">
      <c r="C88" s="35">
        <f>+B87+C87</f>
        <v>252465</v>
      </c>
      <c r="D88" s="35">
        <f>+C88+D87</f>
        <v>423582</v>
      </c>
      <c r="E88" s="35">
        <f t="shared" ref="E88:M88" si="23">+D88+E87</f>
        <v>588608</v>
      </c>
      <c r="F88" s="35">
        <f t="shared" si="23"/>
        <v>693723</v>
      </c>
      <c r="G88" s="40">
        <f t="shared" si="23"/>
        <v>808299.58</v>
      </c>
      <c r="H88" s="35">
        <f t="shared" si="23"/>
        <v>1255896.58</v>
      </c>
      <c r="I88" s="40">
        <f t="shared" si="23"/>
        <v>951033.58000000007</v>
      </c>
      <c r="J88" s="40">
        <f t="shared" si="23"/>
        <v>843143.58000000007</v>
      </c>
      <c r="K88" s="40">
        <f t="shared" si="23"/>
        <v>828541.58000000007</v>
      </c>
      <c r="L88" s="35">
        <f t="shared" si="23"/>
        <v>860496.9800000001</v>
      </c>
      <c r="M88" s="35">
        <f t="shared" si="23"/>
        <v>719233.9800000001</v>
      </c>
    </row>
    <row r="89" spans="1:14">
      <c r="B89" s="6"/>
      <c r="C89" s="6"/>
      <c r="D89" s="6"/>
      <c r="E89" s="6"/>
    </row>
    <row r="90" spans="1:14">
      <c r="B90" s="6"/>
      <c r="C90" s="6"/>
      <c r="D90" s="21"/>
      <c r="E90" s="6"/>
    </row>
    <row r="91" spans="1:14">
      <c r="B91" s="6"/>
      <c r="C91" s="6"/>
      <c r="D91" s="6"/>
      <c r="E91" s="6"/>
    </row>
    <row r="92" spans="1:14">
      <c r="B92" s="70">
        <v>78554</v>
      </c>
      <c r="C92" s="70">
        <v>78293</v>
      </c>
      <c r="D92" s="70">
        <v>79025</v>
      </c>
      <c r="E92" s="70">
        <v>81090</v>
      </c>
      <c r="F92" s="71">
        <v>81090</v>
      </c>
      <c r="G92" s="70">
        <v>81079</v>
      </c>
      <c r="H92" s="71">
        <v>89229</v>
      </c>
      <c r="I92" s="71">
        <v>88964</v>
      </c>
      <c r="J92" s="71">
        <v>88964</v>
      </c>
      <c r="K92" s="71">
        <v>88563</v>
      </c>
      <c r="L92" s="71">
        <v>97279</v>
      </c>
      <c r="M92" s="71">
        <v>97277</v>
      </c>
    </row>
    <row r="93" spans="1:14">
      <c r="B93" s="6">
        <f>+B92*-1</f>
        <v>-78554</v>
      </c>
      <c r="C93" s="6">
        <f t="shared" ref="C93:M93" si="24">+C92*-1</f>
        <v>-78293</v>
      </c>
      <c r="D93" s="6">
        <f t="shared" si="24"/>
        <v>-79025</v>
      </c>
      <c r="E93" s="6">
        <f t="shared" si="24"/>
        <v>-81090</v>
      </c>
      <c r="F93" s="6">
        <f t="shared" si="24"/>
        <v>-81090</v>
      </c>
      <c r="G93" s="6">
        <f t="shared" si="24"/>
        <v>-81079</v>
      </c>
      <c r="H93" s="6">
        <f t="shared" si="24"/>
        <v>-89229</v>
      </c>
      <c r="I93" s="6">
        <f t="shared" si="24"/>
        <v>-88964</v>
      </c>
      <c r="J93" s="6">
        <f t="shared" si="24"/>
        <v>-88964</v>
      </c>
      <c r="K93" s="6">
        <f t="shared" si="24"/>
        <v>-88563</v>
      </c>
      <c r="L93" s="6">
        <f t="shared" si="24"/>
        <v>-97279</v>
      </c>
      <c r="M93" s="6">
        <f t="shared" si="24"/>
        <v>-97277</v>
      </c>
    </row>
    <row r="94" spans="1:14">
      <c r="B94" s="6"/>
      <c r="C94" s="6"/>
      <c r="D94" s="34"/>
      <c r="E94" s="6"/>
    </row>
    <row r="95" spans="1:14">
      <c r="B95" s="6"/>
      <c r="C95" s="6"/>
      <c r="D95" s="6"/>
      <c r="E95" s="6"/>
    </row>
    <row r="96" spans="1:14">
      <c r="B96" s="6"/>
      <c r="C96" s="6"/>
      <c r="D96" s="6"/>
      <c r="E96" s="6"/>
    </row>
    <row r="97" spans="7:9">
      <c r="G97" s="6">
        <v>95705.42</v>
      </c>
      <c r="I97">
        <v>18871.16</v>
      </c>
    </row>
  </sheetData>
  <pageMargins left="0.28000000000000003" right="0.25" top="0.99" bottom="0.75" header="0.63" footer="0.23"/>
  <pageSetup scale="65" orientation="landscape" r:id="rId1"/>
  <headerFooter alignWithMargins="0">
    <oddHeader xml:space="preserve">&amp;C&amp;"Arial,Bold"&amp;11 49ER SHOPS, INC.
&amp;UFY2017/2018 OPERATIONAL CASH FLOW </oddHeader>
    <oddFooter>&amp;CCash Flow - FY2017/2018
June 2018 Pre-audit</oddFooter>
  </headerFooter>
  <legacyDrawing r:id="rId2"/>
</worksheet>
</file>

<file path=xl/worksheets/sheet3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92D050"/>
    <pageSetUpPr fitToPage="1"/>
  </sheetPr>
  <dimension ref="A1:Z97"/>
  <sheetViews>
    <sheetView showGridLines="0" zoomScale="50" zoomScaleNormal="50" workbookViewId="0">
      <selection activeCell="P45" sqref="P45"/>
    </sheetView>
  </sheetViews>
  <sheetFormatPr defaultRowHeight="12.75"/>
  <cols>
    <col min="1" max="1" width="35.42578125" customWidth="1"/>
    <col min="2" max="2" width="14" customWidth="1"/>
    <col min="3" max="3" width="14.5703125" customWidth="1"/>
    <col min="4" max="4" width="14" customWidth="1"/>
    <col min="5" max="6" width="13.5703125" customWidth="1"/>
    <col min="7" max="7" width="16.5703125" style="6" customWidth="1"/>
    <col min="8" max="8" width="14.140625" customWidth="1"/>
    <col min="9" max="9" width="14.42578125" customWidth="1"/>
    <col min="10" max="10" width="13.85546875" customWidth="1"/>
    <col min="11" max="11" width="15.140625" customWidth="1"/>
    <col min="12" max="12" width="13.5703125" customWidth="1"/>
    <col min="13" max="13" width="14.42578125" customWidth="1"/>
    <col min="14" max="14" width="16.5703125" customWidth="1"/>
    <col min="15" max="15" width="12.42578125" bestFit="1" customWidth="1"/>
    <col min="16" max="16" width="14.140625" customWidth="1"/>
  </cols>
  <sheetData>
    <row r="1" spans="1:15" ht="13.5" thickBot="1">
      <c r="A1" s="46" t="s">
        <v>112</v>
      </c>
      <c r="E1" s="6"/>
      <c r="F1" s="6"/>
      <c r="J1" s="6"/>
      <c r="K1" s="6"/>
      <c r="N1" s="3"/>
    </row>
    <row r="2" spans="1:15">
      <c r="B2" s="45" t="s">
        <v>76</v>
      </c>
      <c r="C2" s="45" t="s">
        <v>76</v>
      </c>
      <c r="D2" s="45" t="s">
        <v>76</v>
      </c>
      <c r="E2" s="45" t="s">
        <v>76</v>
      </c>
      <c r="F2" s="45" t="s">
        <v>76</v>
      </c>
      <c r="G2" s="45" t="s">
        <v>76</v>
      </c>
      <c r="H2" s="45" t="s">
        <v>76</v>
      </c>
      <c r="I2" s="45" t="s">
        <v>76</v>
      </c>
      <c r="J2" s="45" t="s">
        <v>76</v>
      </c>
      <c r="K2" s="45" t="s">
        <v>76</v>
      </c>
      <c r="L2" s="45" t="s">
        <v>76</v>
      </c>
      <c r="M2" s="45" t="s">
        <v>76</v>
      </c>
      <c r="N2" s="28" t="s">
        <v>25</v>
      </c>
    </row>
    <row r="3" spans="1:15" s="5" customFormat="1">
      <c r="B3" s="11">
        <v>43283</v>
      </c>
      <c r="C3" s="11">
        <v>43314</v>
      </c>
      <c r="D3" s="11">
        <v>43345</v>
      </c>
      <c r="E3" s="11">
        <v>43375</v>
      </c>
      <c r="F3" s="11">
        <v>43406</v>
      </c>
      <c r="G3" s="11">
        <v>43436</v>
      </c>
      <c r="H3" s="11">
        <v>43467</v>
      </c>
      <c r="I3" s="11">
        <v>43498</v>
      </c>
      <c r="J3" s="11">
        <v>43526</v>
      </c>
      <c r="K3" s="11">
        <v>43557</v>
      </c>
      <c r="L3" s="11">
        <v>43587</v>
      </c>
      <c r="M3" s="11">
        <v>43618</v>
      </c>
      <c r="N3" s="57" t="s">
        <v>113</v>
      </c>
    </row>
    <row r="4" spans="1:15">
      <c r="A4" s="1" t="s">
        <v>27</v>
      </c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>
        <f>SUM(B4:M4)</f>
        <v>0</v>
      </c>
      <c r="O4" s="29"/>
    </row>
    <row r="5" spans="1:15" s="6" customFormat="1">
      <c r="A5" s="6" t="s">
        <v>28</v>
      </c>
      <c r="B5" s="53">
        <v>1161453</v>
      </c>
      <c r="C5" s="53">
        <v>3114197</v>
      </c>
      <c r="D5" s="53">
        <v>5770084</v>
      </c>
      <c r="E5" s="53">
        <v>4100133</v>
      </c>
      <c r="F5" s="53">
        <v>2497881</v>
      </c>
      <c r="G5" s="53">
        <v>2776160</v>
      </c>
      <c r="H5" s="53">
        <v>4028939</v>
      </c>
      <c r="I5" s="53">
        <v>4052325</v>
      </c>
      <c r="J5" s="53">
        <v>3199134</v>
      </c>
      <c r="K5" s="53">
        <v>3507287</v>
      </c>
      <c r="L5" s="53">
        <v>2668320</v>
      </c>
      <c r="M5" s="53">
        <v>1617618</v>
      </c>
      <c r="N5" s="12">
        <f>SUM(B5:M5)</f>
        <v>38493531</v>
      </c>
      <c r="O5" s="29"/>
    </row>
    <row r="6" spans="1:15" s="6" customFormat="1">
      <c r="A6" s="6" t="s">
        <v>29</v>
      </c>
      <c r="B6" s="53">
        <v>85092</v>
      </c>
      <c r="C6" s="53">
        <v>83059</v>
      </c>
      <c r="D6" s="53">
        <v>310912</v>
      </c>
      <c r="E6" s="53">
        <v>116106</v>
      </c>
      <c r="F6" s="53">
        <v>104991</v>
      </c>
      <c r="G6" s="53">
        <v>101745</v>
      </c>
      <c r="H6" s="53">
        <v>88920</v>
      </c>
      <c r="I6" s="53">
        <v>295741</v>
      </c>
      <c r="J6" s="53">
        <v>106938</v>
      </c>
      <c r="K6" s="53">
        <v>117110</v>
      </c>
      <c r="L6" s="53">
        <v>111576</v>
      </c>
      <c r="M6" s="53">
        <v>95131</v>
      </c>
      <c r="N6" s="7">
        <f>SUM(B6:M6)</f>
        <v>1617321</v>
      </c>
      <c r="O6" s="29"/>
    </row>
    <row r="7" spans="1:15" s="6" customFormat="1">
      <c r="B7" s="7"/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7">
        <f>SUM(B7:M7)</f>
        <v>0</v>
      </c>
      <c r="O7" s="29"/>
    </row>
    <row r="8" spans="1:15" s="6" customFormat="1">
      <c r="B8" s="15"/>
      <c r="C8" s="15"/>
      <c r="D8" s="15"/>
      <c r="E8" s="15"/>
      <c r="F8" s="15"/>
      <c r="G8" s="15"/>
      <c r="H8" s="15"/>
      <c r="I8" s="15"/>
      <c r="J8" s="15"/>
      <c r="K8" s="15"/>
      <c r="L8" s="15"/>
      <c r="M8" s="15"/>
      <c r="N8" s="15">
        <f>SUM(B8:M8)</f>
        <v>0</v>
      </c>
      <c r="O8" s="29"/>
    </row>
    <row r="9" spans="1:15" s="6" customFormat="1">
      <c r="A9" s="13" t="s">
        <v>30</v>
      </c>
      <c r="B9" s="12">
        <f t="shared" ref="B9:N9" si="0">SUM(B5:B8)</f>
        <v>1246545</v>
      </c>
      <c r="C9" s="12">
        <f t="shared" si="0"/>
        <v>3197256</v>
      </c>
      <c r="D9" s="12">
        <f t="shared" si="0"/>
        <v>6080996</v>
      </c>
      <c r="E9" s="12">
        <f t="shared" si="0"/>
        <v>4216239</v>
      </c>
      <c r="F9" s="12">
        <f t="shared" si="0"/>
        <v>2602872</v>
      </c>
      <c r="G9" s="12">
        <f t="shared" si="0"/>
        <v>2877905</v>
      </c>
      <c r="H9" s="12">
        <f t="shared" si="0"/>
        <v>4117859</v>
      </c>
      <c r="I9" s="12">
        <f t="shared" si="0"/>
        <v>4348066</v>
      </c>
      <c r="J9" s="12">
        <f t="shared" si="0"/>
        <v>3306072</v>
      </c>
      <c r="K9" s="12">
        <f t="shared" si="0"/>
        <v>3624397</v>
      </c>
      <c r="L9" s="12">
        <f t="shared" si="0"/>
        <v>2779896</v>
      </c>
      <c r="M9" s="12">
        <f t="shared" si="0"/>
        <v>1712749</v>
      </c>
      <c r="N9" s="12">
        <f t="shared" si="0"/>
        <v>40110852</v>
      </c>
      <c r="O9" s="29"/>
    </row>
    <row r="10" spans="1:15" s="6" customFormat="1" ht="6.75" customHeight="1"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29"/>
    </row>
    <row r="11" spans="1:15" s="6" customFormat="1">
      <c r="A11" s="13" t="s">
        <v>31</v>
      </c>
      <c r="B11" s="7">
        <v>0</v>
      </c>
      <c r="C11" s="7">
        <v>0</v>
      </c>
      <c r="D11" s="7">
        <v>0</v>
      </c>
      <c r="E11" s="7">
        <v>0</v>
      </c>
      <c r="F11" s="7">
        <v>0</v>
      </c>
      <c r="G11" s="7">
        <v>0</v>
      </c>
      <c r="H11" s="7">
        <v>0</v>
      </c>
      <c r="I11" s="7">
        <v>0</v>
      </c>
      <c r="J11" s="7">
        <v>0</v>
      </c>
      <c r="K11" s="7">
        <v>0</v>
      </c>
      <c r="L11" s="7">
        <v>0</v>
      </c>
      <c r="M11" s="7">
        <v>0</v>
      </c>
      <c r="N11" s="7">
        <f>SUM(B11:M11)</f>
        <v>0</v>
      </c>
      <c r="O11" s="29">
        <v>-232025</v>
      </c>
    </row>
    <row r="12" spans="1:15" s="6" customFormat="1" ht="7.5" customHeight="1">
      <c r="B12" s="7"/>
      <c r="C12" s="7"/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  <c r="O12" s="29"/>
    </row>
    <row r="13" spans="1:15" s="6" customFormat="1" ht="13.5" thickBot="1">
      <c r="A13" s="13" t="s">
        <v>32</v>
      </c>
      <c r="B13" s="14">
        <f t="shared" ref="B13:N13" si="1">B9+B11</f>
        <v>1246545</v>
      </c>
      <c r="C13" s="14">
        <f>C9+C11</f>
        <v>3197256</v>
      </c>
      <c r="D13" s="14">
        <f t="shared" si="1"/>
        <v>6080996</v>
      </c>
      <c r="E13" s="14">
        <f t="shared" si="1"/>
        <v>4216239</v>
      </c>
      <c r="F13" s="14">
        <f t="shared" si="1"/>
        <v>2602872</v>
      </c>
      <c r="G13" s="14">
        <f t="shared" si="1"/>
        <v>2877905</v>
      </c>
      <c r="H13" s="14">
        <f t="shared" si="1"/>
        <v>4117859</v>
      </c>
      <c r="I13" s="14">
        <f t="shared" si="1"/>
        <v>4348066</v>
      </c>
      <c r="J13" s="14">
        <f t="shared" si="1"/>
        <v>3306072</v>
      </c>
      <c r="K13" s="14">
        <f t="shared" si="1"/>
        <v>3624397</v>
      </c>
      <c r="L13" s="14">
        <f t="shared" si="1"/>
        <v>2779896</v>
      </c>
      <c r="M13" s="14">
        <f t="shared" si="1"/>
        <v>1712749</v>
      </c>
      <c r="N13" s="14">
        <f t="shared" si="1"/>
        <v>40110852</v>
      </c>
      <c r="O13" s="29"/>
    </row>
    <row r="14" spans="1:15" s="6" customFormat="1" ht="13.5" thickTop="1">
      <c r="B14" s="7"/>
      <c r="C14" s="7"/>
      <c r="D14" s="7"/>
      <c r="E14" s="7"/>
      <c r="F14" s="7"/>
      <c r="G14" s="7"/>
      <c r="H14" s="7"/>
      <c r="I14" s="7"/>
      <c r="J14" s="7"/>
      <c r="K14" s="7"/>
      <c r="L14" s="7"/>
      <c r="M14" s="7"/>
    </row>
    <row r="15" spans="1:15" s="6" customFormat="1">
      <c r="A15" s="13" t="s">
        <v>33</v>
      </c>
      <c r="B15" s="7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</row>
    <row r="16" spans="1:15" s="6" customFormat="1">
      <c r="A16" s="6" t="s">
        <v>34</v>
      </c>
      <c r="B16" s="53">
        <v>507710</v>
      </c>
      <c r="C16" s="53">
        <v>1768998</v>
      </c>
      <c r="D16" s="53">
        <v>2969178</v>
      </c>
      <c r="E16" s="53">
        <v>1499349</v>
      </c>
      <c r="F16" s="53">
        <v>928598</v>
      </c>
      <c r="G16" s="53">
        <v>954396</v>
      </c>
      <c r="H16" s="53">
        <v>2336270</v>
      </c>
      <c r="I16" s="53">
        <v>1689918</v>
      </c>
      <c r="J16" s="53">
        <v>1116694</v>
      </c>
      <c r="K16" s="53">
        <v>1332035</v>
      </c>
      <c r="L16" s="53">
        <v>1066893</v>
      </c>
      <c r="M16" s="53">
        <v>774058</v>
      </c>
      <c r="N16" s="7">
        <f>SUM(B16:M16)</f>
        <v>16944097</v>
      </c>
      <c r="O16" s="29"/>
    </row>
    <row r="17" spans="1:15" s="6" customFormat="1">
      <c r="B17" s="27"/>
      <c r="C17" s="27"/>
      <c r="D17" s="27"/>
      <c r="E17" s="27"/>
      <c r="F17" s="27"/>
      <c r="G17" s="27"/>
      <c r="H17" s="27"/>
      <c r="I17" s="27"/>
      <c r="J17" s="27"/>
      <c r="K17" s="27"/>
      <c r="L17" s="27"/>
      <c r="M17" s="27"/>
      <c r="N17" s="7">
        <f>SUM(B17:M17)</f>
        <v>0</v>
      </c>
    </row>
    <row r="18" spans="1:15" s="6" customFormat="1">
      <c r="B18" s="7"/>
      <c r="C18" s="7"/>
      <c r="D18" s="7"/>
      <c r="E18" s="7"/>
      <c r="F18" s="7"/>
      <c r="G18" s="7"/>
      <c r="H18" s="7"/>
      <c r="I18" s="7"/>
      <c r="J18" s="7"/>
      <c r="K18" s="7"/>
      <c r="L18" s="7"/>
      <c r="M18" s="7"/>
      <c r="N18" s="7">
        <v>0</v>
      </c>
    </row>
    <row r="19" spans="1:15" s="6" customFormat="1">
      <c r="B19" s="15"/>
      <c r="C19" s="15"/>
      <c r="D19" s="15"/>
      <c r="E19" s="15"/>
      <c r="F19" s="15"/>
      <c r="G19" s="15"/>
      <c r="H19" s="15"/>
      <c r="I19" s="15"/>
      <c r="J19" s="15"/>
      <c r="K19" s="15"/>
      <c r="L19" s="15"/>
      <c r="M19" s="15"/>
      <c r="N19" s="15">
        <f>SUM(B19:M19)</f>
        <v>0</v>
      </c>
    </row>
    <row r="20" spans="1:15" s="6" customFormat="1">
      <c r="A20" s="13" t="s">
        <v>35</v>
      </c>
      <c r="B20" s="12">
        <f t="shared" ref="B20:N20" si="2">SUM(B16:B19)</f>
        <v>507710</v>
      </c>
      <c r="C20" s="12">
        <f t="shared" si="2"/>
        <v>1768998</v>
      </c>
      <c r="D20" s="12">
        <f t="shared" si="2"/>
        <v>2969178</v>
      </c>
      <c r="E20" s="12">
        <f t="shared" si="2"/>
        <v>1499349</v>
      </c>
      <c r="F20" s="12">
        <f t="shared" si="2"/>
        <v>928598</v>
      </c>
      <c r="G20" s="12">
        <f t="shared" si="2"/>
        <v>954396</v>
      </c>
      <c r="H20" s="12">
        <f t="shared" si="2"/>
        <v>2336270</v>
      </c>
      <c r="I20" s="12">
        <f t="shared" si="2"/>
        <v>1689918</v>
      </c>
      <c r="J20" s="12">
        <f t="shared" si="2"/>
        <v>1116694</v>
      </c>
      <c r="K20" s="12">
        <f t="shared" si="2"/>
        <v>1332035</v>
      </c>
      <c r="L20" s="12">
        <f t="shared" si="2"/>
        <v>1066893</v>
      </c>
      <c r="M20" s="12">
        <f t="shared" si="2"/>
        <v>774058</v>
      </c>
      <c r="N20" s="12">
        <f t="shared" si="2"/>
        <v>16944097</v>
      </c>
      <c r="O20" s="29"/>
    </row>
    <row r="21" spans="1:15" s="6" customFormat="1">
      <c r="B21" s="7"/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</row>
    <row r="22" spans="1:15" s="6" customFormat="1">
      <c r="A22" s="13" t="s">
        <v>36</v>
      </c>
      <c r="B22" s="7"/>
      <c r="C22" s="7"/>
      <c r="D22" s="7"/>
      <c r="E22" s="7"/>
      <c r="F22" s="7"/>
      <c r="G22" s="7"/>
      <c r="H22" s="7"/>
      <c r="I22" s="7"/>
      <c r="J22" s="7"/>
      <c r="K22" s="7"/>
      <c r="L22" s="7"/>
      <c r="M22" s="7"/>
    </row>
    <row r="23" spans="1:15" s="6" customFormat="1">
      <c r="A23" s="6" t="s">
        <v>37</v>
      </c>
      <c r="B23" s="7">
        <f t="shared" ref="B23:M26" si="3">+B5-B16</f>
        <v>653743</v>
      </c>
      <c r="C23" s="7">
        <f t="shared" si="3"/>
        <v>1345199</v>
      </c>
      <c r="D23" s="7">
        <f t="shared" si="3"/>
        <v>2800906</v>
      </c>
      <c r="E23" s="7">
        <f t="shared" si="3"/>
        <v>2600784</v>
      </c>
      <c r="F23" s="7">
        <f t="shared" si="3"/>
        <v>1569283</v>
      </c>
      <c r="G23" s="7">
        <f t="shared" si="3"/>
        <v>1821764</v>
      </c>
      <c r="H23" s="7">
        <f t="shared" si="3"/>
        <v>1692669</v>
      </c>
      <c r="I23" s="7">
        <f t="shared" si="3"/>
        <v>2362407</v>
      </c>
      <c r="J23" s="7">
        <f t="shared" si="3"/>
        <v>2082440</v>
      </c>
      <c r="K23" s="7">
        <f t="shared" si="3"/>
        <v>2175252</v>
      </c>
      <c r="L23" s="7">
        <f t="shared" si="3"/>
        <v>1601427</v>
      </c>
      <c r="M23" s="7">
        <f t="shared" si="3"/>
        <v>843560</v>
      </c>
      <c r="N23" s="7">
        <f>SUM(B23:M23)</f>
        <v>21549434</v>
      </c>
      <c r="O23" s="29"/>
    </row>
    <row r="24" spans="1:15" s="6" customFormat="1">
      <c r="A24" s="6" t="s">
        <v>37</v>
      </c>
      <c r="B24" s="7">
        <f t="shared" si="3"/>
        <v>85092</v>
      </c>
      <c r="C24" s="7">
        <f t="shared" si="3"/>
        <v>83059</v>
      </c>
      <c r="D24" s="7">
        <f t="shared" si="3"/>
        <v>310912</v>
      </c>
      <c r="E24" s="7">
        <f t="shared" si="3"/>
        <v>116106</v>
      </c>
      <c r="F24" s="7">
        <f t="shared" si="3"/>
        <v>104991</v>
      </c>
      <c r="G24" s="7">
        <f t="shared" si="3"/>
        <v>101745</v>
      </c>
      <c r="H24" s="7">
        <f t="shared" si="3"/>
        <v>88920</v>
      </c>
      <c r="I24" s="7">
        <f t="shared" si="3"/>
        <v>295741</v>
      </c>
      <c r="J24" s="7">
        <f t="shared" si="3"/>
        <v>106938</v>
      </c>
      <c r="K24" s="7">
        <f t="shared" si="3"/>
        <v>117110</v>
      </c>
      <c r="L24" s="7">
        <f t="shared" si="3"/>
        <v>111576</v>
      </c>
      <c r="M24" s="7">
        <f t="shared" si="3"/>
        <v>95131</v>
      </c>
      <c r="N24" s="7">
        <f>SUM(B24:M24)</f>
        <v>1617321</v>
      </c>
      <c r="O24" s="29"/>
    </row>
    <row r="25" spans="1:15" s="6" customFormat="1">
      <c r="A25" s="6" t="s">
        <v>38</v>
      </c>
      <c r="B25" s="7">
        <f t="shared" si="3"/>
        <v>0</v>
      </c>
      <c r="C25" s="7">
        <f t="shared" si="3"/>
        <v>0</v>
      </c>
      <c r="D25" s="7">
        <f t="shared" si="3"/>
        <v>0</v>
      </c>
      <c r="E25" s="7">
        <f t="shared" si="3"/>
        <v>0</v>
      </c>
      <c r="F25" s="7">
        <f t="shared" si="3"/>
        <v>0</v>
      </c>
      <c r="G25" s="7">
        <f t="shared" si="3"/>
        <v>0</v>
      </c>
      <c r="H25" s="7">
        <f t="shared" si="3"/>
        <v>0</v>
      </c>
      <c r="I25" s="7">
        <f t="shared" si="3"/>
        <v>0</v>
      </c>
      <c r="J25" s="7">
        <f t="shared" si="3"/>
        <v>0</v>
      </c>
      <c r="K25" s="7">
        <f t="shared" si="3"/>
        <v>0</v>
      </c>
      <c r="L25" s="7">
        <f t="shared" si="3"/>
        <v>0</v>
      </c>
      <c r="M25" s="7">
        <f t="shared" si="3"/>
        <v>0</v>
      </c>
      <c r="N25" s="7">
        <f>SUM(B25:M25)</f>
        <v>0</v>
      </c>
      <c r="O25" s="29"/>
    </row>
    <row r="26" spans="1:15" s="6" customFormat="1">
      <c r="A26" s="6" t="s">
        <v>38</v>
      </c>
      <c r="B26" s="15">
        <f t="shared" si="3"/>
        <v>0</v>
      </c>
      <c r="C26" s="15">
        <f t="shared" si="3"/>
        <v>0</v>
      </c>
      <c r="D26" s="15">
        <f t="shared" si="3"/>
        <v>0</v>
      </c>
      <c r="E26" s="15">
        <f t="shared" si="3"/>
        <v>0</v>
      </c>
      <c r="F26" s="15">
        <f t="shared" si="3"/>
        <v>0</v>
      </c>
      <c r="G26" s="15">
        <f t="shared" si="3"/>
        <v>0</v>
      </c>
      <c r="H26" s="15">
        <f t="shared" si="3"/>
        <v>0</v>
      </c>
      <c r="I26" s="15">
        <f t="shared" si="3"/>
        <v>0</v>
      </c>
      <c r="J26" s="15">
        <f t="shared" si="3"/>
        <v>0</v>
      </c>
      <c r="K26" s="15">
        <f t="shared" si="3"/>
        <v>0</v>
      </c>
      <c r="L26" s="15">
        <f t="shared" si="3"/>
        <v>0</v>
      </c>
      <c r="M26" s="15">
        <f t="shared" si="3"/>
        <v>0</v>
      </c>
      <c r="N26" s="15">
        <f>SUM(B26:M26)</f>
        <v>0</v>
      </c>
      <c r="O26" s="29"/>
    </row>
    <row r="27" spans="1:15" s="6" customFormat="1">
      <c r="A27" s="13" t="s">
        <v>39</v>
      </c>
      <c r="B27" s="12">
        <f t="shared" ref="B27:N27" si="4">SUM(B23:B26)</f>
        <v>738835</v>
      </c>
      <c r="C27" s="12">
        <f t="shared" si="4"/>
        <v>1428258</v>
      </c>
      <c r="D27" s="12">
        <f t="shared" si="4"/>
        <v>3111818</v>
      </c>
      <c r="E27" s="12">
        <f t="shared" si="4"/>
        <v>2716890</v>
      </c>
      <c r="F27" s="12">
        <f t="shared" si="4"/>
        <v>1674274</v>
      </c>
      <c r="G27" s="12">
        <f t="shared" si="4"/>
        <v>1923509</v>
      </c>
      <c r="H27" s="12">
        <f t="shared" si="4"/>
        <v>1781589</v>
      </c>
      <c r="I27" s="12">
        <f t="shared" si="4"/>
        <v>2658148</v>
      </c>
      <c r="J27" s="12">
        <f t="shared" si="4"/>
        <v>2189378</v>
      </c>
      <c r="K27" s="12">
        <f t="shared" si="4"/>
        <v>2292362</v>
      </c>
      <c r="L27" s="12">
        <f t="shared" si="4"/>
        <v>1713003</v>
      </c>
      <c r="M27" s="12">
        <f>SUM(M23:M26)</f>
        <v>938691</v>
      </c>
      <c r="N27" s="12">
        <f t="shared" si="4"/>
        <v>23166755</v>
      </c>
      <c r="O27" s="29"/>
    </row>
    <row r="28" spans="1:15" s="6" customFormat="1" ht="14.45" customHeight="1">
      <c r="B28" s="73">
        <f>+B27/B9</f>
        <v>0.59270624004749128</v>
      </c>
      <c r="C28" s="73">
        <f t="shared" ref="C28:N28" si="5">+C27/C9</f>
        <v>0.44671368198229983</v>
      </c>
      <c r="D28" s="73">
        <f t="shared" si="5"/>
        <v>0.51172834187031202</v>
      </c>
      <c r="E28" s="73">
        <f t="shared" si="5"/>
        <v>0.6443870947543533</v>
      </c>
      <c r="F28" s="73">
        <f t="shared" si="5"/>
        <v>0.64324100455189503</v>
      </c>
      <c r="G28" s="73">
        <f t="shared" si="5"/>
        <v>0.66837126312369588</v>
      </c>
      <c r="H28" s="73">
        <f t="shared" si="5"/>
        <v>0.43264934520584603</v>
      </c>
      <c r="I28" s="73">
        <f t="shared" si="5"/>
        <v>0.61134030624190161</v>
      </c>
      <c r="J28" s="73">
        <f t="shared" si="5"/>
        <v>0.66222937673468696</v>
      </c>
      <c r="K28" s="73">
        <f t="shared" si="5"/>
        <v>0.6324809340698605</v>
      </c>
      <c r="L28" s="73">
        <f t="shared" si="5"/>
        <v>0.61621118200105329</v>
      </c>
      <c r="M28" s="73">
        <f t="shared" si="5"/>
        <v>0.54806104105154929</v>
      </c>
      <c r="N28" s="73">
        <f t="shared" si="5"/>
        <v>0.57756826008083795</v>
      </c>
    </row>
    <row r="29" spans="1:15" s="6" customFormat="1">
      <c r="A29" s="13" t="s">
        <v>40</v>
      </c>
      <c r="B29" s="7"/>
      <c r="C29" s="7"/>
      <c r="D29" s="7"/>
      <c r="E29" s="7"/>
      <c r="F29" s="7"/>
      <c r="G29" s="7"/>
      <c r="H29" s="7"/>
      <c r="I29" s="7"/>
      <c r="J29" s="7"/>
      <c r="K29" s="7"/>
      <c r="L29" s="7"/>
      <c r="M29" s="7"/>
    </row>
    <row r="30" spans="1:15" s="6" customFormat="1">
      <c r="A30" s="6" t="s">
        <v>93</v>
      </c>
      <c r="B30" s="53">
        <v>600233</v>
      </c>
      <c r="C30" s="53">
        <v>635109</v>
      </c>
      <c r="D30" s="53">
        <v>737654</v>
      </c>
      <c r="E30" s="53">
        <v>873804</v>
      </c>
      <c r="F30" s="53">
        <v>655473</v>
      </c>
      <c r="G30" s="53">
        <v>645132</v>
      </c>
      <c r="H30" s="53">
        <v>699380</v>
      </c>
      <c r="I30" s="53">
        <v>767189</v>
      </c>
      <c r="J30" s="53">
        <v>740529</v>
      </c>
      <c r="K30" s="53">
        <v>823718</v>
      </c>
      <c r="L30" s="53">
        <v>672632</v>
      </c>
      <c r="M30" s="53">
        <v>481272</v>
      </c>
      <c r="N30" s="7">
        <f>SUM(B30:M30)</f>
        <v>8332125</v>
      </c>
      <c r="O30" s="29"/>
    </row>
    <row r="31" spans="1:15" s="6" customFormat="1">
      <c r="A31" s="6" t="s">
        <v>42</v>
      </c>
      <c r="B31" s="53">
        <v>238498</v>
      </c>
      <c r="C31" s="53">
        <v>218636</v>
      </c>
      <c r="D31" s="53">
        <v>222552</v>
      </c>
      <c r="E31" s="53">
        <v>253635</v>
      </c>
      <c r="F31" s="53">
        <v>213768</v>
      </c>
      <c r="G31" s="53">
        <v>212033</v>
      </c>
      <c r="H31" s="53">
        <v>235832</v>
      </c>
      <c r="I31" s="53">
        <v>221244</v>
      </c>
      <c r="J31" s="53">
        <v>220622</v>
      </c>
      <c r="K31" s="53">
        <v>249552</v>
      </c>
      <c r="L31" s="53">
        <v>214590</v>
      </c>
      <c r="M31" s="53">
        <v>210384</v>
      </c>
      <c r="N31" s="7">
        <f>SUM(B31:M31)</f>
        <v>2711346</v>
      </c>
      <c r="O31" s="29"/>
    </row>
    <row r="32" spans="1:15" s="6" customFormat="1" ht="15">
      <c r="A32" s="6" t="s">
        <v>38</v>
      </c>
      <c r="B32" s="68"/>
      <c r="C32" s="68"/>
      <c r="D32" s="68"/>
      <c r="E32" s="68"/>
      <c r="F32" s="68"/>
      <c r="G32" s="68"/>
      <c r="H32" s="68"/>
      <c r="I32" s="68"/>
      <c r="J32" s="68"/>
      <c r="K32" s="68"/>
      <c r="L32" s="68"/>
      <c r="M32" s="68"/>
      <c r="N32" s="7">
        <f>SUM(B32:M32)</f>
        <v>0</v>
      </c>
      <c r="O32" s="29"/>
    </row>
    <row r="33" spans="1:16" s="6" customFormat="1">
      <c r="B33" s="15"/>
      <c r="C33" s="15"/>
      <c r="D33" s="15"/>
      <c r="E33" s="15"/>
      <c r="F33" s="15"/>
      <c r="G33" s="15"/>
      <c r="H33" s="15"/>
      <c r="I33" s="15"/>
      <c r="J33" s="15"/>
      <c r="K33" s="15"/>
      <c r="L33" s="15"/>
      <c r="M33" s="15"/>
      <c r="N33" s="15">
        <f>SUM(B33:M33)</f>
        <v>0</v>
      </c>
      <c r="O33" s="29"/>
    </row>
    <row r="34" spans="1:16" s="6" customFormat="1">
      <c r="A34" s="13" t="s">
        <v>43</v>
      </c>
      <c r="B34" s="12">
        <f t="shared" ref="B34:N34" si="6">SUM(B30:B33)</f>
        <v>838731</v>
      </c>
      <c r="C34" s="12">
        <f t="shared" si="6"/>
        <v>853745</v>
      </c>
      <c r="D34" s="12">
        <f t="shared" si="6"/>
        <v>960206</v>
      </c>
      <c r="E34" s="12">
        <f t="shared" si="6"/>
        <v>1127439</v>
      </c>
      <c r="F34" s="12">
        <f t="shared" si="6"/>
        <v>869241</v>
      </c>
      <c r="G34" s="12">
        <f t="shared" si="6"/>
        <v>857165</v>
      </c>
      <c r="H34" s="12">
        <f t="shared" si="6"/>
        <v>935212</v>
      </c>
      <c r="I34" s="12">
        <f t="shared" si="6"/>
        <v>988433</v>
      </c>
      <c r="J34" s="12">
        <f t="shared" si="6"/>
        <v>961151</v>
      </c>
      <c r="K34" s="12">
        <f t="shared" si="6"/>
        <v>1073270</v>
      </c>
      <c r="L34" s="12">
        <f t="shared" si="6"/>
        <v>887222</v>
      </c>
      <c r="M34" s="12">
        <f t="shared" si="6"/>
        <v>691656</v>
      </c>
      <c r="N34" s="12">
        <f t="shared" si="6"/>
        <v>11043471</v>
      </c>
      <c r="O34" s="29"/>
    </row>
    <row r="35" spans="1:16" s="6" customFormat="1">
      <c r="B35" s="7"/>
      <c r="C35" s="7"/>
      <c r="D35" s="7"/>
      <c r="E35" s="7"/>
      <c r="F35" s="7"/>
      <c r="G35" s="7"/>
      <c r="H35" s="7"/>
      <c r="I35" s="7"/>
      <c r="J35" s="7"/>
      <c r="K35" s="7"/>
      <c r="L35" s="7"/>
      <c r="M35" s="7"/>
    </row>
    <row r="36" spans="1:16" s="6" customFormat="1">
      <c r="A36" s="13" t="s">
        <v>44</v>
      </c>
      <c r="B36" s="7"/>
      <c r="C36" s="7"/>
      <c r="D36" s="7"/>
      <c r="E36" s="7"/>
      <c r="F36" s="7"/>
      <c r="G36" s="7"/>
      <c r="H36" s="7"/>
      <c r="I36" s="7"/>
      <c r="J36" s="7"/>
      <c r="K36" s="7"/>
      <c r="L36" s="7"/>
      <c r="M36" s="7"/>
    </row>
    <row r="37" spans="1:16" s="6" customFormat="1">
      <c r="A37" s="6" t="s">
        <v>45</v>
      </c>
      <c r="B37" s="53">
        <v>1373408</v>
      </c>
      <c r="C37" s="53">
        <v>1340215</v>
      </c>
      <c r="D37" s="53">
        <v>1567865</v>
      </c>
      <c r="E37" s="53">
        <v>1759651</v>
      </c>
      <c r="F37" s="53">
        <v>1435895</v>
      </c>
      <c r="G37" s="66">
        <v>1630908</v>
      </c>
      <c r="H37" s="66">
        <v>1457121</v>
      </c>
      <c r="I37" s="66">
        <v>1632531</v>
      </c>
      <c r="J37" s="66">
        <v>1545361</v>
      </c>
      <c r="K37" s="53">
        <v>1699036</v>
      </c>
      <c r="L37" s="53">
        <v>1429774</v>
      </c>
      <c r="M37" s="53">
        <v>1131406</v>
      </c>
      <c r="N37" s="42">
        <f>SUM(B37:M37)</f>
        <v>18003171</v>
      </c>
      <c r="O37" s="29"/>
    </row>
    <row r="38" spans="1:16" s="6" customFormat="1">
      <c r="A38" s="6" t="s">
        <v>46</v>
      </c>
      <c r="B38" s="7">
        <f>-B34</f>
        <v>-838731</v>
      </c>
      <c r="C38" s="7">
        <f t="shared" ref="C38:M38" si="7">-C34</f>
        <v>-853745</v>
      </c>
      <c r="D38" s="7">
        <f t="shared" si="7"/>
        <v>-960206</v>
      </c>
      <c r="E38" s="7">
        <f t="shared" si="7"/>
        <v>-1127439</v>
      </c>
      <c r="F38" s="7">
        <f t="shared" si="7"/>
        <v>-869241</v>
      </c>
      <c r="G38" s="7">
        <f t="shared" si="7"/>
        <v>-857165</v>
      </c>
      <c r="H38" s="7">
        <f t="shared" si="7"/>
        <v>-935212</v>
      </c>
      <c r="I38" s="7">
        <f t="shared" si="7"/>
        <v>-988433</v>
      </c>
      <c r="J38" s="7">
        <f t="shared" si="7"/>
        <v>-961151</v>
      </c>
      <c r="K38" s="7">
        <f t="shared" si="7"/>
        <v>-1073270</v>
      </c>
      <c r="L38" s="7">
        <f t="shared" si="7"/>
        <v>-887222</v>
      </c>
      <c r="M38" s="7">
        <f t="shared" si="7"/>
        <v>-691656</v>
      </c>
      <c r="N38" s="42">
        <f>SUM(B38:M38)</f>
        <v>-11043471</v>
      </c>
      <c r="O38" s="29"/>
    </row>
    <row r="39" spans="1:16" s="6" customFormat="1">
      <c r="A39" s="6" t="s">
        <v>47</v>
      </c>
      <c r="B39" s="72">
        <v>-89837</v>
      </c>
      <c r="C39" s="72">
        <v>-85837</v>
      </c>
      <c r="D39" s="72">
        <v>-86637</v>
      </c>
      <c r="E39" s="72">
        <v>-80973</v>
      </c>
      <c r="F39" s="72">
        <v>-81098</v>
      </c>
      <c r="G39" s="72">
        <v>-81098</v>
      </c>
      <c r="H39" s="72">
        <v>-81832</v>
      </c>
      <c r="I39" s="72">
        <v>-81832</v>
      </c>
      <c r="J39" s="72">
        <v>-81832</v>
      </c>
      <c r="K39" s="72">
        <v>-82780</v>
      </c>
      <c r="L39" s="72">
        <v>-82780</v>
      </c>
      <c r="M39" s="72">
        <v>-81945</v>
      </c>
      <c r="N39" s="42">
        <f>SUM(B39:M39)</f>
        <v>-998481</v>
      </c>
      <c r="O39" s="29"/>
    </row>
    <row r="40" spans="1:16" s="6" customFormat="1">
      <c r="A40" s="6" t="s">
        <v>78</v>
      </c>
      <c r="B40" s="53"/>
      <c r="C40" s="53"/>
      <c r="D40" s="53"/>
      <c r="E40" s="53"/>
      <c r="F40" s="53"/>
      <c r="G40" s="53"/>
      <c r="H40" s="53"/>
      <c r="I40" s="53"/>
      <c r="J40" s="53"/>
      <c r="K40" s="53"/>
      <c r="L40" s="53"/>
      <c r="M40" s="53"/>
      <c r="N40" s="7">
        <f>SUM(B40:M40)</f>
        <v>0</v>
      </c>
      <c r="O40" s="29"/>
    </row>
    <row r="41" spans="1:16" s="6" customFormat="1">
      <c r="A41" s="6" t="s">
        <v>48</v>
      </c>
      <c r="B41" s="60">
        <v>-10000</v>
      </c>
      <c r="C41" s="60">
        <v>-10000</v>
      </c>
      <c r="D41" s="60">
        <v>-10000</v>
      </c>
      <c r="E41" s="60">
        <v>-10000</v>
      </c>
      <c r="F41" s="60">
        <v>-10000</v>
      </c>
      <c r="G41" s="60">
        <v>-10000</v>
      </c>
      <c r="H41" s="60">
        <v>-10000</v>
      </c>
      <c r="I41" s="60">
        <v>-10000</v>
      </c>
      <c r="J41" s="60">
        <v>-10300</v>
      </c>
      <c r="K41" s="60">
        <v>-10300</v>
      </c>
      <c r="L41" s="60">
        <v>-10300</v>
      </c>
      <c r="M41" s="60">
        <v>-10000</v>
      </c>
      <c r="N41" s="15">
        <f>SUM(B41:M41)</f>
        <v>-120900</v>
      </c>
      <c r="O41" s="29"/>
    </row>
    <row r="42" spans="1:16" s="6" customFormat="1">
      <c r="A42" s="13" t="s">
        <v>49</v>
      </c>
      <c r="B42" s="12">
        <f t="shared" ref="B42:N42" si="8">SUM(B37:B41)</f>
        <v>434840</v>
      </c>
      <c r="C42" s="12">
        <f t="shared" si="8"/>
        <v>390633</v>
      </c>
      <c r="D42" s="12">
        <f t="shared" si="8"/>
        <v>511022</v>
      </c>
      <c r="E42" s="12">
        <f t="shared" si="8"/>
        <v>541239</v>
      </c>
      <c r="F42" s="12">
        <f t="shared" si="8"/>
        <v>475556</v>
      </c>
      <c r="G42" s="12">
        <f t="shared" si="8"/>
        <v>682645</v>
      </c>
      <c r="H42" s="12">
        <f t="shared" si="8"/>
        <v>430077</v>
      </c>
      <c r="I42" s="12">
        <f t="shared" si="8"/>
        <v>552266</v>
      </c>
      <c r="J42" s="12">
        <f t="shared" si="8"/>
        <v>492078</v>
      </c>
      <c r="K42" s="12">
        <f t="shared" si="8"/>
        <v>532686</v>
      </c>
      <c r="L42" s="12">
        <f t="shared" si="8"/>
        <v>449472</v>
      </c>
      <c r="M42" s="12">
        <f t="shared" si="8"/>
        <v>347805</v>
      </c>
      <c r="N42" s="12">
        <f t="shared" si="8"/>
        <v>5840319</v>
      </c>
      <c r="O42" s="29"/>
    </row>
    <row r="43" spans="1:16">
      <c r="A43" s="1"/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2"/>
      <c r="N43" s="12"/>
      <c r="O43" s="6"/>
    </row>
    <row r="44" spans="1:16">
      <c r="A44" s="13" t="s">
        <v>50</v>
      </c>
      <c r="B44" s="53">
        <v>552053</v>
      </c>
      <c r="C44" s="53">
        <v>302692</v>
      </c>
      <c r="D44" s="53">
        <v>342435</v>
      </c>
      <c r="E44" s="53">
        <v>410056</v>
      </c>
      <c r="F44" s="53">
        <v>400329</v>
      </c>
      <c r="G44" s="53">
        <v>371389</v>
      </c>
      <c r="H44" s="53">
        <v>350631</v>
      </c>
      <c r="I44" s="53">
        <v>305031</v>
      </c>
      <c r="J44" s="53">
        <v>400807</v>
      </c>
      <c r="K44" s="53">
        <v>352963</v>
      </c>
      <c r="L44" s="53">
        <v>301088</v>
      </c>
      <c r="M44" s="53">
        <f>743355-270</f>
        <v>743085</v>
      </c>
      <c r="N44" s="12">
        <f>SUM(B44:M44)</f>
        <v>4832559</v>
      </c>
      <c r="O44" s="29"/>
      <c r="P44" s="25"/>
    </row>
    <row r="45" spans="1:16">
      <c r="A45" s="6" t="s">
        <v>107</v>
      </c>
      <c r="B45" s="22"/>
      <c r="C45" s="22"/>
      <c r="D45" s="22"/>
      <c r="E45" s="22"/>
      <c r="F45" s="22"/>
      <c r="G45" s="22"/>
      <c r="H45" s="22"/>
      <c r="I45" s="22"/>
      <c r="J45" s="77"/>
      <c r="K45" s="22"/>
      <c r="L45" s="22"/>
      <c r="M45" s="77"/>
      <c r="N45" s="22">
        <f>SUM(B45:M45)</f>
        <v>0</v>
      </c>
      <c r="O45" s="29"/>
    </row>
    <row r="46" spans="1:16">
      <c r="A46" s="1" t="s">
        <v>50</v>
      </c>
      <c r="B46" s="12">
        <f>SUM(B44:B45)</f>
        <v>552053</v>
      </c>
      <c r="C46" s="12">
        <f>SUM(C44:C45)</f>
        <v>302692</v>
      </c>
      <c r="D46" s="12">
        <f t="shared" ref="D46:N46" si="9">SUM(D44:D45)</f>
        <v>342435</v>
      </c>
      <c r="E46" s="12">
        <f t="shared" si="9"/>
        <v>410056</v>
      </c>
      <c r="F46" s="12">
        <f t="shared" si="9"/>
        <v>400329</v>
      </c>
      <c r="G46" s="12">
        <f t="shared" si="9"/>
        <v>371389</v>
      </c>
      <c r="H46" s="12">
        <f t="shared" si="9"/>
        <v>350631</v>
      </c>
      <c r="I46" s="12">
        <f t="shared" si="9"/>
        <v>305031</v>
      </c>
      <c r="J46" s="12">
        <f t="shared" si="9"/>
        <v>400807</v>
      </c>
      <c r="K46" s="12">
        <f t="shared" si="9"/>
        <v>352963</v>
      </c>
      <c r="L46" s="12">
        <f t="shared" si="9"/>
        <v>301088</v>
      </c>
      <c r="M46" s="12">
        <f t="shared" si="9"/>
        <v>743085</v>
      </c>
      <c r="N46" s="12">
        <f t="shared" si="9"/>
        <v>4832559</v>
      </c>
      <c r="O46" s="29"/>
    </row>
    <row r="47" spans="1:16">
      <c r="B47" s="7"/>
      <c r="C47" s="7"/>
      <c r="D47" s="7"/>
      <c r="E47" s="7"/>
      <c r="F47" s="7"/>
      <c r="G47" s="7"/>
      <c r="H47" s="7"/>
      <c r="I47" s="7"/>
      <c r="J47" s="7"/>
      <c r="K47" s="6"/>
      <c r="L47" s="6"/>
      <c r="M47" s="6"/>
      <c r="N47" s="6"/>
      <c r="O47" s="6"/>
    </row>
    <row r="48" spans="1:16">
      <c r="A48" s="13" t="s">
        <v>52</v>
      </c>
      <c r="B48" s="19">
        <f t="shared" ref="B48:N48" si="10">+B20+B34+B42+B46</f>
        <v>2333334</v>
      </c>
      <c r="C48" s="19">
        <f t="shared" si="10"/>
        <v>3316068</v>
      </c>
      <c r="D48" s="19">
        <f t="shared" si="10"/>
        <v>4782841</v>
      </c>
      <c r="E48" s="19">
        <f t="shared" si="10"/>
        <v>3578083</v>
      </c>
      <c r="F48" s="19">
        <f t="shared" si="10"/>
        <v>2673724</v>
      </c>
      <c r="G48" s="19">
        <f t="shared" si="10"/>
        <v>2865595</v>
      </c>
      <c r="H48" s="19">
        <f t="shared" si="10"/>
        <v>4052190</v>
      </c>
      <c r="I48" s="19">
        <f t="shared" si="10"/>
        <v>3535648</v>
      </c>
      <c r="J48" s="19">
        <f t="shared" si="10"/>
        <v>2970730</v>
      </c>
      <c r="K48" s="19">
        <f t="shared" si="10"/>
        <v>3290954</v>
      </c>
      <c r="L48" s="19">
        <f t="shared" si="10"/>
        <v>2704675</v>
      </c>
      <c r="M48" s="19">
        <f t="shared" si="10"/>
        <v>2556604</v>
      </c>
      <c r="N48" s="19">
        <f t="shared" si="10"/>
        <v>38660446</v>
      </c>
      <c r="O48" s="29"/>
    </row>
    <row r="49" spans="1:26">
      <c r="B49" s="7"/>
      <c r="C49" s="7"/>
      <c r="D49" s="7"/>
      <c r="E49" s="7"/>
      <c r="F49" s="7"/>
      <c r="G49" s="7"/>
      <c r="H49" s="7"/>
      <c r="I49" s="7"/>
      <c r="J49" s="7"/>
      <c r="K49" s="6"/>
      <c r="L49" s="6"/>
      <c r="M49" s="6"/>
      <c r="N49" s="6"/>
      <c r="O49" s="6"/>
    </row>
    <row r="50" spans="1:26">
      <c r="A50" s="1" t="s">
        <v>53</v>
      </c>
      <c r="B50" s="12">
        <f t="shared" ref="B50:M50" si="11">+B13-B48</f>
        <v>-1086789</v>
      </c>
      <c r="C50" s="12">
        <f t="shared" si="11"/>
        <v>-118812</v>
      </c>
      <c r="D50" s="12">
        <f t="shared" si="11"/>
        <v>1298155</v>
      </c>
      <c r="E50" s="12">
        <f t="shared" si="11"/>
        <v>638156</v>
      </c>
      <c r="F50" s="12">
        <f t="shared" si="11"/>
        <v>-70852</v>
      </c>
      <c r="G50" s="12">
        <f t="shared" si="11"/>
        <v>12310</v>
      </c>
      <c r="H50" s="12">
        <f t="shared" si="11"/>
        <v>65669</v>
      </c>
      <c r="I50" s="12">
        <f t="shared" si="11"/>
        <v>812418</v>
      </c>
      <c r="J50" s="12">
        <f t="shared" si="11"/>
        <v>335342</v>
      </c>
      <c r="K50" s="12">
        <f t="shared" si="11"/>
        <v>333443</v>
      </c>
      <c r="L50" s="12">
        <f t="shared" si="11"/>
        <v>75221</v>
      </c>
      <c r="M50" s="12">
        <f t="shared" si="11"/>
        <v>-843855</v>
      </c>
      <c r="N50" s="12">
        <f>SUM(B50:M50)</f>
        <v>1450406</v>
      </c>
      <c r="O50" s="7">
        <f>+N50+N39+N41</f>
        <v>331025</v>
      </c>
    </row>
    <row r="51" spans="1:26" ht="7.5" customHeight="1">
      <c r="B51" s="7"/>
      <c r="C51" s="7"/>
      <c r="D51" s="7"/>
      <c r="E51" s="7"/>
      <c r="F51" s="7"/>
      <c r="G51" s="7"/>
      <c r="H51" s="7"/>
      <c r="I51" s="7"/>
      <c r="J51" s="7"/>
      <c r="K51" s="6"/>
      <c r="L51" s="6"/>
      <c r="M51" s="6"/>
      <c r="N51" s="6"/>
      <c r="O51" s="6"/>
    </row>
    <row r="52" spans="1:26">
      <c r="A52" s="1" t="s">
        <v>54</v>
      </c>
      <c r="B52" s="7"/>
      <c r="C52" s="7"/>
      <c r="D52" s="7"/>
      <c r="E52" s="7"/>
      <c r="F52" s="7"/>
      <c r="G52" s="7"/>
      <c r="H52" s="7"/>
      <c r="I52" s="7"/>
      <c r="J52" s="7"/>
      <c r="K52" s="6"/>
      <c r="L52" s="6"/>
      <c r="M52" s="6"/>
      <c r="N52" s="6"/>
      <c r="O52" s="6"/>
    </row>
    <row r="53" spans="1:26" s="6" customFormat="1">
      <c r="A53" s="6" t="s">
        <v>55</v>
      </c>
      <c r="B53" s="10">
        <v>50000</v>
      </c>
      <c r="C53" s="10">
        <v>50000</v>
      </c>
      <c r="D53" s="10">
        <v>200000</v>
      </c>
      <c r="E53" s="10">
        <v>100000</v>
      </c>
      <c r="F53" s="10">
        <v>10000</v>
      </c>
      <c r="G53" s="10">
        <v>100000</v>
      </c>
      <c r="H53" s="23">
        <v>10000</v>
      </c>
      <c r="I53" s="10">
        <v>75000</v>
      </c>
      <c r="J53" s="10">
        <v>50000</v>
      </c>
      <c r="K53" s="10">
        <v>10000</v>
      </c>
      <c r="L53" s="10">
        <v>10000</v>
      </c>
      <c r="M53" s="10">
        <v>265725</v>
      </c>
      <c r="N53" s="51">
        <f>SUM(B53:M53)</f>
        <v>930725</v>
      </c>
      <c r="O53" s="10">
        <v>930725</v>
      </c>
      <c r="P53" s="40">
        <f>+O53-N53</f>
        <v>0</v>
      </c>
      <c r="Z53" s="40">
        <f>N53-P53+O53-N53</f>
        <v>930725</v>
      </c>
    </row>
    <row r="54" spans="1:26" s="6" customFormat="1">
      <c r="A54" s="6" t="s">
        <v>96</v>
      </c>
      <c r="B54" s="10"/>
      <c r="C54" s="10"/>
      <c r="D54" s="10"/>
      <c r="E54" s="10"/>
      <c r="F54" s="51">
        <v>90000</v>
      </c>
      <c r="G54" s="10"/>
      <c r="H54" s="10"/>
      <c r="I54" s="10"/>
      <c r="J54" s="10"/>
      <c r="K54" s="10"/>
      <c r="L54" s="10"/>
      <c r="M54" s="10"/>
      <c r="N54" s="10">
        <f>SUM(B54:M54)</f>
        <v>90000</v>
      </c>
    </row>
    <row r="55" spans="1:26" s="6" customFormat="1">
      <c r="A55" s="6" t="s">
        <v>111</v>
      </c>
      <c r="B55" s="51">
        <v>348240</v>
      </c>
      <c r="C55" s="10"/>
      <c r="D55" s="10"/>
      <c r="E55" s="10"/>
      <c r="F55" s="10"/>
      <c r="G55" s="10"/>
      <c r="H55" s="10"/>
      <c r="I55" s="10"/>
      <c r="J55" s="47"/>
      <c r="K55" s="10"/>
      <c r="L55" s="10">
        <v>0</v>
      </c>
      <c r="M55" s="77"/>
      <c r="N55" s="10">
        <f>SUM(B55:M55)</f>
        <v>348240</v>
      </c>
    </row>
    <row r="56" spans="1:26" s="6" customFormat="1">
      <c r="A56" s="37" t="s">
        <v>58</v>
      </c>
      <c r="B56" s="7">
        <v>-20000</v>
      </c>
      <c r="C56" s="7">
        <v>-20000</v>
      </c>
      <c r="D56" s="7">
        <v>-25000</v>
      </c>
      <c r="E56" s="7">
        <v>-20000</v>
      </c>
      <c r="F56" s="7">
        <v>-20000</v>
      </c>
      <c r="G56" s="7">
        <v>-25000</v>
      </c>
      <c r="H56" s="7">
        <v>-20000</v>
      </c>
      <c r="I56" s="7">
        <v>-20000</v>
      </c>
      <c r="J56" s="7">
        <v>-25000</v>
      </c>
      <c r="K56" s="7">
        <v>-20000</v>
      </c>
      <c r="L56" s="7">
        <v>-20000</v>
      </c>
      <c r="M56" s="7">
        <v>-25000</v>
      </c>
      <c r="N56" s="42">
        <f>SUM(B56:M56)</f>
        <v>-260000</v>
      </c>
      <c r="O56" s="7">
        <v>412620</v>
      </c>
    </row>
    <row r="57" spans="1:26" s="6" customFormat="1">
      <c r="A57" s="6" t="s">
        <v>59</v>
      </c>
      <c r="B57" s="22">
        <v>-25000</v>
      </c>
      <c r="C57" s="22">
        <v>-25000</v>
      </c>
      <c r="D57" s="22">
        <v>-25000</v>
      </c>
      <c r="E57" s="22">
        <v>-25000</v>
      </c>
      <c r="F57" s="22">
        <v>-25000</v>
      </c>
      <c r="G57" s="22">
        <v>-25000</v>
      </c>
      <c r="H57" s="22">
        <v>-25000</v>
      </c>
      <c r="I57" s="22">
        <v>-25000</v>
      </c>
      <c r="J57" s="22">
        <v>-25000</v>
      </c>
      <c r="K57" s="22">
        <v>-25000</v>
      </c>
      <c r="L57" s="22">
        <v>-25000</v>
      </c>
      <c r="M57" s="22">
        <v>-25000</v>
      </c>
      <c r="N57" s="50">
        <f>SUM(B57:M57)</f>
        <v>-300000</v>
      </c>
      <c r="O57" s="56">
        <v>306614</v>
      </c>
    </row>
    <row r="58" spans="1:26" s="6" customFormat="1">
      <c r="A58" s="13" t="s">
        <v>60</v>
      </c>
      <c r="B58" s="19">
        <f t="shared" ref="B58:N58" si="12">SUM(B53:B57)</f>
        <v>353240</v>
      </c>
      <c r="C58" s="19">
        <f t="shared" si="12"/>
        <v>5000</v>
      </c>
      <c r="D58" s="19">
        <f t="shared" si="12"/>
        <v>150000</v>
      </c>
      <c r="E58" s="19">
        <f t="shared" si="12"/>
        <v>55000</v>
      </c>
      <c r="F58" s="19">
        <f t="shared" si="12"/>
        <v>55000</v>
      </c>
      <c r="G58" s="19">
        <f t="shared" si="12"/>
        <v>50000</v>
      </c>
      <c r="H58" s="19">
        <f>SUM(H53:H57)</f>
        <v>-35000</v>
      </c>
      <c r="I58" s="19">
        <f t="shared" si="12"/>
        <v>30000</v>
      </c>
      <c r="J58" s="19">
        <f t="shared" si="12"/>
        <v>0</v>
      </c>
      <c r="K58" s="19">
        <f t="shared" si="12"/>
        <v>-35000</v>
      </c>
      <c r="L58" s="19">
        <f t="shared" si="12"/>
        <v>-35000</v>
      </c>
      <c r="M58" s="19">
        <f t="shared" si="12"/>
        <v>215725</v>
      </c>
      <c r="N58" s="19">
        <f t="shared" si="12"/>
        <v>808965</v>
      </c>
      <c r="O58" s="29"/>
    </row>
    <row r="59" spans="1:26">
      <c r="B59" s="7"/>
      <c r="C59" s="7"/>
      <c r="D59" s="7"/>
      <c r="E59" s="7"/>
      <c r="F59" s="7"/>
      <c r="G59" s="7"/>
      <c r="H59" s="7"/>
      <c r="I59" s="7"/>
      <c r="J59" s="7"/>
      <c r="K59" s="7"/>
      <c r="L59" s="7"/>
      <c r="M59" s="7"/>
      <c r="N59" s="7"/>
      <c r="O59" s="6"/>
    </row>
    <row r="60" spans="1:26">
      <c r="A60" s="1" t="s">
        <v>61</v>
      </c>
      <c r="B60" s="44">
        <v>14357541</v>
      </c>
      <c r="C60" s="7"/>
      <c r="D60" s="7"/>
      <c r="E60" s="7"/>
      <c r="F60" s="7"/>
      <c r="G60" s="7"/>
      <c r="H60" s="7" t="s">
        <v>38</v>
      </c>
      <c r="I60" s="7"/>
      <c r="J60" s="7"/>
      <c r="K60" s="6"/>
      <c r="L60" s="6"/>
      <c r="M60" s="6"/>
      <c r="N60" s="6"/>
      <c r="O60" s="6"/>
    </row>
    <row r="61" spans="1:26">
      <c r="A61" s="13" t="s">
        <v>62</v>
      </c>
      <c r="B61" s="19">
        <f t="shared" ref="B61:N61" si="13">+B58+B48</f>
        <v>2686574</v>
      </c>
      <c r="C61" s="19">
        <f t="shared" si="13"/>
        <v>3321068</v>
      </c>
      <c r="D61" s="19">
        <f t="shared" si="13"/>
        <v>4932841</v>
      </c>
      <c r="E61" s="19">
        <f t="shared" si="13"/>
        <v>3633083</v>
      </c>
      <c r="F61" s="19">
        <f t="shared" si="13"/>
        <v>2728724</v>
      </c>
      <c r="G61" s="19">
        <f t="shared" si="13"/>
        <v>2915595</v>
      </c>
      <c r="H61" s="19">
        <f t="shared" si="13"/>
        <v>4017190</v>
      </c>
      <c r="I61" s="19">
        <f t="shared" si="13"/>
        <v>3565648</v>
      </c>
      <c r="J61" s="19">
        <f t="shared" si="13"/>
        <v>2970730</v>
      </c>
      <c r="K61" s="19">
        <f t="shared" si="13"/>
        <v>3255954</v>
      </c>
      <c r="L61" s="19">
        <f t="shared" si="13"/>
        <v>2669675</v>
      </c>
      <c r="M61" s="19">
        <f t="shared" si="13"/>
        <v>2772329</v>
      </c>
      <c r="N61" s="19">
        <f t="shared" si="13"/>
        <v>39469411</v>
      </c>
      <c r="O61" s="29"/>
    </row>
    <row r="62" spans="1:26" ht="13.5" thickBot="1">
      <c r="A62" s="13" t="s">
        <v>63</v>
      </c>
      <c r="B62" s="30">
        <f t="shared" ref="B62:N62" si="14">+B13-B61</f>
        <v>-1440029</v>
      </c>
      <c r="C62" s="30">
        <f t="shared" si="14"/>
        <v>-123812</v>
      </c>
      <c r="D62" s="30">
        <f t="shared" si="14"/>
        <v>1148155</v>
      </c>
      <c r="E62" s="30">
        <f t="shared" si="14"/>
        <v>583156</v>
      </c>
      <c r="F62" s="30">
        <f t="shared" si="14"/>
        <v>-125852</v>
      </c>
      <c r="G62" s="30">
        <f t="shared" si="14"/>
        <v>-37690</v>
      </c>
      <c r="H62" s="30">
        <f t="shared" si="14"/>
        <v>100669</v>
      </c>
      <c r="I62" s="30">
        <f t="shared" si="14"/>
        <v>782418</v>
      </c>
      <c r="J62" s="30">
        <f t="shared" si="14"/>
        <v>335342</v>
      </c>
      <c r="K62" s="30">
        <f t="shared" si="14"/>
        <v>368443</v>
      </c>
      <c r="L62" s="30">
        <f t="shared" si="14"/>
        <v>110221</v>
      </c>
      <c r="M62" s="30">
        <f t="shared" si="14"/>
        <v>-1059580</v>
      </c>
      <c r="N62" s="30">
        <f t="shared" si="14"/>
        <v>641441</v>
      </c>
      <c r="O62" s="29"/>
    </row>
    <row r="63" spans="1:26" s="6" customFormat="1" ht="13.5" thickTop="1">
      <c r="A63" s="13" t="s">
        <v>64</v>
      </c>
      <c r="B63" s="32">
        <f>+B62</f>
        <v>-1440029</v>
      </c>
      <c r="C63" s="32">
        <f t="shared" ref="C63:M63" si="15">B63+C62</f>
        <v>-1563841</v>
      </c>
      <c r="D63" s="32">
        <f t="shared" si="15"/>
        <v>-415686</v>
      </c>
      <c r="E63" s="32">
        <f t="shared" si="15"/>
        <v>167470</v>
      </c>
      <c r="F63" s="32">
        <f t="shared" si="15"/>
        <v>41618</v>
      </c>
      <c r="G63" s="32">
        <f t="shared" si="15"/>
        <v>3928</v>
      </c>
      <c r="H63" s="32">
        <f t="shared" si="15"/>
        <v>104597</v>
      </c>
      <c r="I63" s="32">
        <f t="shared" si="15"/>
        <v>887015</v>
      </c>
      <c r="J63" s="32">
        <f t="shared" si="15"/>
        <v>1222357</v>
      </c>
      <c r="K63" s="32">
        <f t="shared" si="15"/>
        <v>1590800</v>
      </c>
      <c r="L63" s="32">
        <f t="shared" si="15"/>
        <v>1701021</v>
      </c>
      <c r="M63" s="32">
        <f t="shared" si="15"/>
        <v>641441</v>
      </c>
      <c r="N63" s="12"/>
    </row>
    <row r="64" spans="1:26">
      <c r="A64" s="13" t="s">
        <v>65</v>
      </c>
      <c r="B64" s="12">
        <f t="shared" ref="B64:M64" si="16">+$B$60+B63</f>
        <v>12917512</v>
      </c>
      <c r="C64" s="12">
        <f t="shared" si="16"/>
        <v>12793700</v>
      </c>
      <c r="D64" s="12">
        <f t="shared" si="16"/>
        <v>13941855</v>
      </c>
      <c r="E64" s="12">
        <f t="shared" si="16"/>
        <v>14525011</v>
      </c>
      <c r="F64" s="12">
        <f t="shared" si="16"/>
        <v>14399159</v>
      </c>
      <c r="G64" s="12">
        <f t="shared" si="16"/>
        <v>14361469</v>
      </c>
      <c r="H64" s="12">
        <f t="shared" si="16"/>
        <v>14462138</v>
      </c>
      <c r="I64" s="12">
        <f t="shared" si="16"/>
        <v>15244556</v>
      </c>
      <c r="J64" s="12">
        <f t="shared" si="16"/>
        <v>15579898</v>
      </c>
      <c r="K64" s="12">
        <f t="shared" si="16"/>
        <v>15948341</v>
      </c>
      <c r="L64" s="12">
        <f t="shared" si="16"/>
        <v>16058562</v>
      </c>
      <c r="M64" s="12">
        <f t="shared" si="16"/>
        <v>14998982</v>
      </c>
      <c r="N64" s="12"/>
      <c r="O64" s="6"/>
    </row>
    <row r="65" spans="1:15">
      <c r="A65" s="6"/>
      <c r="B65" s="7"/>
      <c r="C65" s="7"/>
      <c r="D65" s="7"/>
      <c r="E65" s="7"/>
      <c r="F65" s="7"/>
      <c r="G65" s="7"/>
      <c r="H65" s="7"/>
      <c r="I65" s="7"/>
      <c r="J65" s="7"/>
      <c r="K65" s="6"/>
      <c r="L65" s="6"/>
      <c r="M65" s="6"/>
      <c r="N65" s="6"/>
      <c r="O65" s="6"/>
    </row>
    <row r="66" spans="1:15" s="6" customFormat="1">
      <c r="A66" s="17" t="s">
        <v>94</v>
      </c>
      <c r="B66" s="18"/>
      <c r="C66" s="18"/>
      <c r="D66" s="18"/>
      <c r="E66" s="18"/>
      <c r="F66" s="18"/>
      <c r="G66" s="18"/>
      <c r="H66" s="18"/>
      <c r="I66" s="18"/>
      <c r="J66" s="18"/>
      <c r="K66" s="18"/>
      <c r="L66" s="18"/>
      <c r="M66" s="18"/>
      <c r="N66" s="18"/>
    </row>
    <row r="67" spans="1:15" ht="13.5" thickBot="1">
      <c r="A67" s="13" t="s">
        <v>67</v>
      </c>
      <c r="B67" s="14">
        <v>-1440029</v>
      </c>
      <c r="C67" s="14">
        <v>-123812</v>
      </c>
      <c r="D67" s="14">
        <v>1148155</v>
      </c>
      <c r="E67" s="14">
        <v>583156</v>
      </c>
      <c r="F67" s="14">
        <v>-125852</v>
      </c>
      <c r="G67" s="14">
        <v>-37690</v>
      </c>
      <c r="H67" s="14">
        <v>100669</v>
      </c>
      <c r="I67" s="14">
        <v>782418</v>
      </c>
      <c r="J67" s="14">
        <v>335342</v>
      </c>
      <c r="K67" s="14">
        <v>368443</v>
      </c>
      <c r="L67" s="14">
        <v>110221</v>
      </c>
      <c r="M67" s="14">
        <v>-1059580</v>
      </c>
      <c r="N67" s="16"/>
      <c r="O67" s="6"/>
    </row>
    <row r="68" spans="1:15" ht="13.5" thickTop="1">
      <c r="A68" s="13" t="s">
        <v>64</v>
      </c>
      <c r="B68" s="12">
        <f>+B67</f>
        <v>-1440029</v>
      </c>
      <c r="C68" s="12">
        <f>+B68+C67</f>
        <v>-1563841</v>
      </c>
      <c r="D68" s="12">
        <f t="shared" ref="D68:M68" si="17">+C68+D67</f>
        <v>-415686</v>
      </c>
      <c r="E68" s="12">
        <f t="shared" si="17"/>
        <v>167470</v>
      </c>
      <c r="F68" s="12">
        <f t="shared" si="17"/>
        <v>41618</v>
      </c>
      <c r="G68" s="12">
        <f t="shared" si="17"/>
        <v>3928</v>
      </c>
      <c r="H68" s="12">
        <f t="shared" si="17"/>
        <v>104597</v>
      </c>
      <c r="I68" s="12">
        <f t="shared" si="17"/>
        <v>887015</v>
      </c>
      <c r="J68" s="12">
        <f t="shared" si="17"/>
        <v>1222357</v>
      </c>
      <c r="K68" s="12">
        <f t="shared" si="17"/>
        <v>1590800</v>
      </c>
      <c r="L68" s="12">
        <f t="shared" si="17"/>
        <v>1701021</v>
      </c>
      <c r="M68" s="12">
        <f t="shared" si="17"/>
        <v>641441</v>
      </c>
      <c r="N68" s="16"/>
      <c r="O68" s="6"/>
    </row>
    <row r="69" spans="1:15">
      <c r="A69" s="13" t="s">
        <v>65</v>
      </c>
      <c r="B69" s="12">
        <v>12917512</v>
      </c>
      <c r="C69" s="12">
        <v>12793700</v>
      </c>
      <c r="D69" s="12">
        <v>13941855</v>
      </c>
      <c r="E69" s="12">
        <v>14525011</v>
      </c>
      <c r="F69" s="12">
        <v>14399159</v>
      </c>
      <c r="G69" s="12">
        <v>14361469</v>
      </c>
      <c r="H69" s="12">
        <v>14462138</v>
      </c>
      <c r="I69" s="12">
        <v>15244556</v>
      </c>
      <c r="J69" s="12">
        <v>15579898</v>
      </c>
      <c r="K69" s="12">
        <v>15948341</v>
      </c>
      <c r="L69" s="12">
        <v>16058562</v>
      </c>
      <c r="M69" s="12">
        <v>14998982</v>
      </c>
      <c r="N69" s="12"/>
      <c r="O69" s="6"/>
    </row>
    <row r="70" spans="1:15">
      <c r="A70" s="6"/>
      <c r="B70" s="6"/>
      <c r="C70" s="6"/>
      <c r="D70" s="6"/>
      <c r="E70" s="6"/>
      <c r="F70" s="6"/>
      <c r="H70" s="6"/>
      <c r="I70" s="6"/>
      <c r="J70" s="6"/>
      <c r="K70" s="6"/>
      <c r="L70" s="6"/>
      <c r="M70" s="6"/>
      <c r="N70" s="6"/>
      <c r="O70" s="6"/>
    </row>
    <row r="71" spans="1:15">
      <c r="A71" s="24" t="s">
        <v>68</v>
      </c>
      <c r="B71" s="18"/>
      <c r="C71" s="18"/>
      <c r="D71" s="18"/>
      <c r="E71" s="18"/>
      <c r="F71" s="18"/>
      <c r="G71" s="18"/>
      <c r="H71" s="18"/>
      <c r="I71" s="18"/>
      <c r="J71" s="18"/>
      <c r="K71" s="18"/>
      <c r="L71" s="18"/>
      <c r="M71" s="18"/>
      <c r="N71" s="18"/>
      <c r="O71" s="6"/>
    </row>
    <row r="72" spans="1:15">
      <c r="A72" s="13" t="s">
        <v>63</v>
      </c>
      <c r="B72" s="31">
        <f t="shared" ref="B72:N74" si="18">+B62-B67</f>
        <v>0</v>
      </c>
      <c r="C72" s="31">
        <f t="shared" si="18"/>
        <v>0</v>
      </c>
      <c r="D72" s="31">
        <f t="shared" si="18"/>
        <v>0</v>
      </c>
      <c r="E72" s="31">
        <f t="shared" si="18"/>
        <v>0</v>
      </c>
      <c r="F72" s="31">
        <f t="shared" si="18"/>
        <v>0</v>
      </c>
      <c r="G72" s="31">
        <f t="shared" si="18"/>
        <v>0</v>
      </c>
      <c r="H72" s="31">
        <f t="shared" si="18"/>
        <v>0</v>
      </c>
      <c r="I72" s="31">
        <f t="shared" si="18"/>
        <v>0</v>
      </c>
      <c r="J72" s="31">
        <f t="shared" si="18"/>
        <v>0</v>
      </c>
      <c r="K72" s="31">
        <f t="shared" si="18"/>
        <v>0</v>
      </c>
      <c r="L72" s="31">
        <f t="shared" si="18"/>
        <v>0</v>
      </c>
      <c r="M72" s="31">
        <f t="shared" si="18"/>
        <v>0</v>
      </c>
      <c r="N72" s="6"/>
      <c r="O72" s="6"/>
    </row>
    <row r="73" spans="1:15" s="6" customFormat="1">
      <c r="A73" s="13" t="s">
        <v>64</v>
      </c>
      <c r="B73" s="31">
        <f t="shared" si="18"/>
        <v>0</v>
      </c>
      <c r="C73" s="31">
        <f t="shared" si="18"/>
        <v>0</v>
      </c>
      <c r="D73" s="31">
        <f t="shared" si="18"/>
        <v>0</v>
      </c>
      <c r="E73" s="31">
        <f t="shared" si="18"/>
        <v>0</v>
      </c>
      <c r="F73" s="31">
        <f t="shared" si="18"/>
        <v>0</v>
      </c>
      <c r="G73" s="31">
        <f t="shared" si="18"/>
        <v>0</v>
      </c>
      <c r="H73" s="31">
        <f t="shared" si="18"/>
        <v>0</v>
      </c>
      <c r="I73" s="31">
        <f t="shared" si="18"/>
        <v>0</v>
      </c>
      <c r="J73" s="31">
        <f t="shared" si="18"/>
        <v>0</v>
      </c>
      <c r="K73" s="31">
        <f t="shared" si="18"/>
        <v>0</v>
      </c>
      <c r="L73" s="31">
        <f t="shared" si="18"/>
        <v>0</v>
      </c>
      <c r="M73" s="31">
        <f t="shared" si="18"/>
        <v>0</v>
      </c>
      <c r="N73" s="16">
        <f t="shared" si="18"/>
        <v>0</v>
      </c>
    </row>
    <row r="74" spans="1:15">
      <c r="A74" s="1" t="s">
        <v>65</v>
      </c>
      <c r="B74" s="16">
        <f t="shared" si="18"/>
        <v>0</v>
      </c>
      <c r="C74" s="16">
        <f t="shared" si="18"/>
        <v>0</v>
      </c>
      <c r="D74" s="16">
        <f t="shared" si="18"/>
        <v>0</v>
      </c>
      <c r="E74" s="16">
        <f t="shared" si="18"/>
        <v>0</v>
      </c>
      <c r="F74" s="16">
        <f t="shared" si="18"/>
        <v>0</v>
      </c>
      <c r="G74" s="16">
        <f t="shared" si="18"/>
        <v>0</v>
      </c>
      <c r="H74" s="16">
        <f t="shared" si="18"/>
        <v>0</v>
      </c>
      <c r="I74" s="16">
        <f t="shared" si="18"/>
        <v>0</v>
      </c>
      <c r="J74" s="16">
        <f t="shared" si="18"/>
        <v>0</v>
      </c>
      <c r="K74" s="16">
        <f t="shared" si="18"/>
        <v>0</v>
      </c>
      <c r="L74" s="16">
        <f t="shared" si="18"/>
        <v>0</v>
      </c>
      <c r="M74" s="16">
        <f t="shared" si="18"/>
        <v>0</v>
      </c>
      <c r="N74" s="16"/>
      <c r="O74" s="6"/>
    </row>
    <row r="75" spans="1:15">
      <c r="B75" s="6"/>
      <c r="C75" s="6"/>
      <c r="D75" s="6"/>
      <c r="E75" s="6"/>
      <c r="F75" s="6"/>
      <c r="H75" s="6"/>
      <c r="I75" s="6"/>
      <c r="J75" s="6"/>
      <c r="K75" s="6"/>
      <c r="L75" s="6"/>
      <c r="M75" s="6"/>
      <c r="N75" s="6"/>
    </row>
    <row r="76" spans="1:15">
      <c r="A76" s="1"/>
      <c r="B76" s="4"/>
      <c r="C76" s="8"/>
      <c r="D76" s="8"/>
      <c r="E76" s="8"/>
      <c r="F76" s="8"/>
      <c r="H76" s="20"/>
      <c r="J76" s="6"/>
      <c r="K76" s="6"/>
    </row>
    <row r="77" spans="1:15">
      <c r="A77" s="1"/>
      <c r="B77" s="4"/>
      <c r="C77" s="8"/>
      <c r="D77" s="8"/>
      <c r="E77" s="8"/>
      <c r="F77" s="8"/>
      <c r="H77" s="20"/>
      <c r="J77" s="6"/>
    </row>
    <row r="78" spans="1:15">
      <c r="A78" s="1"/>
      <c r="B78" s="4"/>
      <c r="D78" s="8"/>
      <c r="E78" s="8"/>
      <c r="F78" s="8"/>
      <c r="H78" s="61"/>
      <c r="J78" s="6"/>
    </row>
    <row r="79" spans="1:15">
      <c r="E79" s="6"/>
      <c r="H79" s="20"/>
      <c r="J79" s="6"/>
      <c r="N79" s="25"/>
    </row>
    <row r="80" spans="1:15">
      <c r="A80" t="s">
        <v>69</v>
      </c>
      <c r="B80" t="s">
        <v>69</v>
      </c>
      <c r="C80" t="s">
        <v>69</v>
      </c>
      <c r="D80" t="s">
        <v>69</v>
      </c>
      <c r="E80" s="6" t="s">
        <v>69</v>
      </c>
      <c r="F80" t="s">
        <v>69</v>
      </c>
      <c r="G80" s="6" t="s">
        <v>69</v>
      </c>
      <c r="H80" t="s">
        <v>69</v>
      </c>
      <c r="I80" t="s">
        <v>69</v>
      </c>
      <c r="J80" s="6" t="s">
        <v>69</v>
      </c>
      <c r="K80" t="s">
        <v>69</v>
      </c>
      <c r="L80" t="s">
        <v>69</v>
      </c>
      <c r="M80" t="s">
        <v>69</v>
      </c>
      <c r="N80" t="s">
        <v>69</v>
      </c>
    </row>
    <row r="81" spans="1:14">
      <c r="E81" s="6"/>
      <c r="J81" s="6"/>
    </row>
    <row r="82" spans="1:14">
      <c r="A82" s="33" t="s">
        <v>70</v>
      </c>
      <c r="B82" s="47">
        <v>52000</v>
      </c>
      <c r="C82" s="47">
        <v>20000</v>
      </c>
      <c r="D82" s="47">
        <v>10000</v>
      </c>
      <c r="E82" s="47">
        <v>44355</v>
      </c>
      <c r="F82" s="47">
        <v>186840</v>
      </c>
      <c r="G82" s="10">
        <v>202000</v>
      </c>
      <c r="H82" s="54">
        <v>197000</v>
      </c>
      <c r="I82" s="47">
        <v>142000</v>
      </c>
      <c r="J82" s="47">
        <v>119000</v>
      </c>
      <c r="K82" s="47">
        <v>0</v>
      </c>
      <c r="L82" s="47">
        <v>0</v>
      </c>
      <c r="M82" s="47">
        <v>455000</v>
      </c>
      <c r="N82" s="7">
        <v>1428195</v>
      </c>
    </row>
    <row r="83" spans="1:14">
      <c r="A83" s="33" t="s">
        <v>71</v>
      </c>
      <c r="B83" s="2">
        <f>+B82</f>
        <v>52000</v>
      </c>
      <c r="C83" s="2">
        <f>+B83+C82</f>
        <v>72000</v>
      </c>
      <c r="D83" s="2">
        <f t="shared" ref="D83:M83" si="19">+C83+D82</f>
        <v>82000</v>
      </c>
      <c r="E83" s="7">
        <f t="shared" si="19"/>
        <v>126355</v>
      </c>
      <c r="F83" s="2">
        <f t="shared" si="19"/>
        <v>313195</v>
      </c>
      <c r="G83" s="7">
        <f t="shared" si="19"/>
        <v>515195</v>
      </c>
      <c r="H83" s="2">
        <f t="shared" si="19"/>
        <v>712195</v>
      </c>
      <c r="I83" s="2">
        <f t="shared" si="19"/>
        <v>854195</v>
      </c>
      <c r="J83" s="7">
        <f t="shared" si="19"/>
        <v>973195</v>
      </c>
      <c r="K83" s="2">
        <f t="shared" si="19"/>
        <v>973195</v>
      </c>
      <c r="L83" s="2">
        <f t="shared" si="19"/>
        <v>973195</v>
      </c>
      <c r="M83" s="2">
        <f t="shared" si="19"/>
        <v>1428195</v>
      </c>
    </row>
    <row r="84" spans="1:14">
      <c r="A84" s="33" t="s">
        <v>72</v>
      </c>
      <c r="B84" s="7">
        <f>+B53</f>
        <v>50000</v>
      </c>
      <c r="C84" s="7">
        <f>SUM($B53:C53)</f>
        <v>100000</v>
      </c>
      <c r="D84" s="7">
        <f>SUM($B53:D53)</f>
        <v>300000</v>
      </c>
      <c r="E84" s="7">
        <f>SUM($B53:E53)</f>
        <v>400000</v>
      </c>
      <c r="F84" s="7">
        <f>SUM($B53:F53)</f>
        <v>410000</v>
      </c>
      <c r="G84" s="7">
        <f>SUM($B53:G53)</f>
        <v>510000</v>
      </c>
      <c r="H84" s="7">
        <f>SUM(B53:H53)</f>
        <v>520000</v>
      </c>
      <c r="I84" s="7">
        <f>SUM(B53:I53)</f>
        <v>595000</v>
      </c>
      <c r="J84" s="7">
        <f>SUM(B53:J53)</f>
        <v>645000</v>
      </c>
      <c r="K84" s="7">
        <f>SUM(B53:K53)</f>
        <v>655000</v>
      </c>
      <c r="L84" s="7">
        <f>SUM(B53:L53)</f>
        <v>665000</v>
      </c>
      <c r="M84" s="7">
        <f>SUM(B53:M53)</f>
        <v>930725</v>
      </c>
    </row>
    <row r="85" spans="1:14">
      <c r="A85" s="33" t="s">
        <v>73</v>
      </c>
      <c r="B85" s="7">
        <f t="shared" ref="B85:G85" si="20">+B83-B84</f>
        <v>2000</v>
      </c>
      <c r="C85" s="7">
        <f t="shared" si="20"/>
        <v>-28000</v>
      </c>
      <c r="D85" s="7">
        <f t="shared" si="20"/>
        <v>-218000</v>
      </c>
      <c r="E85" s="7">
        <f t="shared" si="20"/>
        <v>-273645</v>
      </c>
      <c r="F85" s="7">
        <f t="shared" si="20"/>
        <v>-96805</v>
      </c>
      <c r="G85" s="7">
        <f t="shared" si="20"/>
        <v>5195</v>
      </c>
      <c r="H85" s="7">
        <f t="shared" ref="H85:M85" si="21">+H83-H84</f>
        <v>192195</v>
      </c>
      <c r="I85" s="7">
        <f t="shared" si="21"/>
        <v>259195</v>
      </c>
      <c r="J85" s="7">
        <f t="shared" si="21"/>
        <v>328195</v>
      </c>
      <c r="K85" s="7">
        <f t="shared" si="21"/>
        <v>318195</v>
      </c>
      <c r="L85" s="7">
        <f t="shared" si="21"/>
        <v>308195</v>
      </c>
      <c r="M85" s="7">
        <f t="shared" si="21"/>
        <v>497470</v>
      </c>
    </row>
    <row r="86" spans="1:14">
      <c r="J86" s="6"/>
      <c r="K86" s="6"/>
    </row>
    <row r="87" spans="1:14">
      <c r="A87" t="s">
        <v>74</v>
      </c>
      <c r="B87" s="35">
        <f>-B56-B57</f>
        <v>45000</v>
      </c>
      <c r="C87" s="35">
        <f t="shared" ref="C87:N87" si="22">-C56-C57</f>
        <v>45000</v>
      </c>
      <c r="D87" s="35">
        <f t="shared" si="22"/>
        <v>50000</v>
      </c>
      <c r="E87" s="35">
        <f t="shared" si="22"/>
        <v>45000</v>
      </c>
      <c r="F87" s="35">
        <f t="shared" si="22"/>
        <v>45000</v>
      </c>
      <c r="G87" s="40">
        <f t="shared" si="22"/>
        <v>50000</v>
      </c>
      <c r="H87" s="40">
        <f t="shared" si="22"/>
        <v>45000</v>
      </c>
      <c r="I87" s="35">
        <f t="shared" si="22"/>
        <v>45000</v>
      </c>
      <c r="J87" s="35">
        <f t="shared" si="22"/>
        <v>50000</v>
      </c>
      <c r="K87" s="40">
        <f t="shared" si="22"/>
        <v>45000</v>
      </c>
      <c r="L87" s="35">
        <f t="shared" si="22"/>
        <v>45000</v>
      </c>
      <c r="M87" s="35">
        <f t="shared" si="22"/>
        <v>50000</v>
      </c>
      <c r="N87" s="35">
        <f t="shared" si="22"/>
        <v>560000</v>
      </c>
    </row>
    <row r="88" spans="1:14">
      <c r="C88" s="35">
        <f>+B87+C87</f>
        <v>90000</v>
      </c>
      <c r="D88" s="35">
        <f>+C88+D87</f>
        <v>140000</v>
      </c>
      <c r="E88" s="35">
        <f t="shared" ref="E88:M88" si="23">+D88+E87</f>
        <v>185000</v>
      </c>
      <c r="F88" s="35">
        <f t="shared" si="23"/>
        <v>230000</v>
      </c>
      <c r="G88" s="40">
        <f t="shared" si="23"/>
        <v>280000</v>
      </c>
      <c r="H88" s="35">
        <f t="shared" si="23"/>
        <v>325000</v>
      </c>
      <c r="I88" s="40">
        <f t="shared" si="23"/>
        <v>370000</v>
      </c>
      <c r="J88" s="40">
        <f t="shared" si="23"/>
        <v>420000</v>
      </c>
      <c r="K88" s="40">
        <f t="shared" si="23"/>
        <v>465000</v>
      </c>
      <c r="L88" s="35">
        <f t="shared" si="23"/>
        <v>510000</v>
      </c>
      <c r="M88" s="35">
        <f t="shared" si="23"/>
        <v>560000</v>
      </c>
    </row>
    <row r="89" spans="1:14">
      <c r="B89" s="6"/>
      <c r="C89" s="6"/>
      <c r="D89" s="6"/>
      <c r="E89" s="6"/>
    </row>
    <row r="90" spans="1:14">
      <c r="B90" s="6"/>
      <c r="C90" s="6"/>
      <c r="D90" s="21"/>
      <c r="E90" s="6"/>
    </row>
    <row r="91" spans="1:14">
      <c r="B91" s="6"/>
      <c r="C91" s="6"/>
      <c r="D91" s="6"/>
      <c r="E91" s="6"/>
    </row>
    <row r="92" spans="1:14">
      <c r="B92" s="70">
        <v>78554</v>
      </c>
      <c r="C92" s="70">
        <v>78293</v>
      </c>
      <c r="D92" s="70">
        <v>79025</v>
      </c>
      <c r="E92" s="70">
        <v>81090</v>
      </c>
      <c r="F92" s="71">
        <v>81090</v>
      </c>
      <c r="G92" s="70">
        <v>81079</v>
      </c>
      <c r="H92" s="71">
        <v>89229</v>
      </c>
      <c r="I92" s="71">
        <v>88964</v>
      </c>
      <c r="J92" s="71">
        <v>88964</v>
      </c>
      <c r="K92" s="71">
        <v>88563</v>
      </c>
      <c r="L92" s="71">
        <v>97279</v>
      </c>
      <c r="M92" s="71">
        <v>97277</v>
      </c>
    </row>
    <row r="93" spans="1:14">
      <c r="B93" s="6">
        <f>+B92*-1</f>
        <v>-78554</v>
      </c>
      <c r="C93" s="6">
        <f t="shared" ref="C93:M93" si="24">+C92*-1</f>
        <v>-78293</v>
      </c>
      <c r="D93" s="6">
        <f t="shared" si="24"/>
        <v>-79025</v>
      </c>
      <c r="E93" s="6">
        <f t="shared" si="24"/>
        <v>-81090</v>
      </c>
      <c r="F93" s="6">
        <f t="shared" si="24"/>
        <v>-81090</v>
      </c>
      <c r="G93" s="6">
        <f t="shared" si="24"/>
        <v>-81079</v>
      </c>
      <c r="H93" s="6">
        <f t="shared" si="24"/>
        <v>-89229</v>
      </c>
      <c r="I93" s="6">
        <f t="shared" si="24"/>
        <v>-88964</v>
      </c>
      <c r="J93" s="6">
        <f t="shared" si="24"/>
        <v>-88964</v>
      </c>
      <c r="K93" s="6">
        <f t="shared" si="24"/>
        <v>-88563</v>
      </c>
      <c r="L93" s="6">
        <f t="shared" si="24"/>
        <v>-97279</v>
      </c>
      <c r="M93" s="6">
        <f t="shared" si="24"/>
        <v>-97277</v>
      </c>
    </row>
    <row r="94" spans="1:14">
      <c r="B94" s="6"/>
      <c r="C94" s="6"/>
      <c r="D94" s="34"/>
      <c r="E94" s="6"/>
    </row>
    <row r="95" spans="1:14">
      <c r="B95" s="6"/>
      <c r="C95" s="6"/>
      <c r="D95" s="6"/>
      <c r="E95" s="6"/>
    </row>
    <row r="96" spans="1:14">
      <c r="B96" s="6"/>
      <c r="C96" s="6"/>
      <c r="D96" s="6"/>
      <c r="E96" s="6"/>
    </row>
    <row r="97" spans="7:9">
      <c r="G97" s="6">
        <v>95705.42</v>
      </c>
      <c r="I97">
        <v>18871.16</v>
      </c>
    </row>
  </sheetData>
  <pageMargins left="0.28000000000000003" right="0.25" top="0.99" bottom="0.75" header="0.63" footer="0.23"/>
  <pageSetup scale="60" orientation="landscape" r:id="rId1"/>
  <headerFooter alignWithMargins="0">
    <oddHeader xml:space="preserve">&amp;C&amp;"Arial,Bold"&amp;11 49ER SHOPS, INC.
&amp;UFY2017/2018 OPERATIONAL CASH FLOW </oddHeader>
    <oddFooter>&amp;CCash Flow - FY2017/2018
June 2018 Pre-audit</oddFooter>
  </headerFooter>
  <legacyDrawing r:id="rId2"/>
</worksheet>
</file>

<file path=xl/worksheets/sheet3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92D050"/>
    <pageSetUpPr fitToPage="1"/>
  </sheetPr>
  <dimension ref="A1:Z80"/>
  <sheetViews>
    <sheetView showGridLines="0" zoomScale="60" zoomScaleNormal="60" workbookViewId="0">
      <selection activeCell="D6" sqref="D6"/>
    </sheetView>
  </sheetViews>
  <sheetFormatPr defaultRowHeight="12.75"/>
  <cols>
    <col min="1" max="1" width="35.42578125" customWidth="1"/>
    <col min="2" max="2" width="14" customWidth="1"/>
    <col min="3" max="3" width="14.5703125" customWidth="1"/>
    <col min="4" max="4" width="14" customWidth="1"/>
    <col min="5" max="6" width="13.5703125" customWidth="1"/>
    <col min="7" max="7" width="16.5703125" style="6" customWidth="1"/>
    <col min="8" max="8" width="14.140625" customWidth="1"/>
    <col min="9" max="9" width="14.42578125" customWidth="1"/>
    <col min="10" max="10" width="13.85546875" customWidth="1"/>
    <col min="11" max="11" width="15.140625" customWidth="1"/>
    <col min="12" max="12" width="13.5703125" customWidth="1"/>
    <col min="13" max="13" width="14.42578125" customWidth="1"/>
    <col min="14" max="14" width="16.5703125" customWidth="1"/>
    <col min="15" max="15" width="12.42578125" bestFit="1" customWidth="1"/>
    <col min="16" max="16" width="14.140625" customWidth="1"/>
  </cols>
  <sheetData>
    <row r="1" spans="1:15" ht="13.5" thickBot="1">
      <c r="A1" s="46" t="s">
        <v>112</v>
      </c>
      <c r="E1" s="6"/>
      <c r="F1" s="6"/>
      <c r="J1" s="6"/>
      <c r="K1" s="6"/>
      <c r="N1" s="3"/>
    </row>
    <row r="2" spans="1:15">
      <c r="B2" s="45" t="s">
        <v>24</v>
      </c>
      <c r="C2" s="45" t="s">
        <v>76</v>
      </c>
      <c r="D2" s="45" t="s">
        <v>76</v>
      </c>
      <c r="E2" s="45" t="s">
        <v>76</v>
      </c>
      <c r="F2" s="45" t="s">
        <v>76</v>
      </c>
      <c r="G2" s="45" t="s">
        <v>76</v>
      </c>
      <c r="H2" s="45" t="s">
        <v>76</v>
      </c>
      <c r="I2" s="45" t="s">
        <v>76</v>
      </c>
      <c r="J2" s="45" t="s">
        <v>76</v>
      </c>
      <c r="K2" s="45" t="s">
        <v>76</v>
      </c>
      <c r="L2" s="45" t="s">
        <v>76</v>
      </c>
      <c r="M2" s="45" t="s">
        <v>76</v>
      </c>
      <c r="N2" s="28" t="s">
        <v>25</v>
      </c>
    </row>
    <row r="3" spans="1:15" s="5" customFormat="1">
      <c r="B3" s="11">
        <v>43283</v>
      </c>
      <c r="C3" s="11">
        <v>43314</v>
      </c>
      <c r="D3" s="11">
        <v>43345</v>
      </c>
      <c r="E3" s="11">
        <v>43375</v>
      </c>
      <c r="F3" s="11">
        <v>43406</v>
      </c>
      <c r="G3" s="11">
        <v>43436</v>
      </c>
      <c r="H3" s="11">
        <v>43467</v>
      </c>
      <c r="I3" s="11">
        <v>43498</v>
      </c>
      <c r="J3" s="11">
        <v>43526</v>
      </c>
      <c r="K3" s="11">
        <v>43557</v>
      </c>
      <c r="L3" s="11">
        <v>43587</v>
      </c>
      <c r="M3" s="11">
        <v>43618</v>
      </c>
      <c r="N3" s="57" t="s">
        <v>113</v>
      </c>
    </row>
    <row r="4" spans="1:15">
      <c r="A4" s="1" t="s">
        <v>27</v>
      </c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>
        <f>SUM(B4:M4)</f>
        <v>0</v>
      </c>
      <c r="O4" s="29"/>
    </row>
    <row r="5" spans="1:15" s="6" customFormat="1">
      <c r="A5" s="6" t="s">
        <v>28</v>
      </c>
      <c r="B5" s="53">
        <v>1664716</v>
      </c>
      <c r="C5" s="53">
        <v>3114197</v>
      </c>
      <c r="D5" s="53">
        <v>5770084</v>
      </c>
      <c r="E5" s="53">
        <v>4100133</v>
      </c>
      <c r="F5" s="53">
        <v>2497881</v>
      </c>
      <c r="G5" s="53">
        <v>2776160</v>
      </c>
      <c r="H5" s="53">
        <v>4028939</v>
      </c>
      <c r="I5" s="53">
        <v>4052325</v>
      </c>
      <c r="J5" s="53">
        <v>3199134</v>
      </c>
      <c r="K5" s="53">
        <v>3507287</v>
      </c>
      <c r="L5" s="53">
        <v>2668320</v>
      </c>
      <c r="M5" s="53">
        <v>1617618</v>
      </c>
      <c r="N5" s="12">
        <f>SUM(B5:M5)</f>
        <v>38996794</v>
      </c>
      <c r="O5" s="29"/>
    </row>
    <row r="6" spans="1:15" s="6" customFormat="1">
      <c r="A6" s="6" t="s">
        <v>29</v>
      </c>
      <c r="B6" s="53">
        <v>98799</v>
      </c>
      <c r="C6" s="53">
        <v>83059</v>
      </c>
      <c r="D6" s="53">
        <v>310912</v>
      </c>
      <c r="E6" s="53">
        <v>116106</v>
      </c>
      <c r="F6" s="53">
        <v>104991</v>
      </c>
      <c r="G6" s="53">
        <v>101745</v>
      </c>
      <c r="H6" s="53">
        <v>88920</v>
      </c>
      <c r="I6" s="53">
        <v>295741</v>
      </c>
      <c r="J6" s="53">
        <v>106938</v>
      </c>
      <c r="K6" s="53">
        <v>117110</v>
      </c>
      <c r="L6" s="53">
        <v>111576</v>
      </c>
      <c r="M6" s="53">
        <v>95131</v>
      </c>
      <c r="N6" s="7">
        <f>SUM(B6:M6)</f>
        <v>1631028</v>
      </c>
      <c r="O6" s="29"/>
    </row>
    <row r="7" spans="1:15" s="6" customFormat="1">
      <c r="B7" s="7"/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7">
        <f>SUM(B7:M7)</f>
        <v>0</v>
      </c>
      <c r="O7" s="29"/>
    </row>
    <row r="8" spans="1:15" s="6" customFormat="1">
      <c r="B8" s="15"/>
      <c r="C8" s="15"/>
      <c r="D8" s="15"/>
      <c r="E8" s="15"/>
      <c r="F8" s="15"/>
      <c r="G8" s="15"/>
      <c r="H8" s="15"/>
      <c r="I8" s="15"/>
      <c r="J8" s="15"/>
      <c r="K8" s="15"/>
      <c r="L8" s="15"/>
      <c r="M8" s="15"/>
      <c r="N8" s="15">
        <f>SUM(B8:M8)</f>
        <v>0</v>
      </c>
      <c r="O8" s="29"/>
    </row>
    <row r="9" spans="1:15" s="6" customFormat="1">
      <c r="A9" s="13" t="s">
        <v>30</v>
      </c>
      <c r="B9" s="32">
        <f t="shared" ref="B9:N9" si="0">SUM(B5:B8)</f>
        <v>1763515</v>
      </c>
      <c r="C9" s="12">
        <f t="shared" si="0"/>
        <v>3197256</v>
      </c>
      <c r="D9" s="12">
        <f t="shared" si="0"/>
        <v>6080996</v>
      </c>
      <c r="E9" s="12">
        <f t="shared" si="0"/>
        <v>4216239</v>
      </c>
      <c r="F9" s="12">
        <f t="shared" si="0"/>
        <v>2602872</v>
      </c>
      <c r="G9" s="12">
        <f t="shared" si="0"/>
        <v>2877905</v>
      </c>
      <c r="H9" s="12">
        <f t="shared" si="0"/>
        <v>4117859</v>
      </c>
      <c r="I9" s="12">
        <f t="shared" si="0"/>
        <v>4348066</v>
      </c>
      <c r="J9" s="12">
        <f t="shared" si="0"/>
        <v>3306072</v>
      </c>
      <c r="K9" s="12">
        <f t="shared" si="0"/>
        <v>3624397</v>
      </c>
      <c r="L9" s="12">
        <f t="shared" si="0"/>
        <v>2779896</v>
      </c>
      <c r="M9" s="12">
        <f t="shared" si="0"/>
        <v>1712749</v>
      </c>
      <c r="N9" s="12">
        <f t="shared" si="0"/>
        <v>40627822</v>
      </c>
      <c r="O9" s="29"/>
    </row>
    <row r="10" spans="1:15" s="6" customFormat="1" ht="6.75" customHeight="1">
      <c r="B10" s="39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29"/>
    </row>
    <row r="11" spans="1:15" s="6" customFormat="1">
      <c r="A11" s="13" t="s">
        <v>31</v>
      </c>
      <c r="B11" s="39">
        <v>910</v>
      </c>
      <c r="C11" s="7">
        <v>0</v>
      </c>
      <c r="D11" s="7">
        <v>0</v>
      </c>
      <c r="E11" s="7">
        <v>0</v>
      </c>
      <c r="F11" s="7">
        <v>0</v>
      </c>
      <c r="G11" s="7">
        <v>0</v>
      </c>
      <c r="H11" s="7">
        <v>0</v>
      </c>
      <c r="I11" s="7">
        <v>0</v>
      </c>
      <c r="J11" s="7">
        <v>0</v>
      </c>
      <c r="K11" s="7">
        <v>0</v>
      </c>
      <c r="L11" s="7">
        <v>0</v>
      </c>
      <c r="M11" s="7">
        <v>0</v>
      </c>
      <c r="N11" s="7">
        <f>SUM(B11:M11)</f>
        <v>910</v>
      </c>
      <c r="O11" s="29">
        <v>-232025</v>
      </c>
    </row>
    <row r="12" spans="1:15" s="6" customFormat="1" ht="7.5" customHeight="1">
      <c r="B12" s="39"/>
      <c r="C12" s="7"/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  <c r="O12" s="29"/>
    </row>
    <row r="13" spans="1:15" s="6" customFormat="1" ht="13.5" thickBot="1">
      <c r="A13" s="13" t="s">
        <v>32</v>
      </c>
      <c r="B13" s="30">
        <f t="shared" ref="B13:N13" si="1">B9+B11</f>
        <v>1764425</v>
      </c>
      <c r="C13" s="14">
        <f>C9+C11</f>
        <v>3197256</v>
      </c>
      <c r="D13" s="14">
        <f t="shared" si="1"/>
        <v>6080996</v>
      </c>
      <c r="E13" s="14">
        <f t="shared" si="1"/>
        <v>4216239</v>
      </c>
      <c r="F13" s="14">
        <f t="shared" si="1"/>
        <v>2602872</v>
      </c>
      <c r="G13" s="14">
        <f t="shared" si="1"/>
        <v>2877905</v>
      </c>
      <c r="H13" s="14">
        <f t="shared" si="1"/>
        <v>4117859</v>
      </c>
      <c r="I13" s="14">
        <f t="shared" si="1"/>
        <v>4348066</v>
      </c>
      <c r="J13" s="14">
        <f t="shared" si="1"/>
        <v>3306072</v>
      </c>
      <c r="K13" s="14">
        <f t="shared" si="1"/>
        <v>3624397</v>
      </c>
      <c r="L13" s="14">
        <f t="shared" si="1"/>
        <v>2779896</v>
      </c>
      <c r="M13" s="14">
        <f t="shared" si="1"/>
        <v>1712749</v>
      </c>
      <c r="N13" s="14">
        <f t="shared" si="1"/>
        <v>40628732</v>
      </c>
      <c r="O13" s="29"/>
    </row>
    <row r="14" spans="1:15" s="6" customFormat="1" ht="13.5" thickTop="1">
      <c r="B14" s="39"/>
      <c r="C14" s="7"/>
      <c r="D14" s="7"/>
      <c r="E14" s="7"/>
      <c r="F14" s="7"/>
      <c r="G14" s="7"/>
      <c r="H14" s="7"/>
      <c r="I14" s="7"/>
      <c r="J14" s="7"/>
      <c r="K14" s="7"/>
      <c r="L14" s="7"/>
      <c r="M14" s="7"/>
    </row>
    <row r="15" spans="1:15" s="6" customFormat="1">
      <c r="A15" s="13" t="s">
        <v>33</v>
      </c>
      <c r="B15" s="39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</row>
    <row r="16" spans="1:15" s="6" customFormat="1">
      <c r="A16" s="6" t="s">
        <v>34</v>
      </c>
      <c r="B16" s="64">
        <v>808507</v>
      </c>
      <c r="C16" s="53">
        <v>1768998</v>
      </c>
      <c r="D16" s="53">
        <v>2969178</v>
      </c>
      <c r="E16" s="53">
        <v>1499349</v>
      </c>
      <c r="F16" s="53">
        <v>928598</v>
      </c>
      <c r="G16" s="53">
        <v>954396</v>
      </c>
      <c r="H16" s="53">
        <v>2336270</v>
      </c>
      <c r="I16" s="53">
        <v>1689918</v>
      </c>
      <c r="J16" s="53">
        <v>1116694</v>
      </c>
      <c r="K16" s="53">
        <v>1332035</v>
      </c>
      <c r="L16" s="53">
        <v>1066893</v>
      </c>
      <c r="M16" s="53">
        <v>774058</v>
      </c>
      <c r="N16" s="7">
        <f>SUM(B16:M16)</f>
        <v>17244894</v>
      </c>
      <c r="O16" s="29"/>
    </row>
    <row r="17" spans="1:15" s="6" customFormat="1">
      <c r="B17" s="78"/>
      <c r="C17" s="27"/>
      <c r="D17" s="27"/>
      <c r="E17" s="27"/>
      <c r="F17" s="27"/>
      <c r="G17" s="27"/>
      <c r="H17" s="27"/>
      <c r="I17" s="27"/>
      <c r="J17" s="27"/>
      <c r="K17" s="27"/>
      <c r="L17" s="27"/>
      <c r="M17" s="27"/>
      <c r="N17" s="7">
        <f>SUM(B17:M17)</f>
        <v>0</v>
      </c>
    </row>
    <row r="18" spans="1:15" s="6" customFormat="1">
      <c r="B18" s="39"/>
      <c r="C18" s="7"/>
      <c r="D18" s="7"/>
      <c r="E18" s="7"/>
      <c r="F18" s="7"/>
      <c r="G18" s="7"/>
      <c r="H18" s="7"/>
      <c r="I18" s="7"/>
      <c r="J18" s="7"/>
      <c r="K18" s="7"/>
      <c r="L18" s="7"/>
      <c r="M18" s="7"/>
      <c r="N18" s="7">
        <v>0</v>
      </c>
    </row>
    <row r="19" spans="1:15" s="6" customFormat="1">
      <c r="B19" s="79"/>
      <c r="C19" s="15"/>
      <c r="D19" s="15"/>
      <c r="E19" s="15"/>
      <c r="F19" s="15"/>
      <c r="G19" s="15"/>
      <c r="H19" s="15"/>
      <c r="I19" s="15"/>
      <c r="J19" s="15"/>
      <c r="K19" s="15"/>
      <c r="L19" s="15"/>
      <c r="M19" s="15"/>
      <c r="N19" s="15">
        <f>SUM(B19:M19)</f>
        <v>0</v>
      </c>
    </row>
    <row r="20" spans="1:15" s="6" customFormat="1">
      <c r="A20" s="13" t="s">
        <v>35</v>
      </c>
      <c r="B20" s="32">
        <f t="shared" ref="B20:N20" si="2">SUM(B16:B19)</f>
        <v>808507</v>
      </c>
      <c r="C20" s="12">
        <f t="shared" si="2"/>
        <v>1768998</v>
      </c>
      <c r="D20" s="12">
        <f t="shared" si="2"/>
        <v>2969178</v>
      </c>
      <c r="E20" s="12">
        <f t="shared" si="2"/>
        <v>1499349</v>
      </c>
      <c r="F20" s="12">
        <f t="shared" si="2"/>
        <v>928598</v>
      </c>
      <c r="G20" s="12">
        <f t="shared" si="2"/>
        <v>954396</v>
      </c>
      <c r="H20" s="12">
        <f t="shared" si="2"/>
        <v>2336270</v>
      </c>
      <c r="I20" s="12">
        <f t="shared" si="2"/>
        <v>1689918</v>
      </c>
      <c r="J20" s="12">
        <f t="shared" si="2"/>
        <v>1116694</v>
      </c>
      <c r="K20" s="12">
        <f t="shared" si="2"/>
        <v>1332035</v>
      </c>
      <c r="L20" s="12">
        <f t="shared" si="2"/>
        <v>1066893</v>
      </c>
      <c r="M20" s="12">
        <f t="shared" si="2"/>
        <v>774058</v>
      </c>
      <c r="N20" s="12">
        <f t="shared" si="2"/>
        <v>17244894</v>
      </c>
      <c r="O20" s="29"/>
    </row>
    <row r="21" spans="1:15" s="6" customFormat="1">
      <c r="B21" s="39"/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</row>
    <row r="22" spans="1:15" s="6" customFormat="1">
      <c r="A22" s="13" t="s">
        <v>36</v>
      </c>
      <c r="B22" s="39"/>
      <c r="C22" s="7"/>
      <c r="D22" s="7"/>
      <c r="E22" s="7"/>
      <c r="F22" s="7"/>
      <c r="G22" s="7"/>
      <c r="H22" s="7"/>
      <c r="I22" s="7"/>
      <c r="J22" s="7"/>
      <c r="K22" s="7"/>
      <c r="L22" s="7"/>
      <c r="M22" s="7"/>
    </row>
    <row r="23" spans="1:15" s="6" customFormat="1">
      <c r="A23" s="6" t="s">
        <v>37</v>
      </c>
      <c r="B23" s="39">
        <f t="shared" ref="B23:M26" si="3">+B5-B16</f>
        <v>856209</v>
      </c>
      <c r="C23" s="7">
        <f t="shared" si="3"/>
        <v>1345199</v>
      </c>
      <c r="D23" s="7">
        <f t="shared" si="3"/>
        <v>2800906</v>
      </c>
      <c r="E23" s="7">
        <f t="shared" si="3"/>
        <v>2600784</v>
      </c>
      <c r="F23" s="7">
        <f t="shared" si="3"/>
        <v>1569283</v>
      </c>
      <c r="G23" s="7">
        <f t="shared" si="3"/>
        <v>1821764</v>
      </c>
      <c r="H23" s="7">
        <f t="shared" si="3"/>
        <v>1692669</v>
      </c>
      <c r="I23" s="7">
        <f t="shared" si="3"/>
        <v>2362407</v>
      </c>
      <c r="J23" s="7">
        <f t="shared" si="3"/>
        <v>2082440</v>
      </c>
      <c r="K23" s="7">
        <f t="shared" si="3"/>
        <v>2175252</v>
      </c>
      <c r="L23" s="7">
        <f t="shared" si="3"/>
        <v>1601427</v>
      </c>
      <c r="M23" s="7">
        <f t="shared" si="3"/>
        <v>843560</v>
      </c>
      <c r="N23" s="7">
        <f>SUM(B23:M23)</f>
        <v>21751900</v>
      </c>
      <c r="O23" s="29"/>
    </row>
    <row r="24" spans="1:15" s="6" customFormat="1">
      <c r="A24" s="6" t="s">
        <v>37</v>
      </c>
      <c r="B24" s="39">
        <f t="shared" si="3"/>
        <v>98799</v>
      </c>
      <c r="C24" s="7">
        <f t="shared" si="3"/>
        <v>83059</v>
      </c>
      <c r="D24" s="7">
        <f t="shared" si="3"/>
        <v>310912</v>
      </c>
      <c r="E24" s="7">
        <f t="shared" si="3"/>
        <v>116106</v>
      </c>
      <c r="F24" s="7">
        <f t="shared" si="3"/>
        <v>104991</v>
      </c>
      <c r="G24" s="7">
        <f t="shared" si="3"/>
        <v>101745</v>
      </c>
      <c r="H24" s="7">
        <f t="shared" si="3"/>
        <v>88920</v>
      </c>
      <c r="I24" s="7">
        <f t="shared" si="3"/>
        <v>295741</v>
      </c>
      <c r="J24" s="7">
        <f t="shared" si="3"/>
        <v>106938</v>
      </c>
      <c r="K24" s="7">
        <f t="shared" si="3"/>
        <v>117110</v>
      </c>
      <c r="L24" s="7">
        <f t="shared" si="3"/>
        <v>111576</v>
      </c>
      <c r="M24" s="7">
        <f t="shared" si="3"/>
        <v>95131</v>
      </c>
      <c r="N24" s="7">
        <f>SUM(B24:M24)</f>
        <v>1631028</v>
      </c>
      <c r="O24" s="29"/>
    </row>
    <row r="25" spans="1:15" s="6" customFormat="1">
      <c r="A25" s="6" t="s">
        <v>38</v>
      </c>
      <c r="B25" s="39">
        <f t="shared" si="3"/>
        <v>0</v>
      </c>
      <c r="C25" s="7">
        <f t="shared" si="3"/>
        <v>0</v>
      </c>
      <c r="D25" s="7">
        <f t="shared" si="3"/>
        <v>0</v>
      </c>
      <c r="E25" s="7">
        <f t="shared" si="3"/>
        <v>0</v>
      </c>
      <c r="F25" s="7">
        <f t="shared" si="3"/>
        <v>0</v>
      </c>
      <c r="G25" s="7">
        <f t="shared" si="3"/>
        <v>0</v>
      </c>
      <c r="H25" s="7">
        <f t="shared" si="3"/>
        <v>0</v>
      </c>
      <c r="I25" s="7">
        <f t="shared" si="3"/>
        <v>0</v>
      </c>
      <c r="J25" s="7">
        <f t="shared" si="3"/>
        <v>0</v>
      </c>
      <c r="K25" s="7">
        <f t="shared" si="3"/>
        <v>0</v>
      </c>
      <c r="L25" s="7">
        <f t="shared" si="3"/>
        <v>0</v>
      </c>
      <c r="M25" s="7">
        <f t="shared" si="3"/>
        <v>0</v>
      </c>
      <c r="N25" s="7">
        <f>SUM(B25:M25)</f>
        <v>0</v>
      </c>
      <c r="O25" s="29"/>
    </row>
    <row r="26" spans="1:15" s="6" customFormat="1">
      <c r="A26" s="6" t="s">
        <v>38</v>
      </c>
      <c r="B26" s="79">
        <f t="shared" si="3"/>
        <v>0</v>
      </c>
      <c r="C26" s="15">
        <f t="shared" si="3"/>
        <v>0</v>
      </c>
      <c r="D26" s="15">
        <f t="shared" si="3"/>
        <v>0</v>
      </c>
      <c r="E26" s="15">
        <f t="shared" si="3"/>
        <v>0</v>
      </c>
      <c r="F26" s="15">
        <f t="shared" si="3"/>
        <v>0</v>
      </c>
      <c r="G26" s="15">
        <f t="shared" si="3"/>
        <v>0</v>
      </c>
      <c r="H26" s="15">
        <f t="shared" si="3"/>
        <v>0</v>
      </c>
      <c r="I26" s="15">
        <f t="shared" si="3"/>
        <v>0</v>
      </c>
      <c r="J26" s="15">
        <f t="shared" si="3"/>
        <v>0</v>
      </c>
      <c r="K26" s="15">
        <f t="shared" si="3"/>
        <v>0</v>
      </c>
      <c r="L26" s="15">
        <f t="shared" si="3"/>
        <v>0</v>
      </c>
      <c r="M26" s="15">
        <f t="shared" si="3"/>
        <v>0</v>
      </c>
      <c r="N26" s="15">
        <f>SUM(B26:M26)</f>
        <v>0</v>
      </c>
      <c r="O26" s="29"/>
    </row>
    <row r="27" spans="1:15" s="6" customFormat="1">
      <c r="A27" s="13" t="s">
        <v>39</v>
      </c>
      <c r="B27" s="32">
        <f t="shared" ref="B27:N27" si="4">SUM(B23:B26)</f>
        <v>955008</v>
      </c>
      <c r="C27" s="12">
        <f t="shared" si="4"/>
        <v>1428258</v>
      </c>
      <c r="D27" s="12">
        <f t="shared" si="4"/>
        <v>3111818</v>
      </c>
      <c r="E27" s="12">
        <f t="shared" si="4"/>
        <v>2716890</v>
      </c>
      <c r="F27" s="12">
        <f t="shared" si="4"/>
        <v>1674274</v>
      </c>
      <c r="G27" s="12">
        <f t="shared" si="4"/>
        <v>1923509</v>
      </c>
      <c r="H27" s="12">
        <f t="shared" si="4"/>
        <v>1781589</v>
      </c>
      <c r="I27" s="12">
        <f t="shared" si="4"/>
        <v>2658148</v>
      </c>
      <c r="J27" s="12">
        <f t="shared" si="4"/>
        <v>2189378</v>
      </c>
      <c r="K27" s="12">
        <f t="shared" si="4"/>
        <v>2292362</v>
      </c>
      <c r="L27" s="12">
        <f t="shared" si="4"/>
        <v>1713003</v>
      </c>
      <c r="M27" s="12">
        <f>SUM(M23:M26)</f>
        <v>938691</v>
      </c>
      <c r="N27" s="12">
        <f t="shared" si="4"/>
        <v>23382928</v>
      </c>
      <c r="O27" s="29"/>
    </row>
    <row r="28" spans="1:15" s="6" customFormat="1" ht="14.45" customHeight="1">
      <c r="B28" s="80">
        <f>+B27/B9</f>
        <v>0.54153664698060411</v>
      </c>
      <c r="C28" s="73">
        <f t="shared" ref="C28:N28" si="5">+C27/C9</f>
        <v>0.44671368198229983</v>
      </c>
      <c r="D28" s="73">
        <f t="shared" si="5"/>
        <v>0.51172834187031202</v>
      </c>
      <c r="E28" s="73">
        <f t="shared" si="5"/>
        <v>0.6443870947543533</v>
      </c>
      <c r="F28" s="73">
        <f t="shared" si="5"/>
        <v>0.64324100455189503</v>
      </c>
      <c r="G28" s="73">
        <f t="shared" si="5"/>
        <v>0.66837126312369588</v>
      </c>
      <c r="H28" s="73">
        <f t="shared" si="5"/>
        <v>0.43264934520584603</v>
      </c>
      <c r="I28" s="73">
        <f t="shared" si="5"/>
        <v>0.61134030624190161</v>
      </c>
      <c r="J28" s="73">
        <f t="shared" si="5"/>
        <v>0.66222937673468696</v>
      </c>
      <c r="K28" s="73">
        <f t="shared" si="5"/>
        <v>0.6324809340698605</v>
      </c>
      <c r="L28" s="73">
        <f t="shared" si="5"/>
        <v>0.61621118200105329</v>
      </c>
      <c r="M28" s="73">
        <f t="shared" si="5"/>
        <v>0.54806104105154929</v>
      </c>
      <c r="N28" s="73">
        <f t="shared" si="5"/>
        <v>0.57553978650393811</v>
      </c>
    </row>
    <row r="29" spans="1:15" s="6" customFormat="1">
      <c r="A29" s="13" t="s">
        <v>40</v>
      </c>
      <c r="B29" s="39"/>
      <c r="C29" s="7"/>
      <c r="D29" s="7"/>
      <c r="E29" s="7"/>
      <c r="F29" s="7"/>
      <c r="G29" s="7"/>
      <c r="H29" s="7"/>
      <c r="I29" s="7"/>
      <c r="J29" s="7"/>
      <c r="K29" s="7"/>
      <c r="L29" s="7"/>
      <c r="M29" s="7"/>
    </row>
    <row r="30" spans="1:15" s="6" customFormat="1">
      <c r="A30" s="6" t="s">
        <v>93</v>
      </c>
      <c r="B30" s="64">
        <v>550190</v>
      </c>
      <c r="C30" s="53">
        <v>635109</v>
      </c>
      <c r="D30" s="53">
        <v>737654</v>
      </c>
      <c r="E30" s="53">
        <v>873804</v>
      </c>
      <c r="F30" s="53">
        <v>655473</v>
      </c>
      <c r="G30" s="53">
        <v>645132</v>
      </c>
      <c r="H30" s="53">
        <v>699380</v>
      </c>
      <c r="I30" s="53">
        <v>767189</v>
      </c>
      <c r="J30" s="53">
        <v>740529</v>
      </c>
      <c r="K30" s="53">
        <v>823718</v>
      </c>
      <c r="L30" s="53">
        <v>672632</v>
      </c>
      <c r="M30" s="53">
        <v>481272</v>
      </c>
      <c r="N30" s="7">
        <f>SUM(B30:M30)</f>
        <v>8282082</v>
      </c>
      <c r="O30" s="29"/>
    </row>
    <row r="31" spans="1:15" s="6" customFormat="1">
      <c r="A31" s="6" t="s">
        <v>42</v>
      </c>
      <c r="B31" s="64">
        <v>192847</v>
      </c>
      <c r="C31" s="53">
        <v>218636</v>
      </c>
      <c r="D31" s="53">
        <v>222552</v>
      </c>
      <c r="E31" s="53">
        <v>253635</v>
      </c>
      <c r="F31" s="53">
        <v>213768</v>
      </c>
      <c r="G31" s="53">
        <v>212033</v>
      </c>
      <c r="H31" s="53">
        <v>235832</v>
      </c>
      <c r="I31" s="53">
        <v>221244</v>
      </c>
      <c r="J31" s="53">
        <v>220622</v>
      </c>
      <c r="K31" s="53">
        <v>249552</v>
      </c>
      <c r="L31" s="53">
        <v>214590</v>
      </c>
      <c r="M31" s="53">
        <v>210384</v>
      </c>
      <c r="N31" s="7">
        <f>SUM(B31:M31)</f>
        <v>2665695</v>
      </c>
      <c r="O31" s="29"/>
    </row>
    <row r="32" spans="1:15" s="6" customFormat="1" ht="15">
      <c r="A32" s="6" t="s">
        <v>38</v>
      </c>
      <c r="B32" s="81"/>
      <c r="C32" s="68"/>
      <c r="D32" s="68"/>
      <c r="E32" s="68"/>
      <c r="F32" s="68"/>
      <c r="G32" s="68"/>
      <c r="H32" s="68"/>
      <c r="I32" s="68"/>
      <c r="J32" s="68"/>
      <c r="K32" s="68"/>
      <c r="L32" s="68"/>
      <c r="M32" s="68"/>
      <c r="N32" s="7">
        <f>SUM(B32:M32)</f>
        <v>0</v>
      </c>
      <c r="O32" s="29"/>
    </row>
    <row r="33" spans="1:16" s="6" customFormat="1">
      <c r="B33" s="79"/>
      <c r="C33" s="15"/>
      <c r="D33" s="15"/>
      <c r="E33" s="15"/>
      <c r="F33" s="15"/>
      <c r="G33" s="15"/>
      <c r="H33" s="15"/>
      <c r="I33" s="15"/>
      <c r="J33" s="15"/>
      <c r="K33" s="15"/>
      <c r="L33" s="15"/>
      <c r="M33" s="15"/>
      <c r="N33" s="15">
        <f>SUM(B33:M33)</f>
        <v>0</v>
      </c>
      <c r="O33" s="29"/>
    </row>
    <row r="34" spans="1:16" s="6" customFormat="1">
      <c r="A34" s="13" t="s">
        <v>43</v>
      </c>
      <c r="B34" s="32">
        <f t="shared" ref="B34:N34" si="6">SUM(B30:B33)</f>
        <v>743037</v>
      </c>
      <c r="C34" s="12">
        <f t="shared" si="6"/>
        <v>853745</v>
      </c>
      <c r="D34" s="12">
        <f t="shared" si="6"/>
        <v>960206</v>
      </c>
      <c r="E34" s="12">
        <f t="shared" si="6"/>
        <v>1127439</v>
      </c>
      <c r="F34" s="12">
        <f t="shared" si="6"/>
        <v>869241</v>
      </c>
      <c r="G34" s="12">
        <f t="shared" si="6"/>
        <v>857165</v>
      </c>
      <c r="H34" s="12">
        <f t="shared" si="6"/>
        <v>935212</v>
      </c>
      <c r="I34" s="12">
        <f t="shared" si="6"/>
        <v>988433</v>
      </c>
      <c r="J34" s="12">
        <f t="shared" si="6"/>
        <v>961151</v>
      </c>
      <c r="K34" s="12">
        <f t="shared" si="6"/>
        <v>1073270</v>
      </c>
      <c r="L34" s="12">
        <f t="shared" si="6"/>
        <v>887222</v>
      </c>
      <c r="M34" s="12">
        <f t="shared" si="6"/>
        <v>691656</v>
      </c>
      <c r="N34" s="12">
        <f t="shared" si="6"/>
        <v>10947777</v>
      </c>
      <c r="O34" s="29"/>
    </row>
    <row r="35" spans="1:16" s="6" customFormat="1">
      <c r="B35" s="39"/>
      <c r="C35" s="7"/>
      <c r="D35" s="7"/>
      <c r="E35" s="7"/>
      <c r="F35" s="7"/>
      <c r="G35" s="7"/>
      <c r="H35" s="7"/>
      <c r="I35" s="7"/>
      <c r="J35" s="7"/>
      <c r="K35" s="7"/>
      <c r="L35" s="7"/>
      <c r="M35" s="7"/>
    </row>
    <row r="36" spans="1:16" s="6" customFormat="1">
      <c r="A36" s="13" t="s">
        <v>44</v>
      </c>
      <c r="B36" s="39"/>
      <c r="C36" s="7"/>
      <c r="D36" s="7"/>
      <c r="E36" s="7"/>
      <c r="F36" s="7"/>
      <c r="G36" s="7"/>
      <c r="H36" s="7"/>
      <c r="I36" s="7"/>
      <c r="J36" s="7"/>
      <c r="K36" s="7"/>
      <c r="L36" s="7"/>
      <c r="M36" s="7"/>
    </row>
    <row r="37" spans="1:16" s="6" customFormat="1">
      <c r="A37" s="6" t="s">
        <v>45</v>
      </c>
      <c r="B37" s="64">
        <v>1292386</v>
      </c>
      <c r="C37" s="53">
        <v>1340215</v>
      </c>
      <c r="D37" s="53">
        <v>1567865</v>
      </c>
      <c r="E37" s="53">
        <v>1759651</v>
      </c>
      <c r="F37" s="53">
        <v>1435895</v>
      </c>
      <c r="G37" s="66">
        <v>1630908</v>
      </c>
      <c r="H37" s="66">
        <v>1457121</v>
      </c>
      <c r="I37" s="66">
        <v>1632531</v>
      </c>
      <c r="J37" s="66">
        <v>1545361</v>
      </c>
      <c r="K37" s="53">
        <v>1699036</v>
      </c>
      <c r="L37" s="53">
        <v>1429774</v>
      </c>
      <c r="M37" s="53">
        <v>1131406</v>
      </c>
      <c r="N37" s="7">
        <f>SUM(B37:M37)</f>
        <v>17922149</v>
      </c>
      <c r="O37" s="29"/>
    </row>
    <row r="38" spans="1:16" s="6" customFormat="1">
      <c r="A38" s="6" t="s">
        <v>46</v>
      </c>
      <c r="B38" s="39">
        <f>-B34</f>
        <v>-743037</v>
      </c>
      <c r="C38" s="7">
        <f t="shared" ref="C38:M38" si="7">-C34</f>
        <v>-853745</v>
      </c>
      <c r="D38" s="7">
        <f t="shared" si="7"/>
        <v>-960206</v>
      </c>
      <c r="E38" s="7">
        <f t="shared" si="7"/>
        <v>-1127439</v>
      </c>
      <c r="F38" s="7">
        <f t="shared" si="7"/>
        <v>-869241</v>
      </c>
      <c r="G38" s="7">
        <f t="shared" si="7"/>
        <v>-857165</v>
      </c>
      <c r="H38" s="7">
        <f t="shared" si="7"/>
        <v>-935212</v>
      </c>
      <c r="I38" s="7">
        <f t="shared" si="7"/>
        <v>-988433</v>
      </c>
      <c r="J38" s="7">
        <f t="shared" si="7"/>
        <v>-961151</v>
      </c>
      <c r="K38" s="7">
        <f t="shared" si="7"/>
        <v>-1073270</v>
      </c>
      <c r="L38" s="7">
        <f t="shared" si="7"/>
        <v>-887222</v>
      </c>
      <c r="M38" s="7">
        <f t="shared" si="7"/>
        <v>-691656</v>
      </c>
      <c r="N38" s="7">
        <f>SUM(B38:M38)</f>
        <v>-10947777</v>
      </c>
      <c r="O38" s="29"/>
    </row>
    <row r="39" spans="1:16" s="6" customFormat="1">
      <c r="A39" s="6" t="s">
        <v>47</v>
      </c>
      <c r="B39" s="82">
        <v>-79744</v>
      </c>
      <c r="C39" s="72">
        <v>-85837</v>
      </c>
      <c r="D39" s="72">
        <v>-86637</v>
      </c>
      <c r="E39" s="72">
        <v>-80973</v>
      </c>
      <c r="F39" s="72">
        <v>-81098</v>
      </c>
      <c r="G39" s="72">
        <v>-81098</v>
      </c>
      <c r="H39" s="72">
        <v>-81832</v>
      </c>
      <c r="I39" s="72">
        <v>-81832</v>
      </c>
      <c r="J39" s="72">
        <v>-81832</v>
      </c>
      <c r="K39" s="72">
        <v>-82780</v>
      </c>
      <c r="L39" s="72">
        <v>-82780</v>
      </c>
      <c r="M39" s="72">
        <v>-81945</v>
      </c>
      <c r="N39" s="7">
        <f>SUM(B39:M39)</f>
        <v>-988388</v>
      </c>
      <c r="O39" s="29"/>
    </row>
    <row r="40" spans="1:16" s="6" customFormat="1">
      <c r="A40" s="6" t="s">
        <v>78</v>
      </c>
      <c r="B40" s="64"/>
      <c r="C40" s="53"/>
      <c r="D40" s="53"/>
      <c r="E40" s="53"/>
      <c r="F40" s="53"/>
      <c r="G40" s="53"/>
      <c r="H40" s="53"/>
      <c r="I40" s="53"/>
      <c r="J40" s="53"/>
      <c r="K40" s="53"/>
      <c r="L40" s="53"/>
      <c r="M40" s="53"/>
      <c r="N40" s="7">
        <f>SUM(B40:M40)</f>
        <v>0</v>
      </c>
      <c r="O40" s="29"/>
    </row>
    <row r="41" spans="1:16" s="6" customFormat="1">
      <c r="A41" s="6" t="s">
        <v>48</v>
      </c>
      <c r="B41" s="83">
        <v>-10000</v>
      </c>
      <c r="C41" s="60">
        <v>-10000</v>
      </c>
      <c r="D41" s="60">
        <v>-10000</v>
      </c>
      <c r="E41" s="60">
        <v>-10000</v>
      </c>
      <c r="F41" s="60">
        <v>-10000</v>
      </c>
      <c r="G41" s="60">
        <v>-10000</v>
      </c>
      <c r="H41" s="60">
        <v>-10000</v>
      </c>
      <c r="I41" s="60">
        <v>-10000</v>
      </c>
      <c r="J41" s="60">
        <v>-10300</v>
      </c>
      <c r="K41" s="60">
        <v>-10300</v>
      </c>
      <c r="L41" s="60">
        <v>-10300</v>
      </c>
      <c r="M41" s="60">
        <v>-10000</v>
      </c>
      <c r="N41" s="15">
        <f>SUM(B41:M41)</f>
        <v>-120900</v>
      </c>
      <c r="O41" s="29"/>
    </row>
    <row r="42" spans="1:16" s="6" customFormat="1">
      <c r="A42" s="13" t="s">
        <v>49</v>
      </c>
      <c r="B42" s="32">
        <f t="shared" ref="B42:N42" si="8">SUM(B37:B41)</f>
        <v>459605</v>
      </c>
      <c r="C42" s="12">
        <f t="shared" si="8"/>
        <v>390633</v>
      </c>
      <c r="D42" s="12">
        <f t="shared" si="8"/>
        <v>511022</v>
      </c>
      <c r="E42" s="12">
        <f t="shared" si="8"/>
        <v>541239</v>
      </c>
      <c r="F42" s="12">
        <f t="shared" si="8"/>
        <v>475556</v>
      </c>
      <c r="G42" s="12">
        <f t="shared" si="8"/>
        <v>682645</v>
      </c>
      <c r="H42" s="12">
        <f t="shared" si="8"/>
        <v>430077</v>
      </c>
      <c r="I42" s="12">
        <f t="shared" si="8"/>
        <v>552266</v>
      </c>
      <c r="J42" s="12">
        <f t="shared" si="8"/>
        <v>492078</v>
      </c>
      <c r="K42" s="12">
        <f t="shared" si="8"/>
        <v>532686</v>
      </c>
      <c r="L42" s="12">
        <f t="shared" si="8"/>
        <v>449472</v>
      </c>
      <c r="M42" s="12">
        <f t="shared" si="8"/>
        <v>347805</v>
      </c>
      <c r="N42" s="12">
        <f t="shared" si="8"/>
        <v>5865084</v>
      </c>
      <c r="O42" s="29"/>
    </row>
    <row r="43" spans="1:16">
      <c r="A43" s="1"/>
      <c r="B43" s="3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2"/>
      <c r="N43" s="12"/>
      <c r="O43" s="6"/>
    </row>
    <row r="44" spans="1:16">
      <c r="A44" s="13" t="s">
        <v>50</v>
      </c>
      <c r="B44" s="64">
        <v>341767</v>
      </c>
      <c r="C44" s="53">
        <v>302692</v>
      </c>
      <c r="D44" s="53">
        <v>342435</v>
      </c>
      <c r="E44" s="53">
        <v>410056</v>
      </c>
      <c r="F44" s="53">
        <v>400329</v>
      </c>
      <c r="G44" s="53">
        <v>371389</v>
      </c>
      <c r="H44" s="53">
        <v>350631</v>
      </c>
      <c r="I44" s="53">
        <v>305031</v>
      </c>
      <c r="J44" s="53">
        <v>400807</v>
      </c>
      <c r="K44" s="53">
        <v>352963</v>
      </c>
      <c r="L44" s="53">
        <v>301088</v>
      </c>
      <c r="M44" s="53">
        <f>743355-270</f>
        <v>743085</v>
      </c>
      <c r="N44" s="12">
        <f>SUM(B44:M44)</f>
        <v>4622273</v>
      </c>
      <c r="O44" s="29"/>
      <c r="P44" s="25"/>
    </row>
    <row r="45" spans="1:16">
      <c r="A45" s="6" t="s">
        <v>107</v>
      </c>
      <c r="B45" s="77"/>
      <c r="C45" s="22"/>
      <c r="D45" s="22"/>
      <c r="E45" s="22"/>
      <c r="F45" s="22"/>
      <c r="G45" s="22"/>
      <c r="H45" s="22"/>
      <c r="I45" s="22"/>
      <c r="J45" s="22"/>
      <c r="K45" s="22"/>
      <c r="L45" s="22"/>
      <c r="M45" s="22"/>
      <c r="N45" s="22">
        <f>SUM(B45:M45)</f>
        <v>0</v>
      </c>
      <c r="O45" s="29"/>
    </row>
    <row r="46" spans="1:16">
      <c r="A46" s="1" t="s">
        <v>50</v>
      </c>
      <c r="B46" s="32">
        <f>SUM(B44:B45)</f>
        <v>341767</v>
      </c>
      <c r="C46" s="12">
        <f>SUM(C44:C45)</f>
        <v>302692</v>
      </c>
      <c r="D46" s="12">
        <f t="shared" ref="D46:N46" si="9">SUM(D44:D45)</f>
        <v>342435</v>
      </c>
      <c r="E46" s="12">
        <f t="shared" si="9"/>
        <v>410056</v>
      </c>
      <c r="F46" s="12">
        <f t="shared" si="9"/>
        <v>400329</v>
      </c>
      <c r="G46" s="12">
        <f t="shared" si="9"/>
        <v>371389</v>
      </c>
      <c r="H46" s="12">
        <f t="shared" si="9"/>
        <v>350631</v>
      </c>
      <c r="I46" s="12">
        <f t="shared" si="9"/>
        <v>305031</v>
      </c>
      <c r="J46" s="12">
        <f t="shared" si="9"/>
        <v>400807</v>
      </c>
      <c r="K46" s="12">
        <f t="shared" si="9"/>
        <v>352963</v>
      </c>
      <c r="L46" s="12">
        <f t="shared" si="9"/>
        <v>301088</v>
      </c>
      <c r="M46" s="12">
        <f t="shared" si="9"/>
        <v>743085</v>
      </c>
      <c r="N46" s="12">
        <f t="shared" si="9"/>
        <v>4622273</v>
      </c>
      <c r="O46" s="29"/>
    </row>
    <row r="47" spans="1:16">
      <c r="B47" s="39"/>
      <c r="C47" s="7"/>
      <c r="D47" s="7"/>
      <c r="E47" s="7"/>
      <c r="F47" s="7"/>
      <c r="G47" s="7"/>
      <c r="H47" s="7"/>
      <c r="I47" s="7"/>
      <c r="J47" s="7"/>
      <c r="K47" s="6"/>
      <c r="L47" s="6"/>
      <c r="M47" s="6"/>
      <c r="N47" s="6"/>
      <c r="O47" s="6"/>
    </row>
    <row r="48" spans="1:16">
      <c r="A48" s="13" t="s">
        <v>52</v>
      </c>
      <c r="B48" s="84">
        <f t="shared" ref="B48:N48" si="10">+B20+B34+B42+B46</f>
        <v>2352916</v>
      </c>
      <c r="C48" s="19">
        <f t="shared" si="10"/>
        <v>3316068</v>
      </c>
      <c r="D48" s="19">
        <f t="shared" si="10"/>
        <v>4782841</v>
      </c>
      <c r="E48" s="19">
        <f t="shared" si="10"/>
        <v>3578083</v>
      </c>
      <c r="F48" s="19">
        <f t="shared" si="10"/>
        <v>2673724</v>
      </c>
      <c r="G48" s="19">
        <f t="shared" si="10"/>
        <v>2865595</v>
      </c>
      <c r="H48" s="19">
        <f t="shared" si="10"/>
        <v>4052190</v>
      </c>
      <c r="I48" s="19">
        <f t="shared" si="10"/>
        <v>3535648</v>
      </c>
      <c r="J48" s="19">
        <f t="shared" si="10"/>
        <v>2970730</v>
      </c>
      <c r="K48" s="19">
        <f t="shared" si="10"/>
        <v>3290954</v>
      </c>
      <c r="L48" s="19">
        <f t="shared" si="10"/>
        <v>2704675</v>
      </c>
      <c r="M48" s="19">
        <f t="shared" si="10"/>
        <v>2556604</v>
      </c>
      <c r="N48" s="19">
        <f t="shared" si="10"/>
        <v>38680028</v>
      </c>
      <c r="O48" s="29"/>
    </row>
    <row r="49" spans="1:26">
      <c r="B49" s="39"/>
      <c r="C49" s="7"/>
      <c r="D49" s="7"/>
      <c r="E49" s="7"/>
      <c r="F49" s="7"/>
      <c r="G49" s="7"/>
      <c r="H49" s="7"/>
      <c r="I49" s="7"/>
      <c r="J49" s="7"/>
      <c r="K49" s="6"/>
      <c r="L49" s="6"/>
      <c r="M49" s="6"/>
      <c r="N49" s="6"/>
      <c r="O49" s="6"/>
    </row>
    <row r="50" spans="1:26">
      <c r="A50" s="1" t="s">
        <v>53</v>
      </c>
      <c r="B50" s="32">
        <f t="shared" ref="B50:M50" si="11">+B13-B48</f>
        <v>-588491</v>
      </c>
      <c r="C50" s="12">
        <f t="shared" si="11"/>
        <v>-118812</v>
      </c>
      <c r="D50" s="12">
        <f t="shared" si="11"/>
        <v>1298155</v>
      </c>
      <c r="E50" s="12">
        <f t="shared" si="11"/>
        <v>638156</v>
      </c>
      <c r="F50" s="12">
        <f t="shared" si="11"/>
        <v>-70852</v>
      </c>
      <c r="G50" s="12">
        <f t="shared" si="11"/>
        <v>12310</v>
      </c>
      <c r="H50" s="12">
        <f t="shared" si="11"/>
        <v>65669</v>
      </c>
      <c r="I50" s="12">
        <f t="shared" si="11"/>
        <v>812418</v>
      </c>
      <c r="J50" s="12">
        <f t="shared" si="11"/>
        <v>335342</v>
      </c>
      <c r="K50" s="12">
        <f t="shared" si="11"/>
        <v>333443</v>
      </c>
      <c r="L50" s="12">
        <f t="shared" si="11"/>
        <v>75221</v>
      </c>
      <c r="M50" s="12">
        <f t="shared" si="11"/>
        <v>-843855</v>
      </c>
      <c r="N50" s="12">
        <f>SUM(B50:M50)</f>
        <v>1948704</v>
      </c>
      <c r="O50" s="7">
        <f>+N50+N39+N41</f>
        <v>839416</v>
      </c>
    </row>
    <row r="51" spans="1:26" ht="7.5" customHeight="1">
      <c r="B51" s="39"/>
      <c r="C51" s="7"/>
      <c r="D51" s="7"/>
      <c r="E51" s="7"/>
      <c r="F51" s="7"/>
      <c r="G51" s="7"/>
      <c r="H51" s="7"/>
      <c r="I51" s="7"/>
      <c r="J51" s="7"/>
      <c r="K51" s="6"/>
      <c r="L51" s="6"/>
      <c r="M51" s="6"/>
      <c r="N51" s="6"/>
      <c r="O51" s="6"/>
    </row>
    <row r="52" spans="1:26">
      <c r="A52" s="1" t="s">
        <v>54</v>
      </c>
      <c r="B52" s="39"/>
      <c r="C52" s="7"/>
      <c r="D52" s="7"/>
      <c r="E52" s="7"/>
      <c r="F52" s="7"/>
      <c r="G52" s="7"/>
      <c r="H52" s="7"/>
      <c r="I52" s="7"/>
      <c r="J52" s="7"/>
      <c r="K52" s="6"/>
      <c r="L52" s="6"/>
      <c r="M52" s="6"/>
      <c r="N52" s="6"/>
      <c r="O52" s="6"/>
    </row>
    <row r="53" spans="1:26" s="6" customFormat="1">
      <c r="A53" s="6" t="s">
        <v>55</v>
      </c>
      <c r="B53" s="47">
        <v>21640</v>
      </c>
      <c r="C53" s="10">
        <v>50000</v>
      </c>
      <c r="D53" s="10">
        <v>200000</v>
      </c>
      <c r="E53" s="10">
        <v>100000</v>
      </c>
      <c r="F53" s="10">
        <v>10000</v>
      </c>
      <c r="G53" s="10">
        <v>100000</v>
      </c>
      <c r="H53" s="23">
        <v>10000</v>
      </c>
      <c r="I53" s="10">
        <v>75000</v>
      </c>
      <c r="J53" s="10">
        <v>50000</v>
      </c>
      <c r="K53" s="10">
        <v>10000</v>
      </c>
      <c r="L53" s="10">
        <v>10000</v>
      </c>
      <c r="M53" s="10">
        <v>265725</v>
      </c>
      <c r="N53" s="10">
        <f>SUM(B53:M53)</f>
        <v>902365</v>
      </c>
      <c r="O53" s="10">
        <v>930725</v>
      </c>
      <c r="P53" s="40">
        <f>+O53-N53</f>
        <v>28360</v>
      </c>
      <c r="Z53" s="40">
        <f>N53-P53+O53-N53</f>
        <v>902365</v>
      </c>
    </row>
    <row r="54" spans="1:26" s="6" customFormat="1">
      <c r="A54" s="6" t="s">
        <v>96</v>
      </c>
      <c r="B54" s="47"/>
      <c r="C54" s="10"/>
      <c r="D54" s="10"/>
      <c r="E54" s="10"/>
      <c r="F54" s="10">
        <v>90000</v>
      </c>
      <c r="G54" s="10"/>
      <c r="H54" s="10"/>
      <c r="I54" s="10"/>
      <c r="J54" s="10"/>
      <c r="K54" s="10"/>
      <c r="L54" s="10"/>
      <c r="M54" s="10"/>
      <c r="N54" s="10">
        <f>SUM(B54:M54)</f>
        <v>90000</v>
      </c>
    </row>
    <row r="55" spans="1:26" s="6" customFormat="1">
      <c r="A55" s="6" t="s">
        <v>111</v>
      </c>
      <c r="B55" s="47">
        <v>348240</v>
      </c>
      <c r="C55" s="10"/>
      <c r="D55" s="10"/>
      <c r="E55" s="10"/>
      <c r="F55" s="10"/>
      <c r="G55" s="10"/>
      <c r="H55" s="10"/>
      <c r="I55" s="10"/>
      <c r="J55" s="10"/>
      <c r="K55" s="10"/>
      <c r="L55" s="10">
        <v>0</v>
      </c>
      <c r="M55" s="22"/>
      <c r="N55" s="10">
        <f>SUM(B55:M55)</f>
        <v>348240</v>
      </c>
    </row>
    <row r="56" spans="1:26" s="6" customFormat="1">
      <c r="A56" s="37" t="s">
        <v>58</v>
      </c>
      <c r="B56" s="39">
        <v>-15538.11</v>
      </c>
      <c r="C56" s="7">
        <v>-20000</v>
      </c>
      <c r="D56" s="7">
        <v>-25000</v>
      </c>
      <c r="E56" s="7">
        <v>-20000</v>
      </c>
      <c r="F56" s="7">
        <v>-20000</v>
      </c>
      <c r="G56" s="7">
        <v>-25000</v>
      </c>
      <c r="H56" s="7">
        <v>-20000</v>
      </c>
      <c r="I56" s="7">
        <v>-20000</v>
      </c>
      <c r="J56" s="7">
        <v>-25000</v>
      </c>
      <c r="K56" s="7">
        <v>-20000</v>
      </c>
      <c r="L56" s="7">
        <v>-20000</v>
      </c>
      <c r="M56" s="7">
        <v>-25000</v>
      </c>
      <c r="N56" s="7">
        <f>SUM(B56:M56)</f>
        <v>-255538.11</v>
      </c>
      <c r="O56" s="7">
        <v>412620</v>
      </c>
    </row>
    <row r="57" spans="1:26" s="6" customFormat="1">
      <c r="A57" s="6" t="s">
        <v>59</v>
      </c>
      <c r="B57" s="77">
        <v>-171741</v>
      </c>
      <c r="C57" s="22">
        <v>-25000</v>
      </c>
      <c r="D57" s="22">
        <v>-25000</v>
      </c>
      <c r="E57" s="22">
        <v>-25000</v>
      </c>
      <c r="F57" s="22">
        <v>-25000</v>
      </c>
      <c r="G57" s="22">
        <v>-25000</v>
      </c>
      <c r="H57" s="22">
        <v>-25000</v>
      </c>
      <c r="I57" s="22">
        <v>-25000</v>
      </c>
      <c r="J57" s="22">
        <v>-25000</v>
      </c>
      <c r="K57" s="22">
        <v>-25000</v>
      </c>
      <c r="L57" s="22">
        <v>-25000</v>
      </c>
      <c r="M57" s="22">
        <v>-25000</v>
      </c>
      <c r="N57" s="22">
        <f>SUM(B57:M57)</f>
        <v>-446741</v>
      </c>
      <c r="O57" s="56">
        <v>306614</v>
      </c>
    </row>
    <row r="58" spans="1:26" s="6" customFormat="1">
      <c r="A58" s="13" t="s">
        <v>60</v>
      </c>
      <c r="B58" s="84">
        <f t="shared" ref="B58:N58" si="12">SUM(B53:B57)</f>
        <v>182600.89</v>
      </c>
      <c r="C58" s="19">
        <f t="shared" si="12"/>
        <v>5000</v>
      </c>
      <c r="D58" s="19">
        <f t="shared" si="12"/>
        <v>150000</v>
      </c>
      <c r="E58" s="19">
        <f t="shared" si="12"/>
        <v>55000</v>
      </c>
      <c r="F58" s="19">
        <f t="shared" si="12"/>
        <v>55000</v>
      </c>
      <c r="G58" s="19">
        <f t="shared" si="12"/>
        <v>50000</v>
      </c>
      <c r="H58" s="19">
        <f>SUM(H53:H57)</f>
        <v>-35000</v>
      </c>
      <c r="I58" s="19">
        <f t="shared" si="12"/>
        <v>30000</v>
      </c>
      <c r="J58" s="19">
        <f t="shared" si="12"/>
        <v>0</v>
      </c>
      <c r="K58" s="19">
        <f t="shared" si="12"/>
        <v>-35000</v>
      </c>
      <c r="L58" s="19">
        <f t="shared" si="12"/>
        <v>-35000</v>
      </c>
      <c r="M58" s="19">
        <f t="shared" si="12"/>
        <v>215725</v>
      </c>
      <c r="N58" s="19">
        <f t="shared" si="12"/>
        <v>638325.89000000013</v>
      </c>
      <c r="O58" s="29"/>
    </row>
    <row r="59" spans="1:26">
      <c r="B59" s="39"/>
      <c r="C59" s="7"/>
      <c r="D59" s="7"/>
      <c r="E59" s="7"/>
      <c r="F59" s="7"/>
      <c r="G59" s="7"/>
      <c r="H59" s="7"/>
      <c r="I59" s="7"/>
      <c r="J59" s="7"/>
      <c r="K59" s="7"/>
      <c r="L59" s="7"/>
      <c r="M59" s="7"/>
      <c r="N59" s="7"/>
      <c r="O59" s="6"/>
    </row>
    <row r="60" spans="1:26">
      <c r="A60" s="1" t="s">
        <v>61</v>
      </c>
      <c r="B60" s="32">
        <v>14357541</v>
      </c>
      <c r="C60" s="7"/>
      <c r="D60" s="7"/>
      <c r="E60" s="7"/>
      <c r="F60" s="7"/>
      <c r="G60" s="7"/>
      <c r="H60" s="7" t="s">
        <v>38</v>
      </c>
      <c r="I60" s="7"/>
      <c r="J60" s="7"/>
      <c r="K60" s="6"/>
      <c r="L60" s="6"/>
      <c r="M60" s="6"/>
      <c r="N60" s="6"/>
      <c r="O60" s="6"/>
    </row>
    <row r="61" spans="1:26">
      <c r="A61" s="13" t="s">
        <v>62</v>
      </c>
      <c r="B61" s="84">
        <f t="shared" ref="B61:N61" si="13">+B58+B48</f>
        <v>2535516.89</v>
      </c>
      <c r="C61" s="19">
        <f t="shared" si="13"/>
        <v>3321068</v>
      </c>
      <c r="D61" s="19">
        <f t="shared" si="13"/>
        <v>4932841</v>
      </c>
      <c r="E61" s="19">
        <f t="shared" si="13"/>
        <v>3633083</v>
      </c>
      <c r="F61" s="19">
        <f t="shared" si="13"/>
        <v>2728724</v>
      </c>
      <c r="G61" s="19">
        <f t="shared" si="13"/>
        <v>2915595</v>
      </c>
      <c r="H61" s="19">
        <f t="shared" si="13"/>
        <v>4017190</v>
      </c>
      <c r="I61" s="19">
        <f t="shared" si="13"/>
        <v>3565648</v>
      </c>
      <c r="J61" s="19">
        <f t="shared" si="13"/>
        <v>2970730</v>
      </c>
      <c r="K61" s="19">
        <f t="shared" si="13"/>
        <v>3255954</v>
      </c>
      <c r="L61" s="19">
        <f t="shared" si="13"/>
        <v>2669675</v>
      </c>
      <c r="M61" s="19">
        <f t="shared" si="13"/>
        <v>2772329</v>
      </c>
      <c r="N61" s="19">
        <f t="shared" si="13"/>
        <v>39318353.890000001</v>
      </c>
      <c r="O61" s="29"/>
    </row>
    <row r="62" spans="1:26" ht="13.5" thickBot="1">
      <c r="A62" s="13" t="s">
        <v>63</v>
      </c>
      <c r="B62" s="30">
        <f t="shared" ref="B62:N62" si="14">+B13-B61</f>
        <v>-771091.89000000013</v>
      </c>
      <c r="C62" s="14">
        <f t="shared" si="14"/>
        <v>-123812</v>
      </c>
      <c r="D62" s="14">
        <f t="shared" si="14"/>
        <v>1148155</v>
      </c>
      <c r="E62" s="14">
        <f t="shared" si="14"/>
        <v>583156</v>
      </c>
      <c r="F62" s="14">
        <f t="shared" si="14"/>
        <v>-125852</v>
      </c>
      <c r="G62" s="14">
        <f t="shared" si="14"/>
        <v>-37690</v>
      </c>
      <c r="H62" s="14">
        <f t="shared" si="14"/>
        <v>100669</v>
      </c>
      <c r="I62" s="14">
        <f t="shared" si="14"/>
        <v>782418</v>
      </c>
      <c r="J62" s="14">
        <f t="shared" si="14"/>
        <v>335342</v>
      </c>
      <c r="K62" s="14">
        <f t="shared" si="14"/>
        <v>368443</v>
      </c>
      <c r="L62" s="14">
        <f t="shared" si="14"/>
        <v>110221</v>
      </c>
      <c r="M62" s="14">
        <f t="shared" si="14"/>
        <v>-1059580</v>
      </c>
      <c r="N62" s="14">
        <f t="shared" si="14"/>
        <v>1310378.1099999994</v>
      </c>
      <c r="O62" s="29"/>
    </row>
    <row r="63" spans="1:26" s="6" customFormat="1" ht="13.5" thickTop="1">
      <c r="A63" s="13" t="s">
        <v>64</v>
      </c>
      <c r="B63" s="32">
        <f>+B62</f>
        <v>-771091.89000000013</v>
      </c>
      <c r="C63" s="12">
        <f t="shared" ref="C63:M63" si="15">B63+C62</f>
        <v>-894903.89000000013</v>
      </c>
      <c r="D63" s="12">
        <f t="shared" si="15"/>
        <v>253251.10999999987</v>
      </c>
      <c r="E63" s="12">
        <f t="shared" si="15"/>
        <v>836407.10999999987</v>
      </c>
      <c r="F63" s="12">
        <f t="shared" si="15"/>
        <v>710555.10999999987</v>
      </c>
      <c r="G63" s="12">
        <f t="shared" si="15"/>
        <v>672865.10999999987</v>
      </c>
      <c r="H63" s="12">
        <f t="shared" si="15"/>
        <v>773534.10999999987</v>
      </c>
      <c r="I63" s="12">
        <f t="shared" si="15"/>
        <v>1555952.1099999999</v>
      </c>
      <c r="J63" s="12">
        <f t="shared" si="15"/>
        <v>1891294.1099999999</v>
      </c>
      <c r="K63" s="12">
        <f t="shared" si="15"/>
        <v>2259737.11</v>
      </c>
      <c r="L63" s="12">
        <f t="shared" si="15"/>
        <v>2369958.11</v>
      </c>
      <c r="M63" s="12">
        <f t="shared" si="15"/>
        <v>1310378.1099999999</v>
      </c>
      <c r="N63" s="12"/>
    </row>
    <row r="64" spans="1:26">
      <c r="A64" s="13" t="s">
        <v>65</v>
      </c>
      <c r="B64" s="12">
        <f t="shared" ref="B64:M64" si="16">+$B$60+B63</f>
        <v>13586449.109999999</v>
      </c>
      <c r="C64" s="12">
        <f t="shared" si="16"/>
        <v>13462637.109999999</v>
      </c>
      <c r="D64" s="12">
        <f t="shared" si="16"/>
        <v>14610792.109999999</v>
      </c>
      <c r="E64" s="12">
        <f t="shared" si="16"/>
        <v>15193948.109999999</v>
      </c>
      <c r="F64" s="12">
        <f t="shared" si="16"/>
        <v>15068096.109999999</v>
      </c>
      <c r="G64" s="12">
        <f t="shared" si="16"/>
        <v>15030406.109999999</v>
      </c>
      <c r="H64" s="12">
        <f t="shared" si="16"/>
        <v>15131075.109999999</v>
      </c>
      <c r="I64" s="12">
        <f t="shared" si="16"/>
        <v>15913493.109999999</v>
      </c>
      <c r="J64" s="12">
        <f t="shared" si="16"/>
        <v>16248835.109999999</v>
      </c>
      <c r="K64" s="12">
        <f t="shared" si="16"/>
        <v>16617278.109999999</v>
      </c>
      <c r="L64" s="12">
        <f t="shared" si="16"/>
        <v>16727499.109999999</v>
      </c>
      <c r="M64" s="12">
        <f t="shared" si="16"/>
        <v>15667919.109999999</v>
      </c>
      <c r="N64" s="12"/>
      <c r="O64" s="6"/>
    </row>
    <row r="65" spans="1:15">
      <c r="A65" s="6"/>
      <c r="B65" s="7"/>
      <c r="C65" s="7"/>
      <c r="D65" s="7"/>
      <c r="E65" s="7"/>
      <c r="F65" s="7"/>
      <c r="G65" s="7"/>
      <c r="H65" s="7"/>
      <c r="I65" s="7"/>
      <c r="J65" s="7"/>
      <c r="K65" s="6"/>
      <c r="L65" s="6"/>
      <c r="M65" s="6"/>
      <c r="N65" s="6"/>
      <c r="O65" s="6"/>
    </row>
    <row r="66" spans="1:15" s="6" customFormat="1">
      <c r="A66" s="17" t="s">
        <v>94</v>
      </c>
      <c r="B66" s="18"/>
      <c r="C66" s="18"/>
      <c r="D66" s="18"/>
      <c r="E66" s="18"/>
      <c r="F66" s="18"/>
      <c r="G66" s="18"/>
      <c r="H66" s="18"/>
      <c r="I66" s="18"/>
      <c r="J66" s="18"/>
      <c r="K66" s="18"/>
      <c r="L66" s="18"/>
      <c r="M66" s="18"/>
      <c r="N66" s="18"/>
    </row>
    <row r="67" spans="1:15" ht="13.5" thickBot="1">
      <c r="A67" s="13" t="s">
        <v>67</v>
      </c>
      <c r="B67" s="14">
        <v>-1440029</v>
      </c>
      <c r="C67" s="14">
        <v>-123812</v>
      </c>
      <c r="D67" s="14">
        <v>1148155</v>
      </c>
      <c r="E67" s="14">
        <v>583156</v>
      </c>
      <c r="F67" s="14">
        <v>-125852</v>
      </c>
      <c r="G67" s="14">
        <v>-37690</v>
      </c>
      <c r="H67" s="14">
        <v>100669</v>
      </c>
      <c r="I67" s="14">
        <v>782418</v>
      </c>
      <c r="J67" s="14">
        <v>335342</v>
      </c>
      <c r="K67" s="14">
        <v>368443</v>
      </c>
      <c r="L67" s="14">
        <v>110221</v>
      </c>
      <c r="M67" s="14">
        <v>-1059580</v>
      </c>
      <c r="N67" s="16"/>
      <c r="O67" s="6"/>
    </row>
    <row r="68" spans="1:15" ht="13.5" thickTop="1">
      <c r="A68" s="13" t="s">
        <v>64</v>
      </c>
      <c r="B68" s="12">
        <f>+B67</f>
        <v>-1440029</v>
      </c>
      <c r="C68" s="12">
        <f>+B68+C67</f>
        <v>-1563841</v>
      </c>
      <c r="D68" s="12">
        <f t="shared" ref="D68:M68" si="17">+C68+D67</f>
        <v>-415686</v>
      </c>
      <c r="E68" s="12">
        <f t="shared" si="17"/>
        <v>167470</v>
      </c>
      <c r="F68" s="12">
        <f t="shared" si="17"/>
        <v>41618</v>
      </c>
      <c r="G68" s="12">
        <f t="shared" si="17"/>
        <v>3928</v>
      </c>
      <c r="H68" s="12">
        <f t="shared" si="17"/>
        <v>104597</v>
      </c>
      <c r="I68" s="12">
        <f t="shared" si="17"/>
        <v>887015</v>
      </c>
      <c r="J68" s="12">
        <f t="shared" si="17"/>
        <v>1222357</v>
      </c>
      <c r="K68" s="12">
        <f t="shared" si="17"/>
        <v>1590800</v>
      </c>
      <c r="L68" s="12">
        <f t="shared" si="17"/>
        <v>1701021</v>
      </c>
      <c r="M68" s="12">
        <f t="shared" si="17"/>
        <v>641441</v>
      </c>
      <c r="N68" s="16"/>
      <c r="O68" s="6"/>
    </row>
    <row r="69" spans="1:15">
      <c r="A69" s="13" t="s">
        <v>65</v>
      </c>
      <c r="B69" s="12">
        <v>12917512</v>
      </c>
      <c r="C69" s="12">
        <v>12793700</v>
      </c>
      <c r="D69" s="12">
        <v>13941855</v>
      </c>
      <c r="E69" s="12">
        <v>14525011</v>
      </c>
      <c r="F69" s="12">
        <v>14399159</v>
      </c>
      <c r="G69" s="12">
        <v>14361469</v>
      </c>
      <c r="H69" s="12">
        <v>14462138</v>
      </c>
      <c r="I69" s="12">
        <v>15244556</v>
      </c>
      <c r="J69" s="12">
        <v>15579898</v>
      </c>
      <c r="K69" s="12">
        <v>15948341</v>
      </c>
      <c r="L69" s="12">
        <v>16058562</v>
      </c>
      <c r="M69" s="12">
        <v>14998982</v>
      </c>
      <c r="N69" s="12"/>
      <c r="O69" s="6"/>
    </row>
    <row r="70" spans="1:15">
      <c r="A70" s="6"/>
      <c r="B70" s="6"/>
      <c r="C70" s="6"/>
      <c r="D70" s="6"/>
      <c r="E70" s="6"/>
      <c r="F70" s="6"/>
      <c r="H70" s="6"/>
      <c r="I70" s="6"/>
      <c r="J70" s="6"/>
      <c r="K70" s="6"/>
      <c r="L70" s="6"/>
      <c r="M70" s="6"/>
      <c r="N70" s="6"/>
      <c r="O70" s="6"/>
    </row>
    <row r="71" spans="1:15">
      <c r="A71" s="24" t="s">
        <v>68</v>
      </c>
      <c r="B71" s="18"/>
      <c r="C71" s="18"/>
      <c r="D71" s="18"/>
      <c r="E71" s="18"/>
      <c r="F71" s="18"/>
      <c r="G71" s="18"/>
      <c r="H71" s="18"/>
      <c r="I71" s="18"/>
      <c r="J71" s="18"/>
      <c r="K71" s="18"/>
      <c r="L71" s="18"/>
      <c r="M71" s="18"/>
      <c r="N71" s="18"/>
      <c r="O71" s="6"/>
    </row>
    <row r="72" spans="1:15">
      <c r="A72" s="13" t="s">
        <v>63</v>
      </c>
      <c r="B72" s="31">
        <f t="shared" ref="B72:N74" si="18">+B62-B67</f>
        <v>668937.10999999987</v>
      </c>
      <c r="C72" s="31">
        <f t="shared" si="18"/>
        <v>0</v>
      </c>
      <c r="D72" s="31">
        <f t="shared" si="18"/>
        <v>0</v>
      </c>
      <c r="E72" s="31">
        <f t="shared" si="18"/>
        <v>0</v>
      </c>
      <c r="F72" s="31">
        <f t="shared" si="18"/>
        <v>0</v>
      </c>
      <c r="G72" s="31">
        <f t="shared" si="18"/>
        <v>0</v>
      </c>
      <c r="H72" s="31">
        <f t="shared" si="18"/>
        <v>0</v>
      </c>
      <c r="I72" s="31">
        <f t="shared" si="18"/>
        <v>0</v>
      </c>
      <c r="J72" s="31">
        <f t="shared" si="18"/>
        <v>0</v>
      </c>
      <c r="K72" s="31">
        <f t="shared" si="18"/>
        <v>0</v>
      </c>
      <c r="L72" s="31">
        <f t="shared" si="18"/>
        <v>0</v>
      </c>
      <c r="M72" s="31">
        <f t="shared" si="18"/>
        <v>0</v>
      </c>
      <c r="N72" s="6"/>
      <c r="O72" s="6"/>
    </row>
    <row r="73" spans="1:15" s="6" customFormat="1">
      <c r="A73" s="13" t="s">
        <v>64</v>
      </c>
      <c r="B73" s="31">
        <f t="shared" si="18"/>
        <v>668937.10999999987</v>
      </c>
      <c r="C73" s="31">
        <f t="shared" si="18"/>
        <v>668937.10999999987</v>
      </c>
      <c r="D73" s="31">
        <f t="shared" si="18"/>
        <v>668937.10999999987</v>
      </c>
      <c r="E73" s="31">
        <f t="shared" si="18"/>
        <v>668937.10999999987</v>
      </c>
      <c r="F73" s="31">
        <f t="shared" si="18"/>
        <v>668937.10999999987</v>
      </c>
      <c r="G73" s="31">
        <f t="shared" si="18"/>
        <v>668937.10999999987</v>
      </c>
      <c r="H73" s="31">
        <f t="shared" si="18"/>
        <v>668937.10999999987</v>
      </c>
      <c r="I73" s="31">
        <f t="shared" si="18"/>
        <v>668937.10999999987</v>
      </c>
      <c r="J73" s="31">
        <f t="shared" si="18"/>
        <v>668937.10999999987</v>
      </c>
      <c r="K73" s="31">
        <f t="shared" si="18"/>
        <v>668937.10999999987</v>
      </c>
      <c r="L73" s="31">
        <f t="shared" si="18"/>
        <v>668937.10999999987</v>
      </c>
      <c r="M73" s="31">
        <f t="shared" si="18"/>
        <v>668937.10999999987</v>
      </c>
      <c r="N73" s="16">
        <f t="shared" si="18"/>
        <v>0</v>
      </c>
    </row>
    <row r="74" spans="1:15">
      <c r="A74" s="1" t="s">
        <v>65</v>
      </c>
      <c r="B74" s="16">
        <f t="shared" si="18"/>
        <v>668937.1099999994</v>
      </c>
      <c r="C74" s="16">
        <f t="shared" si="18"/>
        <v>668937.1099999994</v>
      </c>
      <c r="D74" s="16">
        <f t="shared" si="18"/>
        <v>668937.1099999994</v>
      </c>
      <c r="E74" s="16">
        <f t="shared" si="18"/>
        <v>668937.1099999994</v>
      </c>
      <c r="F74" s="16">
        <f t="shared" si="18"/>
        <v>668937.1099999994</v>
      </c>
      <c r="G74" s="16">
        <f t="shared" si="18"/>
        <v>668937.1099999994</v>
      </c>
      <c r="H74" s="16">
        <f t="shared" si="18"/>
        <v>668937.1099999994</v>
      </c>
      <c r="I74" s="16">
        <f t="shared" si="18"/>
        <v>668937.1099999994</v>
      </c>
      <c r="J74" s="16">
        <f t="shared" si="18"/>
        <v>668937.1099999994</v>
      </c>
      <c r="K74" s="16">
        <f t="shared" si="18"/>
        <v>668937.1099999994</v>
      </c>
      <c r="L74" s="16">
        <f t="shared" si="18"/>
        <v>668937.1099999994</v>
      </c>
      <c r="M74" s="16">
        <f t="shared" si="18"/>
        <v>668937.1099999994</v>
      </c>
      <c r="N74" s="16"/>
      <c r="O74" s="6"/>
    </row>
    <row r="75" spans="1:15">
      <c r="B75" s="6"/>
      <c r="C75" s="6"/>
      <c r="D75" s="6"/>
      <c r="E75" s="6"/>
      <c r="F75" s="6"/>
      <c r="H75" s="6"/>
      <c r="I75" s="6"/>
      <c r="J75" s="6"/>
      <c r="K75" s="6"/>
      <c r="L75" s="6"/>
      <c r="M75" s="6"/>
      <c r="N75" s="6"/>
    </row>
    <row r="76" spans="1:15">
      <c r="A76" s="1"/>
      <c r="B76" s="4"/>
      <c r="C76" s="8"/>
      <c r="D76" s="8"/>
      <c r="E76" s="8"/>
      <c r="F76" s="8"/>
      <c r="H76" s="20"/>
      <c r="J76" s="6"/>
      <c r="K76" s="6"/>
    </row>
    <row r="77" spans="1:15">
      <c r="A77" s="1"/>
      <c r="B77" s="4"/>
      <c r="C77" s="8"/>
      <c r="D77" s="8"/>
      <c r="E77" s="8"/>
      <c r="F77" s="8"/>
      <c r="H77" s="20"/>
      <c r="J77" s="6"/>
    </row>
    <row r="78" spans="1:15">
      <c r="A78" s="1"/>
      <c r="B78" s="4"/>
      <c r="D78" s="8"/>
      <c r="E78" s="8"/>
      <c r="F78" s="8"/>
      <c r="H78" s="61"/>
      <c r="J78" s="6"/>
    </row>
    <row r="79" spans="1:15">
      <c r="E79" s="6"/>
      <c r="H79" s="20"/>
      <c r="J79" s="6"/>
      <c r="N79" s="25"/>
    </row>
    <row r="80" spans="1:15">
      <c r="A80" t="s">
        <v>69</v>
      </c>
      <c r="B80" t="s">
        <v>69</v>
      </c>
      <c r="C80" t="s">
        <v>69</v>
      </c>
      <c r="D80" t="s">
        <v>69</v>
      </c>
      <c r="E80" s="6" t="s">
        <v>69</v>
      </c>
      <c r="F80" t="s">
        <v>69</v>
      </c>
      <c r="G80" s="6" t="s">
        <v>69</v>
      </c>
      <c r="H80" t="s">
        <v>69</v>
      </c>
      <c r="I80" t="s">
        <v>69</v>
      </c>
      <c r="J80" s="6" t="s">
        <v>69</v>
      </c>
      <c r="K80" t="s">
        <v>69</v>
      </c>
      <c r="L80" t="s">
        <v>69</v>
      </c>
      <c r="M80" t="s">
        <v>69</v>
      </c>
      <c r="N80" t="s">
        <v>69</v>
      </c>
    </row>
  </sheetData>
  <pageMargins left="0.28000000000000003" right="0.25" top="0.99" bottom="0.75" header="0.63" footer="0.23"/>
  <pageSetup scale="60" orientation="landscape" r:id="rId1"/>
  <headerFooter alignWithMargins="0">
    <oddHeader xml:space="preserve">&amp;C&amp;"Arial,Bold"&amp;11 49ER SHOPS, INC.
&amp;UFY2017/2018 OPERATIONAL CASH FLOW </oddHeader>
    <oddFooter xml:space="preserve">&amp;CCash Flow - FY2017/2018
July 2018
</oddFooter>
  </headerFooter>
  <legacyDrawing r:id="rId2"/>
</worksheet>
</file>

<file path=xl/worksheets/sheet3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92D050"/>
    <pageSetUpPr fitToPage="1"/>
  </sheetPr>
  <dimension ref="A1:Z80"/>
  <sheetViews>
    <sheetView showGridLines="0" zoomScale="60" zoomScaleNormal="60" workbookViewId="0">
      <selection activeCell="D6" sqref="D6"/>
    </sheetView>
  </sheetViews>
  <sheetFormatPr defaultRowHeight="12.75"/>
  <cols>
    <col min="1" max="1" width="35.42578125" customWidth="1"/>
    <col min="2" max="2" width="14" customWidth="1"/>
    <col min="3" max="3" width="14.5703125" customWidth="1"/>
    <col min="4" max="4" width="14" customWidth="1"/>
    <col min="5" max="6" width="13.5703125" customWidth="1"/>
    <col min="7" max="7" width="16.5703125" style="6" customWidth="1"/>
    <col min="8" max="8" width="14.140625" customWidth="1"/>
    <col min="9" max="9" width="14.42578125" customWidth="1"/>
    <col min="10" max="10" width="13.85546875" customWidth="1"/>
    <col min="11" max="11" width="15.140625" customWidth="1"/>
    <col min="12" max="12" width="13.5703125" customWidth="1"/>
    <col min="13" max="13" width="14.42578125" customWidth="1"/>
    <col min="14" max="14" width="16.5703125" customWidth="1"/>
    <col min="15" max="15" width="12.42578125" bestFit="1" customWidth="1"/>
    <col min="16" max="16" width="14.140625" customWidth="1"/>
  </cols>
  <sheetData>
    <row r="1" spans="1:15" ht="13.5" thickBot="1">
      <c r="A1" s="46" t="s">
        <v>112</v>
      </c>
      <c r="E1" s="6"/>
      <c r="F1" s="6"/>
      <c r="J1" s="6"/>
      <c r="K1" s="6"/>
      <c r="N1" s="3"/>
    </row>
    <row r="2" spans="1:15">
      <c r="B2" s="45" t="s">
        <v>24</v>
      </c>
      <c r="C2" s="45" t="s">
        <v>24</v>
      </c>
      <c r="D2" s="45" t="s">
        <v>76</v>
      </c>
      <c r="E2" s="45" t="s">
        <v>76</v>
      </c>
      <c r="F2" s="45" t="s">
        <v>76</v>
      </c>
      <c r="G2" s="45" t="s">
        <v>76</v>
      </c>
      <c r="H2" s="45" t="s">
        <v>76</v>
      </c>
      <c r="I2" s="45" t="s">
        <v>76</v>
      </c>
      <c r="J2" s="45" t="s">
        <v>76</v>
      </c>
      <c r="K2" s="45" t="s">
        <v>76</v>
      </c>
      <c r="L2" s="45" t="s">
        <v>76</v>
      </c>
      <c r="M2" s="45" t="s">
        <v>76</v>
      </c>
      <c r="N2" s="28" t="s">
        <v>25</v>
      </c>
    </row>
    <row r="3" spans="1:15" s="5" customFormat="1">
      <c r="B3" s="11">
        <v>43283</v>
      </c>
      <c r="C3" s="11">
        <v>43314</v>
      </c>
      <c r="D3" s="11">
        <v>43345</v>
      </c>
      <c r="E3" s="11">
        <v>43375</v>
      </c>
      <c r="F3" s="11">
        <v>43406</v>
      </c>
      <c r="G3" s="11">
        <v>43436</v>
      </c>
      <c r="H3" s="11">
        <v>43467</v>
      </c>
      <c r="I3" s="11">
        <v>43498</v>
      </c>
      <c r="J3" s="11">
        <v>43526</v>
      </c>
      <c r="K3" s="11">
        <v>43557</v>
      </c>
      <c r="L3" s="11">
        <v>43587</v>
      </c>
      <c r="M3" s="11">
        <v>43618</v>
      </c>
      <c r="N3" s="57" t="s">
        <v>113</v>
      </c>
    </row>
    <row r="4" spans="1:15" hidden="1">
      <c r="A4" s="1" t="s">
        <v>27</v>
      </c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>
        <f>SUM(B4:M4)</f>
        <v>0</v>
      </c>
      <c r="O4" s="29"/>
    </row>
    <row r="5" spans="1:15" s="6" customFormat="1" hidden="1">
      <c r="A5" s="6" t="s">
        <v>28</v>
      </c>
      <c r="B5" s="53">
        <v>1664716</v>
      </c>
      <c r="C5" s="53">
        <v>4334056</v>
      </c>
      <c r="D5" s="53">
        <v>5770084</v>
      </c>
      <c r="E5" s="53">
        <v>4100133</v>
      </c>
      <c r="F5" s="53">
        <v>2497881</v>
      </c>
      <c r="G5" s="53">
        <v>2776160</v>
      </c>
      <c r="H5" s="53">
        <v>4028939</v>
      </c>
      <c r="I5" s="53">
        <v>4052325</v>
      </c>
      <c r="J5" s="53">
        <v>3199134</v>
      </c>
      <c r="K5" s="53">
        <v>3507287</v>
      </c>
      <c r="L5" s="53">
        <v>2668320</v>
      </c>
      <c r="M5" s="53">
        <v>1617618</v>
      </c>
      <c r="N5" s="12">
        <f>SUM(B5:M5)</f>
        <v>40216653</v>
      </c>
      <c r="O5" s="29"/>
    </row>
    <row r="6" spans="1:15" s="6" customFormat="1" hidden="1">
      <c r="A6" s="6" t="s">
        <v>29</v>
      </c>
      <c r="B6" s="53">
        <v>98799</v>
      </c>
      <c r="C6" s="53">
        <v>92990</v>
      </c>
      <c r="D6" s="53">
        <v>310912</v>
      </c>
      <c r="E6" s="53">
        <v>116106</v>
      </c>
      <c r="F6" s="53">
        <v>104991</v>
      </c>
      <c r="G6" s="53">
        <v>101745</v>
      </c>
      <c r="H6" s="53">
        <v>88920</v>
      </c>
      <c r="I6" s="53">
        <v>295741</v>
      </c>
      <c r="J6" s="53">
        <v>106938</v>
      </c>
      <c r="K6" s="53">
        <v>117110</v>
      </c>
      <c r="L6" s="53">
        <v>111576</v>
      </c>
      <c r="M6" s="53">
        <v>95131</v>
      </c>
      <c r="N6" s="7">
        <f>SUM(B6:M6)</f>
        <v>1640959</v>
      </c>
      <c r="O6" s="29"/>
    </row>
    <row r="7" spans="1:15" s="6" customFormat="1" hidden="1">
      <c r="B7" s="7"/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7">
        <f>SUM(B7:M7)</f>
        <v>0</v>
      </c>
      <c r="O7" s="29"/>
    </row>
    <row r="8" spans="1:15" s="6" customFormat="1" hidden="1">
      <c r="B8" s="15"/>
      <c r="C8" s="15"/>
      <c r="D8" s="15"/>
      <c r="E8" s="15"/>
      <c r="F8" s="15"/>
      <c r="G8" s="15"/>
      <c r="H8" s="15"/>
      <c r="I8" s="15"/>
      <c r="J8" s="15"/>
      <c r="K8" s="15"/>
      <c r="L8" s="15"/>
      <c r="M8" s="15"/>
      <c r="N8" s="15">
        <f>SUM(B8:M8)</f>
        <v>0</v>
      </c>
      <c r="O8" s="29"/>
    </row>
    <row r="9" spans="1:15" s="6" customFormat="1">
      <c r="A9" s="13" t="s">
        <v>30</v>
      </c>
      <c r="B9" s="12">
        <f t="shared" ref="B9:N9" si="0">SUM(B5:B8)</f>
        <v>1763515</v>
      </c>
      <c r="C9" s="12">
        <f t="shared" si="0"/>
        <v>4427046</v>
      </c>
      <c r="D9" s="12">
        <f t="shared" si="0"/>
        <v>6080996</v>
      </c>
      <c r="E9" s="12">
        <f t="shared" si="0"/>
        <v>4216239</v>
      </c>
      <c r="F9" s="12">
        <f t="shared" si="0"/>
        <v>2602872</v>
      </c>
      <c r="G9" s="12">
        <f t="shared" si="0"/>
        <v>2877905</v>
      </c>
      <c r="H9" s="12">
        <f t="shared" si="0"/>
        <v>4117859</v>
      </c>
      <c r="I9" s="12">
        <f t="shared" si="0"/>
        <v>4348066</v>
      </c>
      <c r="J9" s="12">
        <f t="shared" si="0"/>
        <v>3306072</v>
      </c>
      <c r="K9" s="12">
        <f t="shared" si="0"/>
        <v>3624397</v>
      </c>
      <c r="L9" s="12">
        <f t="shared" si="0"/>
        <v>2779896</v>
      </c>
      <c r="M9" s="12">
        <f t="shared" si="0"/>
        <v>1712749</v>
      </c>
      <c r="N9" s="12">
        <f t="shared" si="0"/>
        <v>41857612</v>
      </c>
      <c r="O9" s="29"/>
    </row>
    <row r="10" spans="1:15" s="6" customFormat="1" ht="6.75" customHeight="1"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29"/>
    </row>
    <row r="11" spans="1:15" s="6" customFormat="1">
      <c r="A11" s="13" t="s">
        <v>31</v>
      </c>
      <c r="B11" s="7">
        <v>910</v>
      </c>
      <c r="C11" s="7">
        <v>98</v>
      </c>
      <c r="D11" s="7">
        <v>0</v>
      </c>
      <c r="E11" s="7">
        <v>0</v>
      </c>
      <c r="F11" s="7">
        <v>0</v>
      </c>
      <c r="G11" s="7">
        <v>0</v>
      </c>
      <c r="H11" s="7">
        <v>0</v>
      </c>
      <c r="I11" s="7">
        <v>0</v>
      </c>
      <c r="J11" s="7">
        <v>0</v>
      </c>
      <c r="K11" s="7">
        <v>0</v>
      </c>
      <c r="L11" s="7">
        <v>0</v>
      </c>
      <c r="M11" s="7">
        <v>0</v>
      </c>
      <c r="N11" s="7">
        <f>SUM(B11:M11)</f>
        <v>1008</v>
      </c>
      <c r="O11" s="29">
        <v>-232025</v>
      </c>
    </row>
    <row r="12" spans="1:15" s="6" customFormat="1" ht="7.5" customHeight="1">
      <c r="B12" s="7"/>
      <c r="C12" s="7"/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  <c r="O12" s="29"/>
    </row>
    <row r="13" spans="1:15" s="6" customFormat="1" ht="13.5" thickBot="1">
      <c r="A13" s="13" t="s">
        <v>32</v>
      </c>
      <c r="B13" s="14">
        <f t="shared" ref="B13:N13" si="1">B9+B11</f>
        <v>1764425</v>
      </c>
      <c r="C13" s="14">
        <f>C9+C11</f>
        <v>4427144</v>
      </c>
      <c r="D13" s="14">
        <f t="shared" si="1"/>
        <v>6080996</v>
      </c>
      <c r="E13" s="14">
        <f t="shared" si="1"/>
        <v>4216239</v>
      </c>
      <c r="F13" s="14">
        <f t="shared" si="1"/>
        <v>2602872</v>
      </c>
      <c r="G13" s="14">
        <f t="shared" si="1"/>
        <v>2877905</v>
      </c>
      <c r="H13" s="14">
        <f t="shared" si="1"/>
        <v>4117859</v>
      </c>
      <c r="I13" s="14">
        <f t="shared" si="1"/>
        <v>4348066</v>
      </c>
      <c r="J13" s="14">
        <f t="shared" si="1"/>
        <v>3306072</v>
      </c>
      <c r="K13" s="14">
        <f t="shared" si="1"/>
        <v>3624397</v>
      </c>
      <c r="L13" s="14">
        <f t="shared" si="1"/>
        <v>2779896</v>
      </c>
      <c r="M13" s="14">
        <f t="shared" si="1"/>
        <v>1712749</v>
      </c>
      <c r="N13" s="14">
        <f t="shared" si="1"/>
        <v>41858620</v>
      </c>
      <c r="O13" s="29"/>
    </row>
    <row r="14" spans="1:15" s="6" customFormat="1" ht="13.5" thickTop="1">
      <c r="B14" s="7"/>
      <c r="C14" s="7"/>
      <c r="D14" s="7"/>
      <c r="E14" s="7"/>
      <c r="F14" s="7"/>
      <c r="G14" s="7"/>
      <c r="H14" s="7"/>
      <c r="I14" s="7"/>
      <c r="J14" s="7"/>
      <c r="K14" s="7"/>
      <c r="L14" s="7"/>
      <c r="M14" s="7"/>
    </row>
    <row r="15" spans="1:15" s="6" customFormat="1" hidden="1">
      <c r="A15" s="13" t="s">
        <v>33</v>
      </c>
      <c r="B15" s="7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</row>
    <row r="16" spans="1:15" s="6" customFormat="1" hidden="1">
      <c r="A16" s="6" t="s">
        <v>34</v>
      </c>
      <c r="B16" s="53">
        <v>808507</v>
      </c>
      <c r="C16" s="53">
        <v>2662695</v>
      </c>
      <c r="D16" s="53">
        <v>2969178</v>
      </c>
      <c r="E16" s="53">
        <v>1499349</v>
      </c>
      <c r="F16" s="53">
        <v>928598</v>
      </c>
      <c r="G16" s="53">
        <v>954396</v>
      </c>
      <c r="H16" s="53">
        <v>2336270</v>
      </c>
      <c r="I16" s="53">
        <v>1689918</v>
      </c>
      <c r="J16" s="53">
        <v>1116694</v>
      </c>
      <c r="K16" s="53">
        <v>1332035</v>
      </c>
      <c r="L16" s="53">
        <v>1066893</v>
      </c>
      <c r="M16" s="53">
        <v>774058</v>
      </c>
      <c r="N16" s="7">
        <f>SUM(B16:M16)</f>
        <v>18138591</v>
      </c>
      <c r="O16" s="29"/>
    </row>
    <row r="17" spans="1:15" s="6" customFormat="1" hidden="1">
      <c r="B17" s="27"/>
      <c r="C17" s="27"/>
      <c r="D17" s="27"/>
      <c r="E17" s="27"/>
      <c r="F17" s="27"/>
      <c r="G17" s="27"/>
      <c r="H17" s="27"/>
      <c r="I17" s="27"/>
      <c r="J17" s="27"/>
      <c r="K17" s="27"/>
      <c r="L17" s="27"/>
      <c r="M17" s="27"/>
      <c r="N17" s="7">
        <f>SUM(B17:M17)</f>
        <v>0</v>
      </c>
    </row>
    <row r="18" spans="1:15" s="6" customFormat="1" hidden="1">
      <c r="B18" s="7"/>
      <c r="C18" s="7"/>
      <c r="D18" s="7"/>
      <c r="E18" s="7"/>
      <c r="F18" s="7"/>
      <c r="G18" s="7"/>
      <c r="H18" s="7"/>
      <c r="I18" s="7"/>
      <c r="J18" s="7"/>
      <c r="K18" s="7"/>
      <c r="L18" s="7"/>
      <c r="M18" s="7"/>
      <c r="N18" s="7">
        <v>0</v>
      </c>
    </row>
    <row r="19" spans="1:15" s="6" customFormat="1" hidden="1">
      <c r="B19" s="15"/>
      <c r="C19" s="15"/>
      <c r="D19" s="15"/>
      <c r="E19" s="15"/>
      <c r="F19" s="15"/>
      <c r="G19" s="15"/>
      <c r="H19" s="15"/>
      <c r="I19" s="15"/>
      <c r="J19" s="15"/>
      <c r="K19" s="15"/>
      <c r="L19" s="15"/>
      <c r="M19" s="15"/>
      <c r="N19" s="15">
        <f>SUM(B19:M19)</f>
        <v>0</v>
      </c>
    </row>
    <row r="20" spans="1:15" s="6" customFormat="1">
      <c r="A20" s="13" t="s">
        <v>35</v>
      </c>
      <c r="B20" s="12">
        <f t="shared" ref="B20:N20" si="2">SUM(B16:B19)</f>
        <v>808507</v>
      </c>
      <c r="C20" s="12">
        <f t="shared" si="2"/>
        <v>2662695</v>
      </c>
      <c r="D20" s="12">
        <f t="shared" si="2"/>
        <v>2969178</v>
      </c>
      <c r="E20" s="12">
        <f t="shared" si="2"/>
        <v>1499349</v>
      </c>
      <c r="F20" s="12">
        <f t="shared" si="2"/>
        <v>928598</v>
      </c>
      <c r="G20" s="12">
        <f t="shared" si="2"/>
        <v>954396</v>
      </c>
      <c r="H20" s="12">
        <f t="shared" si="2"/>
        <v>2336270</v>
      </c>
      <c r="I20" s="12">
        <f t="shared" si="2"/>
        <v>1689918</v>
      </c>
      <c r="J20" s="12">
        <f t="shared" si="2"/>
        <v>1116694</v>
      </c>
      <c r="K20" s="12">
        <f t="shared" si="2"/>
        <v>1332035</v>
      </c>
      <c r="L20" s="12">
        <f t="shared" si="2"/>
        <v>1066893</v>
      </c>
      <c r="M20" s="12">
        <f t="shared" si="2"/>
        <v>774058</v>
      </c>
      <c r="N20" s="12">
        <f t="shared" si="2"/>
        <v>18138591</v>
      </c>
      <c r="O20" s="29"/>
    </row>
    <row r="21" spans="1:15" s="6" customFormat="1">
      <c r="B21" s="7"/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</row>
    <row r="22" spans="1:15" s="6" customFormat="1" hidden="1">
      <c r="A22" s="13" t="s">
        <v>36</v>
      </c>
      <c r="B22" s="7"/>
      <c r="C22" s="7"/>
      <c r="D22" s="7"/>
      <c r="E22" s="7"/>
      <c r="F22" s="7"/>
      <c r="G22" s="7"/>
      <c r="H22" s="7"/>
      <c r="I22" s="7"/>
      <c r="J22" s="7"/>
      <c r="K22" s="7"/>
      <c r="L22" s="7"/>
      <c r="M22" s="7"/>
    </row>
    <row r="23" spans="1:15" s="6" customFormat="1" hidden="1">
      <c r="A23" s="6" t="s">
        <v>37</v>
      </c>
      <c r="B23" s="7">
        <f t="shared" ref="B23:M26" si="3">+B5-B16</f>
        <v>856209</v>
      </c>
      <c r="C23" s="7">
        <f t="shared" si="3"/>
        <v>1671361</v>
      </c>
      <c r="D23" s="7">
        <f t="shared" si="3"/>
        <v>2800906</v>
      </c>
      <c r="E23" s="7">
        <f t="shared" si="3"/>
        <v>2600784</v>
      </c>
      <c r="F23" s="7">
        <f t="shared" si="3"/>
        <v>1569283</v>
      </c>
      <c r="G23" s="7">
        <f t="shared" si="3"/>
        <v>1821764</v>
      </c>
      <c r="H23" s="7">
        <f t="shared" si="3"/>
        <v>1692669</v>
      </c>
      <c r="I23" s="7">
        <f t="shared" si="3"/>
        <v>2362407</v>
      </c>
      <c r="J23" s="7">
        <f t="shared" si="3"/>
        <v>2082440</v>
      </c>
      <c r="K23" s="7">
        <f t="shared" si="3"/>
        <v>2175252</v>
      </c>
      <c r="L23" s="7">
        <f t="shared" si="3"/>
        <v>1601427</v>
      </c>
      <c r="M23" s="7">
        <f t="shared" si="3"/>
        <v>843560</v>
      </c>
      <c r="N23" s="7">
        <f>SUM(B23:M23)</f>
        <v>22078062</v>
      </c>
      <c r="O23" s="29"/>
    </row>
    <row r="24" spans="1:15" s="6" customFormat="1" hidden="1">
      <c r="A24" s="6" t="s">
        <v>37</v>
      </c>
      <c r="B24" s="7">
        <f t="shared" si="3"/>
        <v>98799</v>
      </c>
      <c r="C24" s="7">
        <f t="shared" si="3"/>
        <v>92990</v>
      </c>
      <c r="D24" s="7">
        <f t="shared" si="3"/>
        <v>310912</v>
      </c>
      <c r="E24" s="7">
        <f t="shared" si="3"/>
        <v>116106</v>
      </c>
      <c r="F24" s="7">
        <f t="shared" si="3"/>
        <v>104991</v>
      </c>
      <c r="G24" s="7">
        <f t="shared" si="3"/>
        <v>101745</v>
      </c>
      <c r="H24" s="7">
        <f t="shared" si="3"/>
        <v>88920</v>
      </c>
      <c r="I24" s="7">
        <f t="shared" si="3"/>
        <v>295741</v>
      </c>
      <c r="J24" s="7">
        <f t="shared" si="3"/>
        <v>106938</v>
      </c>
      <c r="K24" s="7">
        <f t="shared" si="3"/>
        <v>117110</v>
      </c>
      <c r="L24" s="7">
        <f t="shared" si="3"/>
        <v>111576</v>
      </c>
      <c r="M24" s="7">
        <f t="shared" si="3"/>
        <v>95131</v>
      </c>
      <c r="N24" s="7">
        <f>SUM(B24:M24)</f>
        <v>1640959</v>
      </c>
      <c r="O24" s="29"/>
    </row>
    <row r="25" spans="1:15" s="6" customFormat="1" hidden="1">
      <c r="A25" s="6" t="s">
        <v>38</v>
      </c>
      <c r="B25" s="7">
        <f t="shared" si="3"/>
        <v>0</v>
      </c>
      <c r="C25" s="7">
        <f t="shared" si="3"/>
        <v>0</v>
      </c>
      <c r="D25" s="7">
        <f t="shared" si="3"/>
        <v>0</v>
      </c>
      <c r="E25" s="7">
        <f t="shared" si="3"/>
        <v>0</v>
      </c>
      <c r="F25" s="7">
        <f t="shared" si="3"/>
        <v>0</v>
      </c>
      <c r="G25" s="7">
        <f t="shared" si="3"/>
        <v>0</v>
      </c>
      <c r="H25" s="7">
        <f t="shared" si="3"/>
        <v>0</v>
      </c>
      <c r="I25" s="7">
        <f t="shared" si="3"/>
        <v>0</v>
      </c>
      <c r="J25" s="7">
        <f t="shared" si="3"/>
        <v>0</v>
      </c>
      <c r="K25" s="7">
        <f t="shared" si="3"/>
        <v>0</v>
      </c>
      <c r="L25" s="7">
        <f t="shared" si="3"/>
        <v>0</v>
      </c>
      <c r="M25" s="7">
        <f t="shared" si="3"/>
        <v>0</v>
      </c>
      <c r="N25" s="7">
        <f>SUM(B25:M25)</f>
        <v>0</v>
      </c>
      <c r="O25" s="29"/>
    </row>
    <row r="26" spans="1:15" s="6" customFormat="1" hidden="1">
      <c r="A26" s="6" t="s">
        <v>38</v>
      </c>
      <c r="B26" s="15">
        <f t="shared" si="3"/>
        <v>0</v>
      </c>
      <c r="C26" s="15">
        <f t="shared" si="3"/>
        <v>0</v>
      </c>
      <c r="D26" s="15">
        <f t="shared" si="3"/>
        <v>0</v>
      </c>
      <c r="E26" s="15">
        <f t="shared" si="3"/>
        <v>0</v>
      </c>
      <c r="F26" s="15">
        <f t="shared" si="3"/>
        <v>0</v>
      </c>
      <c r="G26" s="15">
        <f t="shared" si="3"/>
        <v>0</v>
      </c>
      <c r="H26" s="15">
        <f t="shared" si="3"/>
        <v>0</v>
      </c>
      <c r="I26" s="15">
        <f t="shared" si="3"/>
        <v>0</v>
      </c>
      <c r="J26" s="15">
        <f t="shared" si="3"/>
        <v>0</v>
      </c>
      <c r="K26" s="15">
        <f t="shared" si="3"/>
        <v>0</v>
      </c>
      <c r="L26" s="15">
        <f t="shared" si="3"/>
        <v>0</v>
      </c>
      <c r="M26" s="15">
        <f t="shared" si="3"/>
        <v>0</v>
      </c>
      <c r="N26" s="15">
        <f>SUM(B26:M26)</f>
        <v>0</v>
      </c>
      <c r="O26" s="29"/>
    </row>
    <row r="27" spans="1:15" s="6" customFormat="1">
      <c r="A27" s="13" t="s">
        <v>39</v>
      </c>
      <c r="B27" s="12">
        <f t="shared" ref="B27:N27" si="4">SUM(B23:B26)</f>
        <v>955008</v>
      </c>
      <c r="C27" s="12">
        <f t="shared" si="4"/>
        <v>1764351</v>
      </c>
      <c r="D27" s="12">
        <f t="shared" si="4"/>
        <v>3111818</v>
      </c>
      <c r="E27" s="12">
        <f t="shared" si="4"/>
        <v>2716890</v>
      </c>
      <c r="F27" s="12">
        <f t="shared" si="4"/>
        <v>1674274</v>
      </c>
      <c r="G27" s="12">
        <f t="shared" si="4"/>
        <v>1923509</v>
      </c>
      <c r="H27" s="12">
        <f t="shared" si="4"/>
        <v>1781589</v>
      </c>
      <c r="I27" s="12">
        <f t="shared" si="4"/>
        <v>2658148</v>
      </c>
      <c r="J27" s="12">
        <f t="shared" si="4"/>
        <v>2189378</v>
      </c>
      <c r="K27" s="12">
        <f t="shared" si="4"/>
        <v>2292362</v>
      </c>
      <c r="L27" s="12">
        <f t="shared" si="4"/>
        <v>1713003</v>
      </c>
      <c r="M27" s="12">
        <f>SUM(M23:M26)</f>
        <v>938691</v>
      </c>
      <c r="N27" s="12">
        <f t="shared" si="4"/>
        <v>23719021</v>
      </c>
      <c r="O27" s="29"/>
    </row>
    <row r="28" spans="1:15" s="6" customFormat="1" ht="14.45" customHeight="1">
      <c r="B28" s="73">
        <f>+B27/B9</f>
        <v>0.54153664698060411</v>
      </c>
      <c r="C28" s="73">
        <f t="shared" ref="C28:N28" si="5">+C27/C9</f>
        <v>0.39853911615104065</v>
      </c>
      <c r="D28" s="73">
        <f t="shared" si="5"/>
        <v>0.51172834187031202</v>
      </c>
      <c r="E28" s="73">
        <f t="shared" si="5"/>
        <v>0.6443870947543533</v>
      </c>
      <c r="F28" s="73">
        <f t="shared" si="5"/>
        <v>0.64324100455189503</v>
      </c>
      <c r="G28" s="73">
        <f t="shared" si="5"/>
        <v>0.66837126312369588</v>
      </c>
      <c r="H28" s="73">
        <f t="shared" si="5"/>
        <v>0.43264934520584603</v>
      </c>
      <c r="I28" s="73">
        <f t="shared" si="5"/>
        <v>0.61134030624190161</v>
      </c>
      <c r="J28" s="73">
        <f t="shared" si="5"/>
        <v>0.66222937673468696</v>
      </c>
      <c r="K28" s="73">
        <f t="shared" si="5"/>
        <v>0.6324809340698605</v>
      </c>
      <c r="L28" s="73">
        <f t="shared" si="5"/>
        <v>0.61621118200105329</v>
      </c>
      <c r="M28" s="73">
        <f t="shared" si="5"/>
        <v>0.54806104105154929</v>
      </c>
      <c r="N28" s="73">
        <f t="shared" si="5"/>
        <v>0.56665967948673235</v>
      </c>
    </row>
    <row r="29" spans="1:15" s="6" customFormat="1" hidden="1">
      <c r="A29" s="13" t="s">
        <v>40</v>
      </c>
      <c r="B29" s="7"/>
      <c r="C29" s="7"/>
      <c r="D29" s="7"/>
      <c r="E29" s="7"/>
      <c r="F29" s="7"/>
      <c r="G29" s="7"/>
      <c r="H29" s="7"/>
      <c r="I29" s="7"/>
      <c r="J29" s="7"/>
      <c r="K29" s="7"/>
      <c r="L29" s="7"/>
      <c r="M29" s="7"/>
    </row>
    <row r="30" spans="1:15" s="6" customFormat="1" hidden="1">
      <c r="A30" s="6" t="s">
        <v>93</v>
      </c>
      <c r="B30" s="53">
        <v>550190</v>
      </c>
      <c r="C30" s="53">
        <v>644844</v>
      </c>
      <c r="D30" s="53">
        <v>737654</v>
      </c>
      <c r="E30" s="53">
        <v>873804</v>
      </c>
      <c r="F30" s="53">
        <v>655473</v>
      </c>
      <c r="G30" s="53">
        <v>645132</v>
      </c>
      <c r="H30" s="53">
        <v>699380</v>
      </c>
      <c r="I30" s="53">
        <v>767189</v>
      </c>
      <c r="J30" s="53">
        <v>740529</v>
      </c>
      <c r="K30" s="53">
        <v>823718</v>
      </c>
      <c r="L30" s="53">
        <v>672632</v>
      </c>
      <c r="M30" s="53">
        <v>481272</v>
      </c>
      <c r="N30" s="7">
        <f>SUM(B30:M30)</f>
        <v>8291817</v>
      </c>
      <c r="O30" s="29"/>
    </row>
    <row r="31" spans="1:15" s="6" customFormat="1" hidden="1">
      <c r="A31" s="6" t="s">
        <v>42</v>
      </c>
      <c r="B31" s="53">
        <v>192847</v>
      </c>
      <c r="C31" s="53">
        <v>222888</v>
      </c>
      <c r="D31" s="53">
        <v>222552</v>
      </c>
      <c r="E31" s="53">
        <v>253635</v>
      </c>
      <c r="F31" s="53">
        <v>213768</v>
      </c>
      <c r="G31" s="53">
        <v>212033</v>
      </c>
      <c r="H31" s="53">
        <v>235832</v>
      </c>
      <c r="I31" s="53">
        <v>221244</v>
      </c>
      <c r="J31" s="53">
        <v>220622</v>
      </c>
      <c r="K31" s="53">
        <v>249552</v>
      </c>
      <c r="L31" s="53">
        <v>214590</v>
      </c>
      <c r="M31" s="53">
        <v>210384</v>
      </c>
      <c r="N31" s="7">
        <f>SUM(B31:M31)</f>
        <v>2669947</v>
      </c>
      <c r="O31" s="29"/>
    </row>
    <row r="32" spans="1:15" s="6" customFormat="1" ht="15" hidden="1">
      <c r="A32" s="6" t="s">
        <v>38</v>
      </c>
      <c r="B32" s="68"/>
      <c r="C32" s="68"/>
      <c r="D32" s="68"/>
      <c r="E32" s="68"/>
      <c r="F32" s="68"/>
      <c r="G32" s="68"/>
      <c r="H32" s="68"/>
      <c r="I32" s="68"/>
      <c r="J32" s="68"/>
      <c r="K32" s="68"/>
      <c r="L32" s="68"/>
      <c r="M32" s="68"/>
      <c r="N32" s="7">
        <f>SUM(B32:M32)</f>
        <v>0</v>
      </c>
      <c r="O32" s="29"/>
    </row>
    <row r="33" spans="1:16" s="6" customFormat="1" hidden="1">
      <c r="B33" s="15"/>
      <c r="C33" s="15"/>
      <c r="D33" s="15"/>
      <c r="E33" s="15"/>
      <c r="F33" s="15"/>
      <c r="G33" s="15"/>
      <c r="H33" s="15"/>
      <c r="I33" s="15"/>
      <c r="J33" s="15"/>
      <c r="K33" s="15"/>
      <c r="L33" s="15"/>
      <c r="M33" s="15"/>
      <c r="N33" s="15">
        <f>SUM(B33:M33)</f>
        <v>0</v>
      </c>
      <c r="O33" s="29"/>
    </row>
    <row r="34" spans="1:16" s="6" customFormat="1">
      <c r="A34" s="13" t="s">
        <v>43</v>
      </c>
      <c r="B34" s="12">
        <f t="shared" ref="B34:N34" si="6">SUM(B30:B33)</f>
        <v>743037</v>
      </c>
      <c r="C34" s="12">
        <f t="shared" si="6"/>
        <v>867732</v>
      </c>
      <c r="D34" s="12">
        <f t="shared" si="6"/>
        <v>960206</v>
      </c>
      <c r="E34" s="12">
        <f t="shared" si="6"/>
        <v>1127439</v>
      </c>
      <c r="F34" s="12">
        <f t="shared" si="6"/>
        <v>869241</v>
      </c>
      <c r="G34" s="12">
        <f t="shared" si="6"/>
        <v>857165</v>
      </c>
      <c r="H34" s="12">
        <f t="shared" si="6"/>
        <v>935212</v>
      </c>
      <c r="I34" s="12">
        <f t="shared" si="6"/>
        <v>988433</v>
      </c>
      <c r="J34" s="12">
        <f t="shared" si="6"/>
        <v>961151</v>
      </c>
      <c r="K34" s="12">
        <f t="shared" si="6"/>
        <v>1073270</v>
      </c>
      <c r="L34" s="12">
        <f t="shared" si="6"/>
        <v>887222</v>
      </c>
      <c r="M34" s="12">
        <f t="shared" si="6"/>
        <v>691656</v>
      </c>
      <c r="N34" s="12">
        <f t="shared" si="6"/>
        <v>10961764</v>
      </c>
      <c r="O34" s="29"/>
    </row>
    <row r="35" spans="1:16" s="6" customFormat="1">
      <c r="B35" s="7"/>
      <c r="C35" s="7"/>
      <c r="D35" s="7"/>
      <c r="E35" s="7"/>
      <c r="F35" s="7"/>
      <c r="G35" s="7"/>
      <c r="H35" s="7"/>
      <c r="I35" s="7"/>
      <c r="J35" s="7"/>
      <c r="K35" s="7"/>
      <c r="L35" s="7"/>
      <c r="M35" s="7"/>
    </row>
    <row r="36" spans="1:16" s="6" customFormat="1" hidden="1">
      <c r="A36" s="13" t="s">
        <v>44</v>
      </c>
      <c r="B36" s="7"/>
      <c r="C36" s="7"/>
      <c r="D36" s="7"/>
      <c r="E36" s="7"/>
      <c r="F36" s="7"/>
      <c r="G36" s="7"/>
      <c r="H36" s="7"/>
      <c r="I36" s="7"/>
      <c r="J36" s="7"/>
      <c r="K36" s="7"/>
      <c r="L36" s="7"/>
      <c r="M36" s="7"/>
    </row>
    <row r="37" spans="1:16" s="6" customFormat="1" hidden="1">
      <c r="A37" s="6" t="s">
        <v>45</v>
      </c>
      <c r="B37" s="53">
        <v>1292386</v>
      </c>
      <c r="C37" s="53">
        <v>1363232</v>
      </c>
      <c r="D37" s="53">
        <v>1567865</v>
      </c>
      <c r="E37" s="53">
        <v>1759651</v>
      </c>
      <c r="F37" s="53">
        <v>1435895</v>
      </c>
      <c r="G37" s="66">
        <v>1630908</v>
      </c>
      <c r="H37" s="66">
        <v>1457121</v>
      </c>
      <c r="I37" s="66">
        <v>1632531</v>
      </c>
      <c r="J37" s="66">
        <v>1545361</v>
      </c>
      <c r="K37" s="53">
        <v>1699036</v>
      </c>
      <c r="L37" s="53">
        <v>1429774</v>
      </c>
      <c r="M37" s="53">
        <v>1131406</v>
      </c>
      <c r="N37" s="7">
        <f>SUM(B37:M37)</f>
        <v>17945166</v>
      </c>
      <c r="O37" s="29"/>
    </row>
    <row r="38" spans="1:16" s="6" customFormat="1" hidden="1">
      <c r="A38" s="6" t="s">
        <v>46</v>
      </c>
      <c r="B38" s="7">
        <f>-B34</f>
        <v>-743037</v>
      </c>
      <c r="C38" s="7">
        <f t="shared" ref="C38:M38" si="7">-C34</f>
        <v>-867732</v>
      </c>
      <c r="D38" s="7">
        <f t="shared" si="7"/>
        <v>-960206</v>
      </c>
      <c r="E38" s="7">
        <f t="shared" si="7"/>
        <v>-1127439</v>
      </c>
      <c r="F38" s="7">
        <f t="shared" si="7"/>
        <v>-869241</v>
      </c>
      <c r="G38" s="7">
        <f t="shared" si="7"/>
        <v>-857165</v>
      </c>
      <c r="H38" s="7">
        <f t="shared" si="7"/>
        <v>-935212</v>
      </c>
      <c r="I38" s="7">
        <f t="shared" si="7"/>
        <v>-988433</v>
      </c>
      <c r="J38" s="7">
        <f t="shared" si="7"/>
        <v>-961151</v>
      </c>
      <c r="K38" s="7">
        <f t="shared" si="7"/>
        <v>-1073270</v>
      </c>
      <c r="L38" s="7">
        <f t="shared" si="7"/>
        <v>-887222</v>
      </c>
      <c r="M38" s="7">
        <f t="shared" si="7"/>
        <v>-691656</v>
      </c>
      <c r="N38" s="7">
        <f>SUM(B38:M38)</f>
        <v>-10961764</v>
      </c>
      <c r="O38" s="29"/>
    </row>
    <row r="39" spans="1:16" s="6" customFormat="1" hidden="1">
      <c r="A39" s="6" t="s">
        <v>47</v>
      </c>
      <c r="B39" s="72">
        <v>-79744</v>
      </c>
      <c r="C39" s="72">
        <v>-79744</v>
      </c>
      <c r="D39" s="72">
        <v>-86637</v>
      </c>
      <c r="E39" s="72">
        <v>-80973</v>
      </c>
      <c r="F39" s="72">
        <v>-81098</v>
      </c>
      <c r="G39" s="72">
        <v>-81098</v>
      </c>
      <c r="H39" s="72">
        <v>-81832</v>
      </c>
      <c r="I39" s="72">
        <v>-81832</v>
      </c>
      <c r="J39" s="72">
        <v>-81832</v>
      </c>
      <c r="K39" s="72">
        <v>-82780</v>
      </c>
      <c r="L39" s="72">
        <v>-82780</v>
      </c>
      <c r="M39" s="72">
        <v>-81945</v>
      </c>
      <c r="N39" s="7">
        <f>SUM(B39:M39)</f>
        <v>-982295</v>
      </c>
      <c r="O39" s="29"/>
    </row>
    <row r="40" spans="1:16" s="6" customFormat="1" hidden="1">
      <c r="A40" s="6" t="s">
        <v>78</v>
      </c>
      <c r="B40" s="53"/>
      <c r="C40" s="53"/>
      <c r="D40" s="53"/>
      <c r="E40" s="53"/>
      <c r="F40" s="53"/>
      <c r="G40" s="53"/>
      <c r="H40" s="53"/>
      <c r="I40" s="53"/>
      <c r="J40" s="53"/>
      <c r="K40" s="53"/>
      <c r="L40" s="53"/>
      <c r="M40" s="53"/>
      <c r="N40" s="7">
        <f>SUM(B40:M40)</f>
        <v>0</v>
      </c>
      <c r="O40" s="29"/>
    </row>
    <row r="41" spans="1:16" s="6" customFormat="1" hidden="1">
      <c r="A41" s="6" t="s">
        <v>48</v>
      </c>
      <c r="B41" s="60">
        <v>-10000</v>
      </c>
      <c r="C41" s="60">
        <v>-10000</v>
      </c>
      <c r="D41" s="60">
        <v>-10000</v>
      </c>
      <c r="E41" s="60">
        <v>-10000</v>
      </c>
      <c r="F41" s="60">
        <v>-10000</v>
      </c>
      <c r="G41" s="60">
        <v>-10000</v>
      </c>
      <c r="H41" s="60">
        <v>-10000</v>
      </c>
      <c r="I41" s="60">
        <v>-10000</v>
      </c>
      <c r="J41" s="60">
        <v>-10300</v>
      </c>
      <c r="K41" s="60">
        <v>-10300</v>
      </c>
      <c r="L41" s="60">
        <v>-10300</v>
      </c>
      <c r="M41" s="60">
        <v>-10000</v>
      </c>
      <c r="N41" s="15">
        <f>SUM(B41:M41)</f>
        <v>-120900</v>
      </c>
      <c r="O41" s="29"/>
    </row>
    <row r="42" spans="1:16" s="6" customFormat="1">
      <c r="A42" s="13" t="s">
        <v>49</v>
      </c>
      <c r="B42" s="12">
        <f t="shared" ref="B42:N42" si="8">SUM(B37:B41)</f>
        <v>459605</v>
      </c>
      <c r="C42" s="12">
        <f t="shared" si="8"/>
        <v>405756</v>
      </c>
      <c r="D42" s="12">
        <f t="shared" si="8"/>
        <v>511022</v>
      </c>
      <c r="E42" s="12">
        <f t="shared" si="8"/>
        <v>541239</v>
      </c>
      <c r="F42" s="12">
        <f t="shared" si="8"/>
        <v>475556</v>
      </c>
      <c r="G42" s="12">
        <f t="shared" si="8"/>
        <v>682645</v>
      </c>
      <c r="H42" s="12">
        <f t="shared" si="8"/>
        <v>430077</v>
      </c>
      <c r="I42" s="12">
        <f t="shared" si="8"/>
        <v>552266</v>
      </c>
      <c r="J42" s="12">
        <f t="shared" si="8"/>
        <v>492078</v>
      </c>
      <c r="K42" s="12">
        <f t="shared" si="8"/>
        <v>532686</v>
      </c>
      <c r="L42" s="12">
        <f t="shared" si="8"/>
        <v>449472</v>
      </c>
      <c r="M42" s="12">
        <f t="shared" si="8"/>
        <v>347805</v>
      </c>
      <c r="N42" s="12">
        <f t="shared" si="8"/>
        <v>5880207</v>
      </c>
      <c r="O42" s="29"/>
    </row>
    <row r="43" spans="1:16">
      <c r="A43" s="1"/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2"/>
      <c r="N43" s="12"/>
      <c r="O43" s="6"/>
    </row>
    <row r="44" spans="1:16" hidden="1">
      <c r="A44" s="13" t="s">
        <v>50</v>
      </c>
      <c r="B44" s="53">
        <v>341767</v>
      </c>
      <c r="C44" s="53">
        <v>270679</v>
      </c>
      <c r="D44" s="53">
        <v>342435</v>
      </c>
      <c r="E44" s="53">
        <v>410056</v>
      </c>
      <c r="F44" s="53">
        <v>400329</v>
      </c>
      <c r="G44" s="53">
        <v>371389</v>
      </c>
      <c r="H44" s="53">
        <v>350631</v>
      </c>
      <c r="I44" s="53">
        <v>305031</v>
      </c>
      <c r="J44" s="53">
        <v>400807</v>
      </c>
      <c r="K44" s="53">
        <v>352963</v>
      </c>
      <c r="L44" s="53">
        <v>301088</v>
      </c>
      <c r="M44" s="53">
        <f>743355-270</f>
        <v>743085</v>
      </c>
      <c r="N44" s="12">
        <f>SUM(B44:M44)</f>
        <v>4590260</v>
      </c>
      <c r="O44" s="29"/>
      <c r="P44" s="25"/>
    </row>
    <row r="45" spans="1:16" hidden="1">
      <c r="A45" s="6" t="s">
        <v>107</v>
      </c>
      <c r="B45" s="22"/>
      <c r="C45" s="22"/>
      <c r="D45" s="22"/>
      <c r="E45" s="22"/>
      <c r="F45" s="22"/>
      <c r="G45" s="22"/>
      <c r="H45" s="22"/>
      <c r="I45" s="22"/>
      <c r="J45" s="22"/>
      <c r="K45" s="22"/>
      <c r="L45" s="22"/>
      <c r="M45" s="22"/>
      <c r="N45" s="22">
        <f>SUM(B45:M45)</f>
        <v>0</v>
      </c>
      <c r="O45" s="29"/>
    </row>
    <row r="46" spans="1:16">
      <c r="A46" s="1" t="s">
        <v>50</v>
      </c>
      <c r="B46" s="12">
        <f>SUM(B44:B45)</f>
        <v>341767</v>
      </c>
      <c r="C46" s="12">
        <f>SUM(C44:C45)</f>
        <v>270679</v>
      </c>
      <c r="D46" s="12">
        <f t="shared" ref="D46:N46" si="9">SUM(D44:D45)</f>
        <v>342435</v>
      </c>
      <c r="E46" s="12">
        <f t="shared" si="9"/>
        <v>410056</v>
      </c>
      <c r="F46" s="12">
        <f t="shared" si="9"/>
        <v>400329</v>
      </c>
      <c r="G46" s="12">
        <f t="shared" si="9"/>
        <v>371389</v>
      </c>
      <c r="H46" s="12">
        <f t="shared" si="9"/>
        <v>350631</v>
      </c>
      <c r="I46" s="12">
        <f t="shared" si="9"/>
        <v>305031</v>
      </c>
      <c r="J46" s="12">
        <f t="shared" si="9"/>
        <v>400807</v>
      </c>
      <c r="K46" s="12">
        <f t="shared" si="9"/>
        <v>352963</v>
      </c>
      <c r="L46" s="12">
        <f t="shared" si="9"/>
        <v>301088</v>
      </c>
      <c r="M46" s="12">
        <f t="shared" si="9"/>
        <v>743085</v>
      </c>
      <c r="N46" s="12">
        <f t="shared" si="9"/>
        <v>4590260</v>
      </c>
      <c r="O46" s="29"/>
    </row>
    <row r="47" spans="1:16">
      <c r="B47" s="7"/>
      <c r="C47" s="7"/>
      <c r="D47" s="7"/>
      <c r="E47" s="7"/>
      <c r="F47" s="7"/>
      <c r="G47" s="7"/>
      <c r="H47" s="7"/>
      <c r="I47" s="7"/>
      <c r="J47" s="7"/>
      <c r="K47" s="6"/>
      <c r="L47" s="6"/>
      <c r="M47" s="6"/>
      <c r="N47" s="6"/>
      <c r="O47" s="6"/>
    </row>
    <row r="48" spans="1:16">
      <c r="A48" s="13" t="s">
        <v>52</v>
      </c>
      <c r="B48" s="19">
        <f t="shared" ref="B48:N48" si="10">+B20+B34+B42+B46</f>
        <v>2352916</v>
      </c>
      <c r="C48" s="19">
        <f t="shared" si="10"/>
        <v>4206862</v>
      </c>
      <c r="D48" s="19">
        <f t="shared" si="10"/>
        <v>4782841</v>
      </c>
      <c r="E48" s="19">
        <f t="shared" si="10"/>
        <v>3578083</v>
      </c>
      <c r="F48" s="19">
        <f t="shared" si="10"/>
        <v>2673724</v>
      </c>
      <c r="G48" s="19">
        <f t="shared" si="10"/>
        <v>2865595</v>
      </c>
      <c r="H48" s="19">
        <f t="shared" si="10"/>
        <v>4052190</v>
      </c>
      <c r="I48" s="19">
        <f t="shared" si="10"/>
        <v>3535648</v>
      </c>
      <c r="J48" s="19">
        <f t="shared" si="10"/>
        <v>2970730</v>
      </c>
      <c r="K48" s="19">
        <f t="shared" si="10"/>
        <v>3290954</v>
      </c>
      <c r="L48" s="19">
        <f t="shared" si="10"/>
        <v>2704675</v>
      </c>
      <c r="M48" s="19">
        <f t="shared" si="10"/>
        <v>2556604</v>
      </c>
      <c r="N48" s="19">
        <f t="shared" si="10"/>
        <v>39570822</v>
      </c>
      <c r="O48" s="29"/>
    </row>
    <row r="49" spans="1:26">
      <c r="B49" s="7"/>
      <c r="C49" s="7"/>
      <c r="D49" s="7"/>
      <c r="E49" s="7"/>
      <c r="F49" s="7"/>
      <c r="G49" s="7"/>
      <c r="H49" s="7"/>
      <c r="I49" s="7"/>
      <c r="J49" s="7"/>
      <c r="K49" s="6"/>
      <c r="L49" s="6"/>
      <c r="M49" s="6"/>
      <c r="N49" s="6"/>
      <c r="O49" s="6"/>
    </row>
    <row r="50" spans="1:26">
      <c r="A50" s="1" t="s">
        <v>53</v>
      </c>
      <c r="B50" s="12">
        <f t="shared" ref="B50:M50" si="11">+B13-B48</f>
        <v>-588491</v>
      </c>
      <c r="C50" s="12">
        <f t="shared" si="11"/>
        <v>220282</v>
      </c>
      <c r="D50" s="12">
        <f t="shared" si="11"/>
        <v>1298155</v>
      </c>
      <c r="E50" s="12">
        <f t="shared" si="11"/>
        <v>638156</v>
      </c>
      <c r="F50" s="12">
        <f t="shared" si="11"/>
        <v>-70852</v>
      </c>
      <c r="G50" s="12">
        <f t="shared" si="11"/>
        <v>12310</v>
      </c>
      <c r="H50" s="12">
        <f t="shared" si="11"/>
        <v>65669</v>
      </c>
      <c r="I50" s="12">
        <f t="shared" si="11"/>
        <v>812418</v>
      </c>
      <c r="J50" s="12">
        <f t="shared" si="11"/>
        <v>335342</v>
      </c>
      <c r="K50" s="12">
        <f t="shared" si="11"/>
        <v>333443</v>
      </c>
      <c r="L50" s="12">
        <f t="shared" si="11"/>
        <v>75221</v>
      </c>
      <c r="M50" s="12">
        <f t="shared" si="11"/>
        <v>-843855</v>
      </c>
      <c r="N50" s="12">
        <f>SUM(B50:M50)</f>
        <v>2287798</v>
      </c>
      <c r="O50" s="7">
        <f>+N50+N39+N41</f>
        <v>1184603</v>
      </c>
    </row>
    <row r="51" spans="1:26" ht="7.5" customHeight="1">
      <c r="B51" s="7"/>
      <c r="C51" s="7"/>
      <c r="D51" s="7"/>
      <c r="E51" s="7"/>
      <c r="F51" s="7"/>
      <c r="G51" s="7"/>
      <c r="H51" s="7"/>
      <c r="I51" s="7"/>
      <c r="J51" s="7"/>
      <c r="K51" s="6"/>
      <c r="L51" s="6"/>
      <c r="M51" s="6"/>
      <c r="N51" s="6"/>
      <c r="O51" s="6"/>
    </row>
    <row r="52" spans="1:26">
      <c r="A52" s="1" t="s">
        <v>54</v>
      </c>
      <c r="B52" s="7"/>
      <c r="C52" s="7"/>
      <c r="D52" s="7"/>
      <c r="E52" s="7"/>
      <c r="F52" s="7"/>
      <c r="G52" s="7"/>
      <c r="H52" s="7"/>
      <c r="I52" s="7"/>
      <c r="J52" s="7"/>
      <c r="K52" s="6"/>
      <c r="L52" s="6"/>
      <c r="M52" s="6"/>
      <c r="N52" s="6"/>
      <c r="O52" s="6"/>
    </row>
    <row r="53" spans="1:26" s="6" customFormat="1">
      <c r="A53" s="6" t="s">
        <v>55</v>
      </c>
      <c r="B53" s="10">
        <v>21640</v>
      </c>
      <c r="C53" s="10">
        <v>45767</v>
      </c>
      <c r="D53" s="10">
        <v>200000</v>
      </c>
      <c r="E53" s="10">
        <v>100000</v>
      </c>
      <c r="F53" s="10">
        <v>10000</v>
      </c>
      <c r="G53" s="10">
        <v>100000</v>
      </c>
      <c r="H53" s="23">
        <v>10000</v>
      </c>
      <c r="I53" s="10">
        <v>75000</v>
      </c>
      <c r="J53" s="10">
        <v>50000</v>
      </c>
      <c r="K53" s="10">
        <v>10000</v>
      </c>
      <c r="L53" s="10">
        <v>10000</v>
      </c>
      <c r="M53" s="10">
        <v>265725</v>
      </c>
      <c r="N53" s="10">
        <f>SUM(B53:M53)</f>
        <v>898132</v>
      </c>
      <c r="O53" s="10">
        <v>930725</v>
      </c>
      <c r="P53" s="40">
        <f>+O53-N53</f>
        <v>32593</v>
      </c>
      <c r="Z53" s="40">
        <f>N53-P53+O53-N53</f>
        <v>898132</v>
      </c>
    </row>
    <row r="54" spans="1:26" s="6" customFormat="1">
      <c r="A54" s="6" t="s">
        <v>96</v>
      </c>
      <c r="B54" s="10"/>
      <c r="C54" s="10"/>
      <c r="D54" s="10"/>
      <c r="E54" s="10"/>
      <c r="F54" s="10">
        <v>90000</v>
      </c>
      <c r="G54" s="10"/>
      <c r="H54" s="10"/>
      <c r="I54" s="10"/>
      <c r="J54" s="10"/>
      <c r="K54" s="10"/>
      <c r="L54" s="10"/>
      <c r="M54" s="10"/>
      <c r="N54" s="10">
        <f>SUM(B54:M54)</f>
        <v>90000</v>
      </c>
    </row>
    <row r="55" spans="1:26" s="6" customFormat="1">
      <c r="A55" s="6" t="s">
        <v>111</v>
      </c>
      <c r="B55" s="10">
        <v>348240</v>
      </c>
      <c r="C55" s="10"/>
      <c r="D55" s="10"/>
      <c r="E55" s="10"/>
      <c r="F55" s="10"/>
      <c r="G55" s="10"/>
      <c r="H55" s="10"/>
      <c r="I55" s="10"/>
      <c r="J55" s="10"/>
      <c r="K55" s="10"/>
      <c r="L55" s="10">
        <v>0</v>
      </c>
      <c r="M55" s="56"/>
      <c r="N55" s="10">
        <f>SUM(B55:M55)</f>
        <v>348240</v>
      </c>
    </row>
    <row r="56" spans="1:26" s="6" customFormat="1">
      <c r="A56" s="37" t="s">
        <v>58</v>
      </c>
      <c r="B56" s="7">
        <v>-15538.11</v>
      </c>
      <c r="C56" s="7">
        <v>-13830</v>
      </c>
      <c r="D56" s="7">
        <v>-25000</v>
      </c>
      <c r="E56" s="7">
        <v>-20000</v>
      </c>
      <c r="F56" s="7">
        <v>-20000</v>
      </c>
      <c r="G56" s="7">
        <v>-25000</v>
      </c>
      <c r="H56" s="7">
        <v>-20000</v>
      </c>
      <c r="I56" s="7">
        <v>-20000</v>
      </c>
      <c r="J56" s="7">
        <v>-25000</v>
      </c>
      <c r="K56" s="7">
        <v>-20000</v>
      </c>
      <c r="L56" s="7">
        <v>-20000</v>
      </c>
      <c r="M56" s="7">
        <v>-25000</v>
      </c>
      <c r="N56" s="7">
        <f>SUM(B56:M56)</f>
        <v>-249368.11</v>
      </c>
      <c r="O56" s="7">
        <v>412620</v>
      </c>
    </row>
    <row r="57" spans="1:26" s="6" customFormat="1">
      <c r="A57" s="6" t="s">
        <v>59</v>
      </c>
      <c r="B57" s="22">
        <v>-171741</v>
      </c>
      <c r="C57" s="22">
        <v>17619</v>
      </c>
      <c r="D57" s="22">
        <v>-25000</v>
      </c>
      <c r="E57" s="22">
        <v>-25000</v>
      </c>
      <c r="F57" s="22">
        <v>-25000</v>
      </c>
      <c r="G57" s="22">
        <v>-25000</v>
      </c>
      <c r="H57" s="22">
        <v>-25000</v>
      </c>
      <c r="I57" s="22">
        <v>-25000</v>
      </c>
      <c r="J57" s="22">
        <v>-25000</v>
      </c>
      <c r="K57" s="22">
        <v>-25000</v>
      </c>
      <c r="L57" s="22">
        <v>-25000</v>
      </c>
      <c r="M57" s="22">
        <v>-25000</v>
      </c>
      <c r="N57" s="22">
        <f>SUM(B57:M57)</f>
        <v>-404122</v>
      </c>
      <c r="O57" s="56">
        <v>306614</v>
      </c>
    </row>
    <row r="58" spans="1:26" s="6" customFormat="1">
      <c r="A58" s="13" t="s">
        <v>60</v>
      </c>
      <c r="B58" s="19">
        <f t="shared" ref="B58:N58" si="12">SUM(B53:B57)</f>
        <v>182600.89</v>
      </c>
      <c r="C58" s="19">
        <f t="shared" si="12"/>
        <v>49556</v>
      </c>
      <c r="D58" s="19">
        <f t="shared" si="12"/>
        <v>150000</v>
      </c>
      <c r="E58" s="19">
        <f t="shared" si="12"/>
        <v>55000</v>
      </c>
      <c r="F58" s="19">
        <f t="shared" si="12"/>
        <v>55000</v>
      </c>
      <c r="G58" s="19">
        <f t="shared" si="12"/>
        <v>50000</v>
      </c>
      <c r="H58" s="19">
        <f>SUM(H53:H57)</f>
        <v>-35000</v>
      </c>
      <c r="I58" s="19">
        <f t="shared" si="12"/>
        <v>30000</v>
      </c>
      <c r="J58" s="19">
        <f t="shared" si="12"/>
        <v>0</v>
      </c>
      <c r="K58" s="19">
        <f t="shared" si="12"/>
        <v>-35000</v>
      </c>
      <c r="L58" s="19">
        <f t="shared" si="12"/>
        <v>-35000</v>
      </c>
      <c r="M58" s="19">
        <f t="shared" si="12"/>
        <v>215725</v>
      </c>
      <c r="N58" s="19">
        <f t="shared" si="12"/>
        <v>682881.89000000013</v>
      </c>
      <c r="O58" s="29"/>
    </row>
    <row r="59" spans="1:26">
      <c r="B59" s="7"/>
      <c r="C59" s="7"/>
      <c r="D59" s="7"/>
      <c r="E59" s="7"/>
      <c r="F59" s="7"/>
      <c r="G59" s="7"/>
      <c r="H59" s="7"/>
      <c r="I59" s="7"/>
      <c r="J59" s="7"/>
      <c r="K59" s="7"/>
      <c r="L59" s="7"/>
      <c r="M59" s="7"/>
      <c r="N59" s="7"/>
      <c r="O59" s="6"/>
    </row>
    <row r="60" spans="1:26">
      <c r="A60" s="1" t="s">
        <v>61</v>
      </c>
      <c r="B60" s="12">
        <v>14357541</v>
      </c>
      <c r="C60" s="7"/>
      <c r="D60" s="7"/>
      <c r="E60" s="7"/>
      <c r="F60" s="7"/>
      <c r="G60" s="7"/>
      <c r="H60" s="7" t="s">
        <v>38</v>
      </c>
      <c r="I60" s="7"/>
      <c r="J60" s="7"/>
      <c r="K60" s="6"/>
      <c r="L60" s="6"/>
      <c r="M60" s="6"/>
      <c r="N60" s="6"/>
      <c r="O60" s="6"/>
    </row>
    <row r="61" spans="1:26">
      <c r="A61" s="13" t="s">
        <v>62</v>
      </c>
      <c r="B61" s="19">
        <f t="shared" ref="B61:N61" si="13">+B58+B48</f>
        <v>2535516.89</v>
      </c>
      <c r="C61" s="19">
        <f t="shared" si="13"/>
        <v>4256418</v>
      </c>
      <c r="D61" s="19">
        <f t="shared" si="13"/>
        <v>4932841</v>
      </c>
      <c r="E61" s="19">
        <f t="shared" si="13"/>
        <v>3633083</v>
      </c>
      <c r="F61" s="19">
        <f t="shared" si="13"/>
        <v>2728724</v>
      </c>
      <c r="G61" s="19">
        <f t="shared" si="13"/>
        <v>2915595</v>
      </c>
      <c r="H61" s="19">
        <f t="shared" si="13"/>
        <v>4017190</v>
      </c>
      <c r="I61" s="19">
        <f t="shared" si="13"/>
        <v>3565648</v>
      </c>
      <c r="J61" s="19">
        <f t="shared" si="13"/>
        <v>2970730</v>
      </c>
      <c r="K61" s="19">
        <f t="shared" si="13"/>
        <v>3255954</v>
      </c>
      <c r="L61" s="19">
        <f t="shared" si="13"/>
        <v>2669675</v>
      </c>
      <c r="M61" s="19">
        <f t="shared" si="13"/>
        <v>2772329</v>
      </c>
      <c r="N61" s="19">
        <f t="shared" si="13"/>
        <v>40253703.890000001</v>
      </c>
      <c r="O61" s="29"/>
    </row>
    <row r="62" spans="1:26" ht="13.5" thickBot="1">
      <c r="A62" s="13" t="s">
        <v>63</v>
      </c>
      <c r="B62" s="30">
        <f t="shared" ref="B62:N62" si="14">+B13-B61</f>
        <v>-771091.89000000013</v>
      </c>
      <c r="C62" s="30">
        <f t="shared" si="14"/>
        <v>170726</v>
      </c>
      <c r="D62" s="14">
        <f t="shared" si="14"/>
        <v>1148155</v>
      </c>
      <c r="E62" s="14">
        <f t="shared" si="14"/>
        <v>583156</v>
      </c>
      <c r="F62" s="14">
        <f t="shared" si="14"/>
        <v>-125852</v>
      </c>
      <c r="G62" s="14">
        <f t="shared" si="14"/>
        <v>-37690</v>
      </c>
      <c r="H62" s="14">
        <f t="shared" si="14"/>
        <v>100669</v>
      </c>
      <c r="I62" s="14">
        <f t="shared" si="14"/>
        <v>782418</v>
      </c>
      <c r="J62" s="14">
        <f t="shared" si="14"/>
        <v>335342</v>
      </c>
      <c r="K62" s="14">
        <f t="shared" si="14"/>
        <v>368443</v>
      </c>
      <c r="L62" s="14">
        <f t="shared" si="14"/>
        <v>110221</v>
      </c>
      <c r="M62" s="14">
        <f t="shared" si="14"/>
        <v>-1059580</v>
      </c>
      <c r="N62" s="14">
        <f t="shared" si="14"/>
        <v>1604916.1099999994</v>
      </c>
      <c r="O62" s="29"/>
    </row>
    <row r="63" spans="1:26" s="6" customFormat="1" ht="13.5" thickTop="1">
      <c r="A63" s="13" t="s">
        <v>64</v>
      </c>
      <c r="B63" s="32">
        <f>+B62</f>
        <v>-771091.89000000013</v>
      </c>
      <c r="C63" s="32">
        <f t="shared" ref="C63:M63" si="15">B63+C62</f>
        <v>-600365.89000000013</v>
      </c>
      <c r="D63" s="12">
        <f t="shared" si="15"/>
        <v>547789.10999999987</v>
      </c>
      <c r="E63" s="12">
        <f t="shared" si="15"/>
        <v>1130945.1099999999</v>
      </c>
      <c r="F63" s="12">
        <f t="shared" si="15"/>
        <v>1005093.1099999999</v>
      </c>
      <c r="G63" s="12">
        <f t="shared" si="15"/>
        <v>967403.10999999987</v>
      </c>
      <c r="H63" s="12">
        <f t="shared" si="15"/>
        <v>1068072.1099999999</v>
      </c>
      <c r="I63" s="12">
        <f t="shared" si="15"/>
        <v>1850490.1099999999</v>
      </c>
      <c r="J63" s="12">
        <f t="shared" si="15"/>
        <v>2185832.11</v>
      </c>
      <c r="K63" s="12">
        <f t="shared" si="15"/>
        <v>2554275.11</v>
      </c>
      <c r="L63" s="12">
        <f t="shared" si="15"/>
        <v>2664496.11</v>
      </c>
      <c r="M63" s="12">
        <f t="shared" si="15"/>
        <v>1604916.1099999999</v>
      </c>
      <c r="N63" s="12"/>
    </row>
    <row r="64" spans="1:26">
      <c r="A64" s="13" t="s">
        <v>65</v>
      </c>
      <c r="B64" s="12">
        <f t="shared" ref="B64:M64" si="16">+$B$60+B63</f>
        <v>13586449.109999999</v>
      </c>
      <c r="C64" s="12">
        <f t="shared" si="16"/>
        <v>13757175.109999999</v>
      </c>
      <c r="D64" s="12">
        <f t="shared" si="16"/>
        <v>14905330.109999999</v>
      </c>
      <c r="E64" s="12">
        <f t="shared" si="16"/>
        <v>15488486.109999999</v>
      </c>
      <c r="F64" s="12">
        <f t="shared" si="16"/>
        <v>15362634.109999999</v>
      </c>
      <c r="G64" s="12">
        <f t="shared" si="16"/>
        <v>15324944.109999999</v>
      </c>
      <c r="H64" s="12">
        <f t="shared" si="16"/>
        <v>15425613.109999999</v>
      </c>
      <c r="I64" s="12">
        <f t="shared" si="16"/>
        <v>16208031.109999999</v>
      </c>
      <c r="J64" s="12">
        <f t="shared" si="16"/>
        <v>16543373.109999999</v>
      </c>
      <c r="K64" s="12">
        <f t="shared" si="16"/>
        <v>16911816.109999999</v>
      </c>
      <c r="L64" s="12">
        <f t="shared" si="16"/>
        <v>17022037.109999999</v>
      </c>
      <c r="M64" s="12">
        <f t="shared" si="16"/>
        <v>15962457.109999999</v>
      </c>
      <c r="N64" s="12"/>
      <c r="O64" s="6"/>
    </row>
    <row r="65" spans="1:15">
      <c r="A65" s="6"/>
      <c r="B65" s="7"/>
      <c r="C65" s="7"/>
      <c r="D65" s="7"/>
      <c r="E65" s="7"/>
      <c r="F65" s="7"/>
      <c r="G65" s="7"/>
      <c r="H65" s="7"/>
      <c r="I65" s="7"/>
      <c r="J65" s="7"/>
      <c r="K65" s="6"/>
      <c r="L65" s="6"/>
      <c r="M65" s="6"/>
      <c r="N65" s="6"/>
      <c r="O65" s="6"/>
    </row>
    <row r="66" spans="1:15" s="6" customFormat="1">
      <c r="A66" s="17" t="s">
        <v>114</v>
      </c>
      <c r="B66" s="18"/>
      <c r="C66" s="18"/>
      <c r="D66" s="18"/>
      <c r="E66" s="18"/>
      <c r="F66" s="18"/>
      <c r="G66" s="18"/>
      <c r="H66" s="18"/>
      <c r="I66" s="18"/>
      <c r="J66" s="18"/>
      <c r="K66" s="18"/>
      <c r="L66" s="18"/>
      <c r="M66" s="18"/>
      <c r="N66" s="18"/>
    </row>
    <row r="67" spans="1:15" ht="13.5" thickBot="1">
      <c r="A67" s="13" t="s">
        <v>67</v>
      </c>
      <c r="B67" s="14">
        <v>-1440029</v>
      </c>
      <c r="C67" s="14">
        <v>-123812</v>
      </c>
      <c r="D67" s="14">
        <v>1148155</v>
      </c>
      <c r="E67" s="14">
        <v>583156</v>
      </c>
      <c r="F67" s="14">
        <v>-125852</v>
      </c>
      <c r="G67" s="14">
        <v>-37690</v>
      </c>
      <c r="H67" s="14">
        <v>100669</v>
      </c>
      <c r="I67" s="14">
        <v>782418</v>
      </c>
      <c r="J67" s="14">
        <v>335342</v>
      </c>
      <c r="K67" s="14">
        <v>368443</v>
      </c>
      <c r="L67" s="14">
        <v>110221</v>
      </c>
      <c r="M67" s="14">
        <v>-1059580</v>
      </c>
      <c r="N67" s="16"/>
      <c r="O67" s="6"/>
    </row>
    <row r="68" spans="1:15" ht="13.5" thickTop="1">
      <c r="A68" s="13" t="s">
        <v>64</v>
      </c>
      <c r="B68" s="12">
        <f>+B67</f>
        <v>-1440029</v>
      </c>
      <c r="C68" s="12">
        <f>+B68+C67</f>
        <v>-1563841</v>
      </c>
      <c r="D68" s="12">
        <f t="shared" ref="D68:M68" si="17">+C68+D67</f>
        <v>-415686</v>
      </c>
      <c r="E68" s="12">
        <f t="shared" si="17"/>
        <v>167470</v>
      </c>
      <c r="F68" s="12">
        <f t="shared" si="17"/>
        <v>41618</v>
      </c>
      <c r="G68" s="12">
        <f t="shared" si="17"/>
        <v>3928</v>
      </c>
      <c r="H68" s="12">
        <f t="shared" si="17"/>
        <v>104597</v>
      </c>
      <c r="I68" s="12">
        <f t="shared" si="17"/>
        <v>887015</v>
      </c>
      <c r="J68" s="12">
        <f t="shared" si="17"/>
        <v>1222357</v>
      </c>
      <c r="K68" s="12">
        <f t="shared" si="17"/>
        <v>1590800</v>
      </c>
      <c r="L68" s="12">
        <f t="shared" si="17"/>
        <v>1701021</v>
      </c>
      <c r="M68" s="12">
        <f t="shared" si="17"/>
        <v>641441</v>
      </c>
      <c r="N68" s="16"/>
      <c r="O68" s="6"/>
    </row>
    <row r="69" spans="1:15">
      <c r="A69" s="13" t="s">
        <v>65</v>
      </c>
      <c r="B69" s="12">
        <v>12917512</v>
      </c>
      <c r="C69" s="12">
        <v>12793700</v>
      </c>
      <c r="D69" s="12">
        <v>13941855</v>
      </c>
      <c r="E69" s="12">
        <v>14525011</v>
      </c>
      <c r="F69" s="12">
        <v>14399159</v>
      </c>
      <c r="G69" s="12">
        <v>14361469</v>
      </c>
      <c r="H69" s="12">
        <v>14462138</v>
      </c>
      <c r="I69" s="12">
        <v>15244556</v>
      </c>
      <c r="J69" s="12">
        <v>15579898</v>
      </c>
      <c r="K69" s="12">
        <v>15948341</v>
      </c>
      <c r="L69" s="12">
        <v>16058562</v>
      </c>
      <c r="M69" s="12">
        <v>14998982</v>
      </c>
      <c r="N69" s="12"/>
      <c r="O69" s="6"/>
    </row>
    <row r="70" spans="1:15">
      <c r="A70" s="6"/>
      <c r="B70" s="6"/>
      <c r="C70" s="6"/>
      <c r="D70" s="6"/>
      <c r="E70" s="6"/>
      <c r="F70" s="6"/>
      <c r="H70" s="6"/>
      <c r="I70" s="6"/>
      <c r="J70" s="6"/>
      <c r="K70" s="6"/>
      <c r="L70" s="6"/>
      <c r="M70" s="6"/>
      <c r="N70" s="6"/>
      <c r="O70" s="6"/>
    </row>
    <row r="71" spans="1:15">
      <c r="A71" s="24" t="s">
        <v>68</v>
      </c>
      <c r="B71" s="18"/>
      <c r="C71" s="18"/>
      <c r="D71" s="18"/>
      <c r="E71" s="18"/>
      <c r="F71" s="18"/>
      <c r="G71" s="18"/>
      <c r="H71" s="18"/>
      <c r="I71" s="18"/>
      <c r="J71" s="18"/>
      <c r="K71" s="18"/>
      <c r="L71" s="18"/>
      <c r="M71" s="18"/>
      <c r="N71" s="18"/>
      <c r="O71" s="6"/>
    </row>
    <row r="72" spans="1:15">
      <c r="A72" s="13" t="s">
        <v>63</v>
      </c>
      <c r="B72" s="31">
        <f t="shared" ref="B72:N74" si="18">+B62-B67</f>
        <v>668937.10999999987</v>
      </c>
      <c r="C72" s="31">
        <f t="shared" si="18"/>
        <v>294538</v>
      </c>
      <c r="D72" s="31">
        <f t="shared" si="18"/>
        <v>0</v>
      </c>
      <c r="E72" s="31">
        <f t="shared" si="18"/>
        <v>0</v>
      </c>
      <c r="F72" s="31">
        <f t="shared" si="18"/>
        <v>0</v>
      </c>
      <c r="G72" s="31">
        <f t="shared" si="18"/>
        <v>0</v>
      </c>
      <c r="H72" s="31">
        <f t="shared" si="18"/>
        <v>0</v>
      </c>
      <c r="I72" s="31">
        <f t="shared" si="18"/>
        <v>0</v>
      </c>
      <c r="J72" s="31">
        <f t="shared" si="18"/>
        <v>0</v>
      </c>
      <c r="K72" s="31">
        <f t="shared" si="18"/>
        <v>0</v>
      </c>
      <c r="L72" s="31">
        <f t="shared" si="18"/>
        <v>0</v>
      </c>
      <c r="M72" s="31">
        <f t="shared" si="18"/>
        <v>0</v>
      </c>
      <c r="N72" s="6"/>
      <c r="O72" s="6"/>
    </row>
    <row r="73" spans="1:15" s="6" customFormat="1">
      <c r="A73" s="13" t="s">
        <v>64</v>
      </c>
      <c r="B73" s="31">
        <f t="shared" si="18"/>
        <v>668937.10999999987</v>
      </c>
      <c r="C73" s="31">
        <f t="shared" si="18"/>
        <v>963475.10999999987</v>
      </c>
      <c r="D73" s="31">
        <f t="shared" si="18"/>
        <v>963475.10999999987</v>
      </c>
      <c r="E73" s="31">
        <f t="shared" si="18"/>
        <v>963475.10999999987</v>
      </c>
      <c r="F73" s="31">
        <f t="shared" si="18"/>
        <v>963475.10999999987</v>
      </c>
      <c r="G73" s="31">
        <f t="shared" si="18"/>
        <v>963475.10999999987</v>
      </c>
      <c r="H73" s="31">
        <f t="shared" si="18"/>
        <v>963475.10999999987</v>
      </c>
      <c r="I73" s="31">
        <f t="shared" si="18"/>
        <v>963475.10999999987</v>
      </c>
      <c r="J73" s="31">
        <f t="shared" si="18"/>
        <v>963475.10999999987</v>
      </c>
      <c r="K73" s="31">
        <f t="shared" si="18"/>
        <v>963475.10999999987</v>
      </c>
      <c r="L73" s="31">
        <f t="shared" si="18"/>
        <v>963475.10999999987</v>
      </c>
      <c r="M73" s="31">
        <f t="shared" si="18"/>
        <v>963475.10999999987</v>
      </c>
      <c r="N73" s="16">
        <f t="shared" si="18"/>
        <v>0</v>
      </c>
    </row>
    <row r="74" spans="1:15">
      <c r="A74" s="1" t="s">
        <v>65</v>
      </c>
      <c r="B74" s="16">
        <f t="shared" si="18"/>
        <v>668937.1099999994</v>
      </c>
      <c r="C74" s="16">
        <f t="shared" si="18"/>
        <v>963475.1099999994</v>
      </c>
      <c r="D74" s="16">
        <f t="shared" si="18"/>
        <v>963475.1099999994</v>
      </c>
      <c r="E74" s="16">
        <f t="shared" si="18"/>
        <v>963475.1099999994</v>
      </c>
      <c r="F74" s="16">
        <f t="shared" si="18"/>
        <v>963475.1099999994</v>
      </c>
      <c r="G74" s="16">
        <f t="shared" si="18"/>
        <v>963475.1099999994</v>
      </c>
      <c r="H74" s="16">
        <f t="shared" si="18"/>
        <v>963475.1099999994</v>
      </c>
      <c r="I74" s="16">
        <f t="shared" si="18"/>
        <v>963475.1099999994</v>
      </c>
      <c r="J74" s="16">
        <f t="shared" si="18"/>
        <v>963475.1099999994</v>
      </c>
      <c r="K74" s="16">
        <f t="shared" si="18"/>
        <v>963475.1099999994</v>
      </c>
      <c r="L74" s="16">
        <f t="shared" si="18"/>
        <v>963475.1099999994</v>
      </c>
      <c r="M74" s="16">
        <f t="shared" si="18"/>
        <v>963475.1099999994</v>
      </c>
      <c r="N74" s="16"/>
      <c r="O74" s="6"/>
    </row>
    <row r="75" spans="1:15">
      <c r="B75" s="6"/>
      <c r="C75" s="6"/>
      <c r="D75" s="6"/>
      <c r="E75" s="6"/>
      <c r="F75" s="6"/>
      <c r="H75" s="6"/>
      <c r="I75" s="6"/>
      <c r="J75" s="6"/>
      <c r="K75" s="6"/>
      <c r="L75" s="6"/>
      <c r="M75" s="6"/>
      <c r="N75" s="6"/>
    </row>
    <row r="76" spans="1:15">
      <c r="A76" s="1"/>
      <c r="B76" s="4"/>
      <c r="C76" s="8"/>
      <c r="D76" s="8"/>
      <c r="E76" s="8"/>
      <c r="F76" s="8"/>
      <c r="H76" s="20"/>
      <c r="J76" s="6"/>
      <c r="K76" s="6"/>
    </row>
    <row r="77" spans="1:15">
      <c r="A77" s="1"/>
      <c r="B77" s="4"/>
      <c r="C77" s="8"/>
      <c r="D77" s="8"/>
      <c r="E77" s="8"/>
      <c r="F77" s="8"/>
      <c r="H77" s="20"/>
      <c r="J77" s="6"/>
    </row>
    <row r="78" spans="1:15">
      <c r="A78" s="1"/>
      <c r="B78" s="4"/>
      <c r="D78" s="8"/>
      <c r="E78" s="8"/>
      <c r="F78" s="8"/>
      <c r="H78" s="61"/>
      <c r="J78" s="6"/>
    </row>
    <row r="79" spans="1:15">
      <c r="E79" s="6"/>
      <c r="H79" s="20"/>
      <c r="J79" s="6"/>
      <c r="N79" s="25"/>
    </row>
    <row r="80" spans="1:15">
      <c r="A80" t="s">
        <v>69</v>
      </c>
      <c r="B80" t="s">
        <v>69</v>
      </c>
      <c r="C80" t="s">
        <v>69</v>
      </c>
      <c r="D80" t="s">
        <v>69</v>
      </c>
      <c r="E80" s="6" t="s">
        <v>69</v>
      </c>
      <c r="F80" t="s">
        <v>69</v>
      </c>
      <c r="G80" s="6" t="s">
        <v>69</v>
      </c>
      <c r="H80" t="s">
        <v>69</v>
      </c>
      <c r="I80" t="s">
        <v>69</v>
      </c>
      <c r="J80" s="6" t="s">
        <v>69</v>
      </c>
      <c r="K80" t="s">
        <v>69</v>
      </c>
      <c r="L80" t="s">
        <v>69</v>
      </c>
      <c r="M80" t="s">
        <v>69</v>
      </c>
      <c r="N80" t="s">
        <v>69</v>
      </c>
    </row>
  </sheetData>
  <pageMargins left="0.28000000000000003" right="0.25" top="0.99" bottom="0.75" header="0.63" footer="0.23"/>
  <pageSetup scale="60" orientation="landscape" r:id="rId1"/>
  <headerFooter alignWithMargins="0">
    <oddHeader xml:space="preserve">&amp;C&amp;"Arial,Bold"&amp;11 49ER SHOPS, INC.
&amp;UFY2017/2018 OPERATIONAL CASH FLOW </oddHeader>
    <oddFooter xml:space="preserve">&amp;CCash Flow - FY2017/2018
August 2018
</oddFooter>
  </headerFooter>
  <legacyDrawing r:id="rId2"/>
</worksheet>
</file>

<file path=xl/worksheets/sheet3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92D050"/>
    <pageSetUpPr fitToPage="1"/>
  </sheetPr>
  <dimension ref="A1:Z80"/>
  <sheetViews>
    <sheetView showGridLines="0" topLeftCell="A20" zoomScale="60" zoomScaleNormal="60" workbookViewId="0">
      <selection activeCell="D6" sqref="D6"/>
    </sheetView>
  </sheetViews>
  <sheetFormatPr defaultRowHeight="12.75"/>
  <cols>
    <col min="1" max="1" width="35.42578125" customWidth="1"/>
    <col min="2" max="2" width="14" customWidth="1"/>
    <col min="3" max="3" width="14.5703125" customWidth="1"/>
    <col min="4" max="4" width="14" customWidth="1"/>
    <col min="5" max="6" width="13.5703125" customWidth="1"/>
    <col min="7" max="7" width="16.5703125" style="6" customWidth="1"/>
    <col min="8" max="8" width="14.140625" customWidth="1"/>
    <col min="9" max="9" width="14.42578125" customWidth="1"/>
    <col min="10" max="10" width="13.85546875" customWidth="1"/>
    <col min="11" max="11" width="15.140625" customWidth="1"/>
    <col min="12" max="12" width="13.5703125" customWidth="1"/>
    <col min="13" max="13" width="14.42578125" customWidth="1"/>
    <col min="14" max="14" width="16.5703125" customWidth="1"/>
    <col min="15" max="15" width="12.42578125" bestFit="1" customWidth="1"/>
    <col min="16" max="16" width="14.140625" customWidth="1"/>
  </cols>
  <sheetData>
    <row r="1" spans="1:15" ht="13.5" thickBot="1">
      <c r="A1" s="46" t="s">
        <v>112</v>
      </c>
      <c r="E1" s="6"/>
      <c r="F1" s="6"/>
      <c r="J1" s="6"/>
      <c r="K1" s="6"/>
      <c r="N1" s="3"/>
    </row>
    <row r="2" spans="1:15">
      <c r="B2" s="45" t="s">
        <v>24</v>
      </c>
      <c r="C2" s="45" t="s">
        <v>24</v>
      </c>
      <c r="D2" s="45" t="s">
        <v>24</v>
      </c>
      <c r="E2" s="45" t="s">
        <v>76</v>
      </c>
      <c r="F2" s="45" t="s">
        <v>76</v>
      </c>
      <c r="G2" s="45" t="s">
        <v>76</v>
      </c>
      <c r="H2" s="45" t="s">
        <v>76</v>
      </c>
      <c r="I2" s="45" t="s">
        <v>76</v>
      </c>
      <c r="J2" s="45" t="s">
        <v>76</v>
      </c>
      <c r="K2" s="45" t="s">
        <v>76</v>
      </c>
      <c r="L2" s="45" t="s">
        <v>76</v>
      </c>
      <c r="M2" s="45" t="s">
        <v>76</v>
      </c>
      <c r="N2" s="28" t="s">
        <v>25</v>
      </c>
    </row>
    <row r="3" spans="1:15" s="5" customFormat="1">
      <c r="B3" s="11">
        <v>43283</v>
      </c>
      <c r="C3" s="11">
        <v>43314</v>
      </c>
      <c r="D3" s="11">
        <v>43345</v>
      </c>
      <c r="E3" s="11">
        <v>43375</v>
      </c>
      <c r="F3" s="11">
        <v>43406</v>
      </c>
      <c r="G3" s="11">
        <v>43436</v>
      </c>
      <c r="H3" s="11">
        <v>43467</v>
      </c>
      <c r="I3" s="11">
        <v>43498</v>
      </c>
      <c r="J3" s="11">
        <v>43526</v>
      </c>
      <c r="K3" s="11">
        <v>43557</v>
      </c>
      <c r="L3" s="11">
        <v>43587</v>
      </c>
      <c r="M3" s="11">
        <v>43618</v>
      </c>
      <c r="N3" s="57" t="s">
        <v>113</v>
      </c>
    </row>
    <row r="4" spans="1:15" hidden="1">
      <c r="A4" s="1" t="s">
        <v>27</v>
      </c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>
        <f>SUM(B4:M4)</f>
        <v>0</v>
      </c>
      <c r="O4" s="29"/>
    </row>
    <row r="5" spans="1:15" s="6" customFormat="1" hidden="1">
      <c r="A5" s="6" t="s">
        <v>28</v>
      </c>
      <c r="B5" s="53">
        <v>1664716</v>
      </c>
      <c r="C5" s="53">
        <v>4334056</v>
      </c>
      <c r="D5" s="53">
        <v>4037246</v>
      </c>
      <c r="E5" s="53">
        <v>4100133</v>
      </c>
      <c r="F5" s="53">
        <v>2497881</v>
      </c>
      <c r="G5" s="53">
        <v>2776160</v>
      </c>
      <c r="H5" s="53">
        <v>4028939</v>
      </c>
      <c r="I5" s="53">
        <v>4052325</v>
      </c>
      <c r="J5" s="53">
        <v>3199134</v>
      </c>
      <c r="K5" s="53">
        <v>3507287</v>
      </c>
      <c r="L5" s="53">
        <v>2668320</v>
      </c>
      <c r="M5" s="53">
        <v>1617618</v>
      </c>
      <c r="N5" s="12">
        <f>SUM(B5:M5)</f>
        <v>38483815</v>
      </c>
      <c r="O5" s="29"/>
    </row>
    <row r="6" spans="1:15" s="6" customFormat="1" hidden="1">
      <c r="A6" s="6" t="s">
        <v>29</v>
      </c>
      <c r="B6" s="53">
        <v>98799</v>
      </c>
      <c r="C6" s="53">
        <v>92990</v>
      </c>
      <c r="D6" s="53">
        <v>321611</v>
      </c>
      <c r="E6" s="53">
        <v>116106</v>
      </c>
      <c r="F6" s="53">
        <v>104991</v>
      </c>
      <c r="G6" s="53">
        <v>101745</v>
      </c>
      <c r="H6" s="53">
        <v>88920</v>
      </c>
      <c r="I6" s="53">
        <v>295741</v>
      </c>
      <c r="J6" s="53">
        <v>106938</v>
      </c>
      <c r="K6" s="53">
        <v>117110</v>
      </c>
      <c r="L6" s="53">
        <v>111576</v>
      </c>
      <c r="M6" s="53">
        <v>95131</v>
      </c>
      <c r="N6" s="7">
        <f>SUM(B6:M6)</f>
        <v>1651658</v>
      </c>
      <c r="O6" s="29"/>
    </row>
    <row r="7" spans="1:15" s="6" customFormat="1" hidden="1">
      <c r="B7" s="7"/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7">
        <f>SUM(B7:M7)</f>
        <v>0</v>
      </c>
      <c r="O7" s="29"/>
    </row>
    <row r="8" spans="1:15" s="6" customFormat="1" hidden="1">
      <c r="B8" s="15"/>
      <c r="C8" s="15"/>
      <c r="D8" s="15"/>
      <c r="E8" s="15"/>
      <c r="F8" s="15"/>
      <c r="G8" s="15"/>
      <c r="H8" s="15"/>
      <c r="I8" s="15"/>
      <c r="J8" s="15"/>
      <c r="K8" s="15"/>
      <c r="L8" s="15"/>
      <c r="M8" s="15"/>
      <c r="N8" s="15">
        <f>SUM(B8:M8)</f>
        <v>0</v>
      </c>
      <c r="O8" s="29"/>
    </row>
    <row r="9" spans="1:15" s="6" customFormat="1">
      <c r="A9" s="13" t="s">
        <v>30</v>
      </c>
      <c r="B9" s="12">
        <f t="shared" ref="B9:N9" si="0">SUM(B5:B8)</f>
        <v>1763515</v>
      </c>
      <c r="C9" s="12">
        <f t="shared" si="0"/>
        <v>4427046</v>
      </c>
      <c r="D9" s="12">
        <f t="shared" si="0"/>
        <v>4358857</v>
      </c>
      <c r="E9" s="12">
        <f t="shared" si="0"/>
        <v>4216239</v>
      </c>
      <c r="F9" s="12">
        <f t="shared" si="0"/>
        <v>2602872</v>
      </c>
      <c r="G9" s="12">
        <f t="shared" si="0"/>
        <v>2877905</v>
      </c>
      <c r="H9" s="12">
        <f t="shared" si="0"/>
        <v>4117859</v>
      </c>
      <c r="I9" s="12">
        <f t="shared" si="0"/>
        <v>4348066</v>
      </c>
      <c r="J9" s="12">
        <f t="shared" si="0"/>
        <v>3306072</v>
      </c>
      <c r="K9" s="12">
        <f t="shared" si="0"/>
        <v>3624397</v>
      </c>
      <c r="L9" s="12">
        <f t="shared" si="0"/>
        <v>2779896</v>
      </c>
      <c r="M9" s="12">
        <f t="shared" si="0"/>
        <v>1712749</v>
      </c>
      <c r="N9" s="12">
        <f t="shared" si="0"/>
        <v>40135473</v>
      </c>
      <c r="O9" s="29"/>
    </row>
    <row r="10" spans="1:15" s="6" customFormat="1" ht="6.75" customHeight="1"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29"/>
    </row>
    <row r="11" spans="1:15" s="6" customFormat="1">
      <c r="A11" s="13" t="s">
        <v>31</v>
      </c>
      <c r="B11" s="7">
        <v>910</v>
      </c>
      <c r="C11" s="7">
        <v>98</v>
      </c>
      <c r="D11" s="7">
        <v>866</v>
      </c>
      <c r="E11" s="7">
        <v>0</v>
      </c>
      <c r="F11" s="7">
        <v>0</v>
      </c>
      <c r="G11" s="7">
        <v>0</v>
      </c>
      <c r="H11" s="7">
        <v>0</v>
      </c>
      <c r="I11" s="7">
        <v>0</v>
      </c>
      <c r="J11" s="7">
        <v>0</v>
      </c>
      <c r="K11" s="7">
        <v>0</v>
      </c>
      <c r="L11" s="7">
        <v>0</v>
      </c>
      <c r="M11" s="7">
        <v>0</v>
      </c>
      <c r="N11" s="7">
        <f>SUM(B11:M11)</f>
        <v>1874</v>
      </c>
      <c r="O11" s="29">
        <v>-232025</v>
      </c>
    </row>
    <row r="12" spans="1:15" s="6" customFormat="1" ht="7.5" customHeight="1">
      <c r="B12" s="7"/>
      <c r="C12" s="7"/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  <c r="O12" s="29"/>
    </row>
    <row r="13" spans="1:15" s="6" customFormat="1" ht="13.5" thickBot="1">
      <c r="A13" s="13" t="s">
        <v>32</v>
      </c>
      <c r="B13" s="14">
        <f t="shared" ref="B13:N13" si="1">B9+B11</f>
        <v>1764425</v>
      </c>
      <c r="C13" s="14">
        <f>C9+C11</f>
        <v>4427144</v>
      </c>
      <c r="D13" s="14">
        <f t="shared" si="1"/>
        <v>4359723</v>
      </c>
      <c r="E13" s="14">
        <f t="shared" si="1"/>
        <v>4216239</v>
      </c>
      <c r="F13" s="14">
        <f t="shared" si="1"/>
        <v>2602872</v>
      </c>
      <c r="G13" s="14">
        <f t="shared" si="1"/>
        <v>2877905</v>
      </c>
      <c r="H13" s="14">
        <f t="shared" si="1"/>
        <v>4117859</v>
      </c>
      <c r="I13" s="14">
        <f t="shared" si="1"/>
        <v>4348066</v>
      </c>
      <c r="J13" s="14">
        <f t="shared" si="1"/>
        <v>3306072</v>
      </c>
      <c r="K13" s="14">
        <f t="shared" si="1"/>
        <v>3624397</v>
      </c>
      <c r="L13" s="14">
        <f t="shared" si="1"/>
        <v>2779896</v>
      </c>
      <c r="M13" s="14">
        <f t="shared" si="1"/>
        <v>1712749</v>
      </c>
      <c r="N13" s="14">
        <f t="shared" si="1"/>
        <v>40137347</v>
      </c>
      <c r="O13" s="29"/>
    </row>
    <row r="14" spans="1:15" s="6" customFormat="1" ht="13.5" thickTop="1">
      <c r="B14" s="7"/>
      <c r="C14" s="7"/>
      <c r="D14" s="7"/>
      <c r="E14" s="7"/>
      <c r="F14" s="7"/>
      <c r="G14" s="7"/>
      <c r="H14" s="7"/>
      <c r="I14" s="7"/>
      <c r="J14" s="7"/>
      <c r="K14" s="7"/>
      <c r="L14" s="7"/>
      <c r="M14" s="7"/>
    </row>
    <row r="15" spans="1:15" s="6" customFormat="1" hidden="1">
      <c r="A15" s="13" t="s">
        <v>33</v>
      </c>
      <c r="B15" s="7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</row>
    <row r="16" spans="1:15" s="6" customFormat="1" hidden="1">
      <c r="A16" s="6" t="s">
        <v>34</v>
      </c>
      <c r="B16" s="53">
        <v>808507</v>
      </c>
      <c r="C16" s="53">
        <v>2662695</v>
      </c>
      <c r="D16" s="53">
        <v>1620992</v>
      </c>
      <c r="E16" s="53">
        <v>1499349</v>
      </c>
      <c r="F16" s="53">
        <v>928598</v>
      </c>
      <c r="G16" s="53">
        <v>954396</v>
      </c>
      <c r="H16" s="53">
        <v>2336270</v>
      </c>
      <c r="I16" s="53">
        <v>1689918</v>
      </c>
      <c r="J16" s="53">
        <v>1116694</v>
      </c>
      <c r="K16" s="53">
        <v>1332035</v>
      </c>
      <c r="L16" s="53">
        <v>1066893</v>
      </c>
      <c r="M16" s="53">
        <v>774058</v>
      </c>
      <c r="N16" s="7">
        <f>SUM(B16:M16)</f>
        <v>16790405</v>
      </c>
      <c r="O16" s="29"/>
    </row>
    <row r="17" spans="1:15" s="6" customFormat="1" hidden="1">
      <c r="B17" s="27"/>
      <c r="C17" s="27"/>
      <c r="D17" s="27"/>
      <c r="E17" s="27"/>
      <c r="F17" s="27"/>
      <c r="G17" s="27"/>
      <c r="H17" s="27"/>
      <c r="I17" s="27"/>
      <c r="J17" s="27"/>
      <c r="K17" s="27"/>
      <c r="L17" s="27"/>
      <c r="M17" s="27"/>
      <c r="N17" s="7">
        <f>SUM(B17:M17)</f>
        <v>0</v>
      </c>
    </row>
    <row r="18" spans="1:15" s="6" customFormat="1" hidden="1">
      <c r="B18" s="7"/>
      <c r="C18" s="7"/>
      <c r="D18" s="7"/>
      <c r="E18" s="7"/>
      <c r="F18" s="7"/>
      <c r="G18" s="7"/>
      <c r="H18" s="7"/>
      <c r="I18" s="7"/>
      <c r="J18" s="7"/>
      <c r="K18" s="7"/>
      <c r="L18" s="7"/>
      <c r="M18" s="7"/>
      <c r="N18" s="7">
        <v>0</v>
      </c>
    </row>
    <row r="19" spans="1:15" s="6" customFormat="1" hidden="1">
      <c r="B19" s="15"/>
      <c r="C19" s="15"/>
      <c r="D19" s="15"/>
      <c r="E19" s="15"/>
      <c r="F19" s="15"/>
      <c r="G19" s="15"/>
      <c r="H19" s="15"/>
      <c r="I19" s="15"/>
      <c r="J19" s="15"/>
      <c r="K19" s="15"/>
      <c r="L19" s="15"/>
      <c r="M19" s="15"/>
      <c r="N19" s="15">
        <f>SUM(B19:M19)</f>
        <v>0</v>
      </c>
    </row>
    <row r="20" spans="1:15" s="6" customFormat="1">
      <c r="A20" s="13" t="s">
        <v>35</v>
      </c>
      <c r="B20" s="12">
        <f t="shared" ref="B20:N20" si="2">SUM(B16:B19)</f>
        <v>808507</v>
      </c>
      <c r="C20" s="12">
        <f t="shared" si="2"/>
        <v>2662695</v>
      </c>
      <c r="D20" s="12">
        <f t="shared" si="2"/>
        <v>1620992</v>
      </c>
      <c r="E20" s="12">
        <f t="shared" si="2"/>
        <v>1499349</v>
      </c>
      <c r="F20" s="12">
        <f t="shared" si="2"/>
        <v>928598</v>
      </c>
      <c r="G20" s="12">
        <f t="shared" si="2"/>
        <v>954396</v>
      </c>
      <c r="H20" s="12">
        <f t="shared" si="2"/>
        <v>2336270</v>
      </c>
      <c r="I20" s="12">
        <f t="shared" si="2"/>
        <v>1689918</v>
      </c>
      <c r="J20" s="12">
        <f t="shared" si="2"/>
        <v>1116694</v>
      </c>
      <c r="K20" s="12">
        <f t="shared" si="2"/>
        <v>1332035</v>
      </c>
      <c r="L20" s="12">
        <f t="shared" si="2"/>
        <v>1066893</v>
      </c>
      <c r="M20" s="12">
        <f t="shared" si="2"/>
        <v>774058</v>
      </c>
      <c r="N20" s="12">
        <f t="shared" si="2"/>
        <v>16790405</v>
      </c>
      <c r="O20" s="29"/>
    </row>
    <row r="21" spans="1:15" s="6" customFormat="1">
      <c r="B21" s="7"/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</row>
    <row r="22" spans="1:15" s="6" customFormat="1" hidden="1">
      <c r="A22" s="13" t="s">
        <v>36</v>
      </c>
      <c r="B22" s="7"/>
      <c r="C22" s="7"/>
      <c r="D22" s="7"/>
      <c r="E22" s="7"/>
      <c r="F22" s="7"/>
      <c r="G22" s="7"/>
      <c r="H22" s="7"/>
      <c r="I22" s="7"/>
      <c r="J22" s="7"/>
      <c r="K22" s="7"/>
      <c r="L22" s="7"/>
      <c r="M22" s="7"/>
    </row>
    <row r="23" spans="1:15" s="6" customFormat="1" hidden="1">
      <c r="A23" s="6" t="s">
        <v>37</v>
      </c>
      <c r="B23" s="7">
        <f t="shared" ref="B23:M26" si="3">+B5-B16</f>
        <v>856209</v>
      </c>
      <c r="C23" s="7">
        <f t="shared" si="3"/>
        <v>1671361</v>
      </c>
      <c r="D23" s="7">
        <f t="shared" si="3"/>
        <v>2416254</v>
      </c>
      <c r="E23" s="7">
        <f t="shared" si="3"/>
        <v>2600784</v>
      </c>
      <c r="F23" s="7">
        <f t="shared" si="3"/>
        <v>1569283</v>
      </c>
      <c r="G23" s="7">
        <f t="shared" si="3"/>
        <v>1821764</v>
      </c>
      <c r="H23" s="7">
        <f t="shared" si="3"/>
        <v>1692669</v>
      </c>
      <c r="I23" s="7">
        <f t="shared" si="3"/>
        <v>2362407</v>
      </c>
      <c r="J23" s="7">
        <f t="shared" si="3"/>
        <v>2082440</v>
      </c>
      <c r="K23" s="7">
        <f t="shared" si="3"/>
        <v>2175252</v>
      </c>
      <c r="L23" s="7">
        <f t="shared" si="3"/>
        <v>1601427</v>
      </c>
      <c r="M23" s="7">
        <f t="shared" si="3"/>
        <v>843560</v>
      </c>
      <c r="N23" s="7">
        <f>SUM(B23:M23)</f>
        <v>21693410</v>
      </c>
      <c r="O23" s="29"/>
    </row>
    <row r="24" spans="1:15" s="6" customFormat="1" hidden="1">
      <c r="A24" s="6" t="s">
        <v>37</v>
      </c>
      <c r="B24" s="7">
        <f t="shared" si="3"/>
        <v>98799</v>
      </c>
      <c r="C24" s="7">
        <f t="shared" si="3"/>
        <v>92990</v>
      </c>
      <c r="D24" s="7">
        <f t="shared" si="3"/>
        <v>321611</v>
      </c>
      <c r="E24" s="7">
        <f t="shared" si="3"/>
        <v>116106</v>
      </c>
      <c r="F24" s="7">
        <f t="shared" si="3"/>
        <v>104991</v>
      </c>
      <c r="G24" s="7">
        <f t="shared" si="3"/>
        <v>101745</v>
      </c>
      <c r="H24" s="7">
        <f t="shared" si="3"/>
        <v>88920</v>
      </c>
      <c r="I24" s="7">
        <f t="shared" si="3"/>
        <v>295741</v>
      </c>
      <c r="J24" s="7">
        <f t="shared" si="3"/>
        <v>106938</v>
      </c>
      <c r="K24" s="7">
        <f t="shared" si="3"/>
        <v>117110</v>
      </c>
      <c r="L24" s="7">
        <f t="shared" si="3"/>
        <v>111576</v>
      </c>
      <c r="M24" s="7">
        <f t="shared" si="3"/>
        <v>95131</v>
      </c>
      <c r="N24" s="7">
        <f>SUM(B24:M24)</f>
        <v>1651658</v>
      </c>
      <c r="O24" s="29"/>
    </row>
    <row r="25" spans="1:15" s="6" customFormat="1" hidden="1">
      <c r="A25" s="6" t="s">
        <v>38</v>
      </c>
      <c r="B25" s="7">
        <f t="shared" si="3"/>
        <v>0</v>
      </c>
      <c r="C25" s="7">
        <f t="shared" si="3"/>
        <v>0</v>
      </c>
      <c r="D25" s="7">
        <f t="shared" si="3"/>
        <v>0</v>
      </c>
      <c r="E25" s="7">
        <f t="shared" si="3"/>
        <v>0</v>
      </c>
      <c r="F25" s="7">
        <f t="shared" si="3"/>
        <v>0</v>
      </c>
      <c r="G25" s="7">
        <f t="shared" si="3"/>
        <v>0</v>
      </c>
      <c r="H25" s="7">
        <f t="shared" si="3"/>
        <v>0</v>
      </c>
      <c r="I25" s="7">
        <f t="shared" si="3"/>
        <v>0</v>
      </c>
      <c r="J25" s="7">
        <f t="shared" si="3"/>
        <v>0</v>
      </c>
      <c r="K25" s="7">
        <f t="shared" si="3"/>
        <v>0</v>
      </c>
      <c r="L25" s="7">
        <f t="shared" si="3"/>
        <v>0</v>
      </c>
      <c r="M25" s="7">
        <f t="shared" si="3"/>
        <v>0</v>
      </c>
      <c r="N25" s="7">
        <f>SUM(B25:M25)</f>
        <v>0</v>
      </c>
      <c r="O25" s="29"/>
    </row>
    <row r="26" spans="1:15" s="6" customFormat="1" hidden="1">
      <c r="A26" s="6" t="s">
        <v>38</v>
      </c>
      <c r="B26" s="15">
        <f t="shared" si="3"/>
        <v>0</v>
      </c>
      <c r="C26" s="15">
        <f t="shared" si="3"/>
        <v>0</v>
      </c>
      <c r="D26" s="15">
        <f t="shared" si="3"/>
        <v>0</v>
      </c>
      <c r="E26" s="15">
        <f t="shared" si="3"/>
        <v>0</v>
      </c>
      <c r="F26" s="15">
        <f t="shared" si="3"/>
        <v>0</v>
      </c>
      <c r="G26" s="15">
        <f t="shared" si="3"/>
        <v>0</v>
      </c>
      <c r="H26" s="15">
        <f t="shared" si="3"/>
        <v>0</v>
      </c>
      <c r="I26" s="15">
        <f t="shared" si="3"/>
        <v>0</v>
      </c>
      <c r="J26" s="15">
        <f t="shared" si="3"/>
        <v>0</v>
      </c>
      <c r="K26" s="15">
        <f t="shared" si="3"/>
        <v>0</v>
      </c>
      <c r="L26" s="15">
        <f t="shared" si="3"/>
        <v>0</v>
      </c>
      <c r="M26" s="15">
        <f t="shared" si="3"/>
        <v>0</v>
      </c>
      <c r="N26" s="15">
        <f>SUM(B26:M26)</f>
        <v>0</v>
      </c>
      <c r="O26" s="29"/>
    </row>
    <row r="27" spans="1:15" s="6" customFormat="1">
      <c r="A27" s="13" t="s">
        <v>39</v>
      </c>
      <c r="B27" s="12">
        <f t="shared" ref="B27:N27" si="4">SUM(B23:B26)</f>
        <v>955008</v>
      </c>
      <c r="C27" s="12">
        <f t="shared" si="4"/>
        <v>1764351</v>
      </c>
      <c r="D27" s="12">
        <f t="shared" si="4"/>
        <v>2737865</v>
      </c>
      <c r="E27" s="12">
        <f t="shared" si="4"/>
        <v>2716890</v>
      </c>
      <c r="F27" s="12">
        <f t="shared" si="4"/>
        <v>1674274</v>
      </c>
      <c r="G27" s="12">
        <f t="shared" si="4"/>
        <v>1923509</v>
      </c>
      <c r="H27" s="12">
        <f t="shared" si="4"/>
        <v>1781589</v>
      </c>
      <c r="I27" s="12">
        <f t="shared" si="4"/>
        <v>2658148</v>
      </c>
      <c r="J27" s="12">
        <f t="shared" si="4"/>
        <v>2189378</v>
      </c>
      <c r="K27" s="12">
        <f t="shared" si="4"/>
        <v>2292362</v>
      </c>
      <c r="L27" s="12">
        <f t="shared" si="4"/>
        <v>1713003</v>
      </c>
      <c r="M27" s="12">
        <f>SUM(M23:M26)</f>
        <v>938691</v>
      </c>
      <c r="N27" s="12">
        <f t="shared" si="4"/>
        <v>23345068</v>
      </c>
      <c r="O27" s="29"/>
    </row>
    <row r="28" spans="1:15" s="6" customFormat="1" ht="14.45" customHeight="1">
      <c r="B28" s="73">
        <f>+B27/B9</f>
        <v>0.54153664698060411</v>
      </c>
      <c r="C28" s="73">
        <f t="shared" ref="C28:N28" si="5">+C27/C9</f>
        <v>0.39853911615104065</v>
      </c>
      <c r="D28" s="73">
        <f t="shared" si="5"/>
        <v>0.62811535225863113</v>
      </c>
      <c r="E28" s="73">
        <f t="shared" si="5"/>
        <v>0.6443870947543533</v>
      </c>
      <c r="F28" s="73">
        <f t="shared" si="5"/>
        <v>0.64324100455189503</v>
      </c>
      <c r="G28" s="73">
        <f t="shared" si="5"/>
        <v>0.66837126312369588</v>
      </c>
      <c r="H28" s="73">
        <f t="shared" si="5"/>
        <v>0.43264934520584603</v>
      </c>
      <c r="I28" s="73">
        <f t="shared" si="5"/>
        <v>0.61134030624190161</v>
      </c>
      <c r="J28" s="73">
        <f t="shared" si="5"/>
        <v>0.66222937673468696</v>
      </c>
      <c r="K28" s="73">
        <f t="shared" si="5"/>
        <v>0.6324809340698605</v>
      </c>
      <c r="L28" s="73">
        <f t="shared" si="5"/>
        <v>0.61621118200105329</v>
      </c>
      <c r="M28" s="73">
        <f t="shared" si="5"/>
        <v>0.54806104105154929</v>
      </c>
      <c r="N28" s="73">
        <f t="shared" si="5"/>
        <v>0.5816567304439143</v>
      </c>
    </row>
    <row r="29" spans="1:15" s="6" customFormat="1" hidden="1">
      <c r="A29" s="13" t="s">
        <v>40</v>
      </c>
      <c r="B29" s="7"/>
      <c r="C29" s="7"/>
      <c r="D29" s="7"/>
      <c r="E29" s="7"/>
      <c r="F29" s="7"/>
      <c r="G29" s="7"/>
      <c r="H29" s="7"/>
      <c r="I29" s="7"/>
      <c r="J29" s="7"/>
      <c r="K29" s="7"/>
      <c r="L29" s="7"/>
      <c r="M29" s="7"/>
    </row>
    <row r="30" spans="1:15" s="6" customFormat="1" hidden="1">
      <c r="A30" s="6" t="s">
        <v>93</v>
      </c>
      <c r="B30" s="53">
        <v>550190</v>
      </c>
      <c r="C30" s="53">
        <v>644844</v>
      </c>
      <c r="D30" s="53">
        <v>702597</v>
      </c>
      <c r="E30" s="53">
        <v>873804</v>
      </c>
      <c r="F30" s="53">
        <v>655473</v>
      </c>
      <c r="G30" s="53">
        <v>645132</v>
      </c>
      <c r="H30" s="53">
        <v>699380</v>
      </c>
      <c r="I30" s="53">
        <v>767189</v>
      </c>
      <c r="J30" s="53">
        <v>740529</v>
      </c>
      <c r="K30" s="53">
        <v>823718</v>
      </c>
      <c r="L30" s="53">
        <v>672632</v>
      </c>
      <c r="M30" s="53">
        <v>481272</v>
      </c>
      <c r="N30" s="7">
        <f>SUM(B30:M30)</f>
        <v>8256760</v>
      </c>
      <c r="O30" s="29"/>
    </row>
    <row r="31" spans="1:15" s="6" customFormat="1" hidden="1">
      <c r="A31" s="6" t="s">
        <v>42</v>
      </c>
      <c r="B31" s="53">
        <v>192847</v>
      </c>
      <c r="C31" s="53">
        <v>222888</v>
      </c>
      <c r="D31" s="53">
        <v>200354</v>
      </c>
      <c r="E31" s="53">
        <v>253635</v>
      </c>
      <c r="F31" s="53">
        <v>213768</v>
      </c>
      <c r="G31" s="53">
        <v>212033</v>
      </c>
      <c r="H31" s="53">
        <v>235832</v>
      </c>
      <c r="I31" s="53">
        <v>221244</v>
      </c>
      <c r="J31" s="53">
        <v>220622</v>
      </c>
      <c r="K31" s="53">
        <v>249552</v>
      </c>
      <c r="L31" s="53">
        <v>214590</v>
      </c>
      <c r="M31" s="53">
        <v>210384</v>
      </c>
      <c r="N31" s="7">
        <f>SUM(B31:M31)</f>
        <v>2647749</v>
      </c>
      <c r="O31" s="29"/>
    </row>
    <row r="32" spans="1:15" s="6" customFormat="1" ht="15" hidden="1">
      <c r="A32" s="6" t="s">
        <v>38</v>
      </c>
      <c r="B32" s="68"/>
      <c r="C32" s="68"/>
      <c r="D32" s="68"/>
      <c r="E32" s="68"/>
      <c r="F32" s="68"/>
      <c r="G32" s="68"/>
      <c r="H32" s="68"/>
      <c r="I32" s="68"/>
      <c r="J32" s="68"/>
      <c r="K32" s="68"/>
      <c r="L32" s="68"/>
      <c r="M32" s="68"/>
      <c r="N32" s="7">
        <f>SUM(B32:M32)</f>
        <v>0</v>
      </c>
      <c r="O32" s="29"/>
    </row>
    <row r="33" spans="1:16" s="6" customFormat="1" hidden="1">
      <c r="B33" s="15"/>
      <c r="C33" s="15"/>
      <c r="D33" s="15"/>
      <c r="E33" s="15"/>
      <c r="F33" s="15"/>
      <c r="G33" s="15"/>
      <c r="H33" s="15"/>
      <c r="I33" s="15"/>
      <c r="J33" s="15"/>
      <c r="K33" s="15"/>
      <c r="L33" s="15"/>
      <c r="M33" s="15"/>
      <c r="N33" s="15">
        <f>SUM(B33:M33)</f>
        <v>0</v>
      </c>
      <c r="O33" s="29"/>
    </row>
    <row r="34" spans="1:16" s="6" customFormat="1">
      <c r="A34" s="13" t="s">
        <v>43</v>
      </c>
      <c r="B34" s="12">
        <f t="shared" ref="B34:N34" si="6">SUM(B30:B33)</f>
        <v>743037</v>
      </c>
      <c r="C34" s="12">
        <f t="shared" si="6"/>
        <v>867732</v>
      </c>
      <c r="D34" s="12">
        <f t="shared" si="6"/>
        <v>902951</v>
      </c>
      <c r="E34" s="12">
        <f t="shared" si="6"/>
        <v>1127439</v>
      </c>
      <c r="F34" s="12">
        <f t="shared" si="6"/>
        <v>869241</v>
      </c>
      <c r="G34" s="12">
        <f t="shared" si="6"/>
        <v>857165</v>
      </c>
      <c r="H34" s="12">
        <f t="shared" si="6"/>
        <v>935212</v>
      </c>
      <c r="I34" s="12">
        <f t="shared" si="6"/>
        <v>988433</v>
      </c>
      <c r="J34" s="12">
        <f t="shared" si="6"/>
        <v>961151</v>
      </c>
      <c r="K34" s="12">
        <f t="shared" si="6"/>
        <v>1073270</v>
      </c>
      <c r="L34" s="12">
        <f t="shared" si="6"/>
        <v>887222</v>
      </c>
      <c r="M34" s="12">
        <f t="shared" si="6"/>
        <v>691656</v>
      </c>
      <c r="N34" s="12">
        <f t="shared" si="6"/>
        <v>10904509</v>
      </c>
      <c r="O34" s="29"/>
    </row>
    <row r="35" spans="1:16" s="6" customFormat="1">
      <c r="B35" s="7"/>
      <c r="C35" s="7"/>
      <c r="D35" s="7"/>
      <c r="E35" s="7"/>
      <c r="F35" s="7"/>
      <c r="G35" s="7"/>
      <c r="H35" s="7"/>
      <c r="I35" s="7"/>
      <c r="J35" s="7"/>
      <c r="K35" s="7"/>
      <c r="L35" s="7"/>
      <c r="M35" s="7"/>
    </row>
    <row r="36" spans="1:16" s="6" customFormat="1" hidden="1">
      <c r="A36" s="13" t="s">
        <v>44</v>
      </c>
      <c r="B36" s="7"/>
      <c r="C36" s="7"/>
      <c r="D36" s="7"/>
      <c r="E36" s="7"/>
      <c r="F36" s="7"/>
      <c r="G36" s="7"/>
      <c r="H36" s="7"/>
      <c r="I36" s="7"/>
      <c r="J36" s="7"/>
      <c r="K36" s="7"/>
      <c r="L36" s="7"/>
      <c r="M36" s="7"/>
    </row>
    <row r="37" spans="1:16" s="6" customFormat="1" hidden="1">
      <c r="A37" s="6" t="s">
        <v>45</v>
      </c>
      <c r="B37" s="53">
        <v>1292386</v>
      </c>
      <c r="C37" s="53">
        <v>1363232</v>
      </c>
      <c r="D37" s="53">
        <v>1482893</v>
      </c>
      <c r="E37" s="53">
        <v>1759651</v>
      </c>
      <c r="F37" s="53">
        <v>1435895</v>
      </c>
      <c r="G37" s="66">
        <v>1630908</v>
      </c>
      <c r="H37" s="66">
        <v>1457121</v>
      </c>
      <c r="I37" s="66">
        <v>1632531</v>
      </c>
      <c r="J37" s="66">
        <v>1545361</v>
      </c>
      <c r="K37" s="53">
        <v>1699036</v>
      </c>
      <c r="L37" s="53">
        <v>1429774</v>
      </c>
      <c r="M37" s="53">
        <v>1131406</v>
      </c>
      <c r="N37" s="7">
        <f>SUM(B37:M37)</f>
        <v>17860194</v>
      </c>
      <c r="O37" s="29"/>
    </row>
    <row r="38" spans="1:16" s="6" customFormat="1" hidden="1">
      <c r="A38" s="6" t="s">
        <v>46</v>
      </c>
      <c r="B38" s="7">
        <f>-B34</f>
        <v>-743037</v>
      </c>
      <c r="C38" s="7">
        <f t="shared" ref="C38:M38" si="7">-C34</f>
        <v>-867732</v>
      </c>
      <c r="D38" s="7">
        <f t="shared" si="7"/>
        <v>-902951</v>
      </c>
      <c r="E38" s="7">
        <f t="shared" si="7"/>
        <v>-1127439</v>
      </c>
      <c r="F38" s="7">
        <f t="shared" si="7"/>
        <v>-869241</v>
      </c>
      <c r="G38" s="7">
        <f t="shared" si="7"/>
        <v>-857165</v>
      </c>
      <c r="H38" s="7">
        <f t="shared" si="7"/>
        <v>-935212</v>
      </c>
      <c r="I38" s="7">
        <f t="shared" si="7"/>
        <v>-988433</v>
      </c>
      <c r="J38" s="7">
        <f t="shared" si="7"/>
        <v>-961151</v>
      </c>
      <c r="K38" s="7">
        <f t="shared" si="7"/>
        <v>-1073270</v>
      </c>
      <c r="L38" s="7">
        <f t="shared" si="7"/>
        <v>-887222</v>
      </c>
      <c r="M38" s="7">
        <f t="shared" si="7"/>
        <v>-691656</v>
      </c>
      <c r="N38" s="7">
        <f>SUM(B38:M38)</f>
        <v>-10904509</v>
      </c>
      <c r="O38" s="29"/>
    </row>
    <row r="39" spans="1:16" s="6" customFormat="1" hidden="1">
      <c r="A39" s="6" t="s">
        <v>47</v>
      </c>
      <c r="B39" s="72">
        <v>-79744</v>
      </c>
      <c r="C39" s="72">
        <v>-79744</v>
      </c>
      <c r="D39" s="72">
        <v>79744</v>
      </c>
      <c r="E39" s="72">
        <v>-80973</v>
      </c>
      <c r="F39" s="72">
        <v>-81098</v>
      </c>
      <c r="G39" s="72">
        <v>-81098</v>
      </c>
      <c r="H39" s="72">
        <v>-81832</v>
      </c>
      <c r="I39" s="72">
        <v>-81832</v>
      </c>
      <c r="J39" s="72">
        <v>-81832</v>
      </c>
      <c r="K39" s="72">
        <v>-82780</v>
      </c>
      <c r="L39" s="72">
        <v>-82780</v>
      </c>
      <c r="M39" s="72">
        <v>-81945</v>
      </c>
      <c r="N39" s="7">
        <f>SUM(B39:M39)</f>
        <v>-815914</v>
      </c>
      <c r="O39" s="29"/>
    </row>
    <row r="40" spans="1:16" s="6" customFormat="1" hidden="1">
      <c r="A40" s="6" t="s">
        <v>78</v>
      </c>
      <c r="B40" s="53"/>
      <c r="C40" s="53"/>
      <c r="D40" s="53"/>
      <c r="E40" s="53"/>
      <c r="F40" s="53"/>
      <c r="G40" s="53"/>
      <c r="H40" s="53"/>
      <c r="I40" s="53"/>
      <c r="J40" s="53"/>
      <c r="K40" s="53"/>
      <c r="L40" s="53"/>
      <c r="M40" s="53"/>
      <c r="N40" s="7">
        <f>SUM(B40:M40)</f>
        <v>0</v>
      </c>
      <c r="O40" s="29"/>
    </row>
    <row r="41" spans="1:16" s="6" customFormat="1" hidden="1">
      <c r="A41" s="6" t="s">
        <v>48</v>
      </c>
      <c r="B41" s="60">
        <v>-10000</v>
      </c>
      <c r="C41" s="60">
        <v>-10000</v>
      </c>
      <c r="D41" s="60">
        <v>-10000</v>
      </c>
      <c r="E41" s="60">
        <v>-10000</v>
      </c>
      <c r="F41" s="60">
        <v>-10000</v>
      </c>
      <c r="G41" s="60">
        <v>-10000</v>
      </c>
      <c r="H41" s="60">
        <v>-10000</v>
      </c>
      <c r="I41" s="60">
        <v>-10000</v>
      </c>
      <c r="J41" s="60">
        <v>-10300</v>
      </c>
      <c r="K41" s="60">
        <v>-10300</v>
      </c>
      <c r="L41" s="60">
        <v>-10300</v>
      </c>
      <c r="M41" s="60">
        <v>-10000</v>
      </c>
      <c r="N41" s="15">
        <f>SUM(B41:M41)</f>
        <v>-120900</v>
      </c>
      <c r="O41" s="29"/>
    </row>
    <row r="42" spans="1:16" s="6" customFormat="1">
      <c r="A42" s="13" t="s">
        <v>49</v>
      </c>
      <c r="B42" s="12">
        <f t="shared" ref="B42:N42" si="8">SUM(B37:B41)</f>
        <v>459605</v>
      </c>
      <c r="C42" s="12">
        <f t="shared" si="8"/>
        <v>405756</v>
      </c>
      <c r="D42" s="12">
        <f t="shared" si="8"/>
        <v>649686</v>
      </c>
      <c r="E42" s="12">
        <f t="shared" si="8"/>
        <v>541239</v>
      </c>
      <c r="F42" s="12">
        <f t="shared" si="8"/>
        <v>475556</v>
      </c>
      <c r="G42" s="12">
        <f t="shared" si="8"/>
        <v>682645</v>
      </c>
      <c r="H42" s="12">
        <f t="shared" si="8"/>
        <v>430077</v>
      </c>
      <c r="I42" s="12">
        <f t="shared" si="8"/>
        <v>552266</v>
      </c>
      <c r="J42" s="12">
        <f t="shared" si="8"/>
        <v>492078</v>
      </c>
      <c r="K42" s="12">
        <f t="shared" si="8"/>
        <v>532686</v>
      </c>
      <c r="L42" s="12">
        <f t="shared" si="8"/>
        <v>449472</v>
      </c>
      <c r="M42" s="12">
        <f t="shared" si="8"/>
        <v>347805</v>
      </c>
      <c r="N42" s="12">
        <f t="shared" si="8"/>
        <v>6018871</v>
      </c>
      <c r="O42" s="29"/>
    </row>
    <row r="43" spans="1:16">
      <c r="A43" s="1"/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2"/>
      <c r="N43" s="12"/>
      <c r="O43" s="6"/>
    </row>
    <row r="44" spans="1:16" hidden="1">
      <c r="A44" s="13" t="s">
        <v>50</v>
      </c>
      <c r="B44" s="53">
        <v>341767</v>
      </c>
      <c r="C44" s="53">
        <v>270679</v>
      </c>
      <c r="D44" s="53">
        <v>279225</v>
      </c>
      <c r="E44" s="53">
        <v>410056</v>
      </c>
      <c r="F44" s="53">
        <v>400329</v>
      </c>
      <c r="G44" s="53">
        <v>371389</v>
      </c>
      <c r="H44" s="53">
        <v>350631</v>
      </c>
      <c r="I44" s="53">
        <v>305031</v>
      </c>
      <c r="J44" s="53">
        <v>400807</v>
      </c>
      <c r="K44" s="53">
        <v>352963</v>
      </c>
      <c r="L44" s="53">
        <v>301088</v>
      </c>
      <c r="M44" s="53">
        <f>743355-270</f>
        <v>743085</v>
      </c>
      <c r="N44" s="12">
        <f>SUM(B44:M44)</f>
        <v>4527050</v>
      </c>
      <c r="O44" s="29"/>
      <c r="P44" s="25"/>
    </row>
    <row r="45" spans="1:16" hidden="1">
      <c r="A45" s="6" t="s">
        <v>107</v>
      </c>
      <c r="B45" s="22"/>
      <c r="C45" s="22"/>
      <c r="D45" s="22"/>
      <c r="E45" s="22"/>
      <c r="F45" s="22"/>
      <c r="G45" s="22"/>
      <c r="H45" s="22"/>
      <c r="I45" s="22"/>
      <c r="J45" s="22"/>
      <c r="K45" s="22"/>
      <c r="L45" s="22"/>
      <c r="M45" s="22"/>
      <c r="N45" s="22">
        <f>SUM(B45:M45)</f>
        <v>0</v>
      </c>
      <c r="O45" s="29"/>
    </row>
    <row r="46" spans="1:16">
      <c r="A46" s="1" t="s">
        <v>50</v>
      </c>
      <c r="B46" s="12">
        <f>SUM(B44:B45)</f>
        <v>341767</v>
      </c>
      <c r="C46" s="12">
        <f>SUM(C44:C45)</f>
        <v>270679</v>
      </c>
      <c r="D46" s="12">
        <f t="shared" ref="D46:N46" si="9">SUM(D44:D45)</f>
        <v>279225</v>
      </c>
      <c r="E46" s="12">
        <f t="shared" si="9"/>
        <v>410056</v>
      </c>
      <c r="F46" s="12">
        <f t="shared" si="9"/>
        <v>400329</v>
      </c>
      <c r="G46" s="12">
        <f t="shared" si="9"/>
        <v>371389</v>
      </c>
      <c r="H46" s="12">
        <f t="shared" si="9"/>
        <v>350631</v>
      </c>
      <c r="I46" s="12">
        <f t="shared" si="9"/>
        <v>305031</v>
      </c>
      <c r="J46" s="12">
        <f t="shared" si="9"/>
        <v>400807</v>
      </c>
      <c r="K46" s="12">
        <f t="shared" si="9"/>
        <v>352963</v>
      </c>
      <c r="L46" s="12">
        <f t="shared" si="9"/>
        <v>301088</v>
      </c>
      <c r="M46" s="12">
        <f t="shared" si="9"/>
        <v>743085</v>
      </c>
      <c r="N46" s="12">
        <f t="shared" si="9"/>
        <v>4527050</v>
      </c>
      <c r="O46" s="29"/>
    </row>
    <row r="47" spans="1:16">
      <c r="B47" s="7"/>
      <c r="C47" s="7"/>
      <c r="D47" s="7"/>
      <c r="E47" s="7"/>
      <c r="F47" s="7"/>
      <c r="G47" s="7"/>
      <c r="H47" s="7"/>
      <c r="I47" s="7"/>
      <c r="J47" s="7"/>
      <c r="K47" s="6"/>
      <c r="L47" s="6"/>
      <c r="M47" s="6"/>
      <c r="N47" s="6"/>
      <c r="O47" s="6"/>
    </row>
    <row r="48" spans="1:16">
      <c r="A48" s="13" t="s">
        <v>52</v>
      </c>
      <c r="B48" s="19">
        <f t="shared" ref="B48:N48" si="10">+B20+B34+B42+B46</f>
        <v>2352916</v>
      </c>
      <c r="C48" s="19">
        <f t="shared" si="10"/>
        <v>4206862</v>
      </c>
      <c r="D48" s="19">
        <f t="shared" si="10"/>
        <v>3452854</v>
      </c>
      <c r="E48" s="19">
        <f t="shared" si="10"/>
        <v>3578083</v>
      </c>
      <c r="F48" s="19">
        <f t="shared" si="10"/>
        <v>2673724</v>
      </c>
      <c r="G48" s="19">
        <f t="shared" si="10"/>
        <v>2865595</v>
      </c>
      <c r="H48" s="19">
        <f t="shared" si="10"/>
        <v>4052190</v>
      </c>
      <c r="I48" s="19">
        <f t="shared" si="10"/>
        <v>3535648</v>
      </c>
      <c r="J48" s="19">
        <f t="shared" si="10"/>
        <v>2970730</v>
      </c>
      <c r="K48" s="19">
        <f t="shared" si="10"/>
        <v>3290954</v>
      </c>
      <c r="L48" s="19">
        <f t="shared" si="10"/>
        <v>2704675</v>
      </c>
      <c r="M48" s="19">
        <f t="shared" si="10"/>
        <v>2556604</v>
      </c>
      <c r="N48" s="19">
        <f t="shared" si="10"/>
        <v>38240835</v>
      </c>
      <c r="O48" s="29"/>
    </row>
    <row r="49" spans="1:26">
      <c r="B49" s="7"/>
      <c r="C49" s="7"/>
      <c r="D49" s="7"/>
      <c r="E49" s="7"/>
      <c r="F49" s="7"/>
      <c r="G49" s="7"/>
      <c r="H49" s="7"/>
      <c r="I49" s="7"/>
      <c r="J49" s="7"/>
      <c r="K49" s="6"/>
      <c r="L49" s="6"/>
      <c r="M49" s="6"/>
      <c r="N49" s="6"/>
      <c r="O49" s="6"/>
    </row>
    <row r="50" spans="1:26">
      <c r="A50" s="1" t="s">
        <v>53</v>
      </c>
      <c r="B50" s="12">
        <f t="shared" ref="B50:M50" si="11">+B13-B48</f>
        <v>-588491</v>
      </c>
      <c r="C50" s="12">
        <f t="shared" si="11"/>
        <v>220282</v>
      </c>
      <c r="D50" s="12">
        <f t="shared" si="11"/>
        <v>906869</v>
      </c>
      <c r="E50" s="12">
        <f t="shared" si="11"/>
        <v>638156</v>
      </c>
      <c r="F50" s="12">
        <f t="shared" si="11"/>
        <v>-70852</v>
      </c>
      <c r="G50" s="12">
        <f t="shared" si="11"/>
        <v>12310</v>
      </c>
      <c r="H50" s="12">
        <f t="shared" si="11"/>
        <v>65669</v>
      </c>
      <c r="I50" s="12">
        <f t="shared" si="11"/>
        <v>812418</v>
      </c>
      <c r="J50" s="12">
        <f t="shared" si="11"/>
        <v>335342</v>
      </c>
      <c r="K50" s="12">
        <f t="shared" si="11"/>
        <v>333443</v>
      </c>
      <c r="L50" s="12">
        <f t="shared" si="11"/>
        <v>75221</v>
      </c>
      <c r="M50" s="12">
        <f t="shared" si="11"/>
        <v>-843855</v>
      </c>
      <c r="N50" s="12">
        <f>SUM(B50:M50)</f>
        <v>1896512</v>
      </c>
      <c r="O50" s="7">
        <f>+N50+N39+N41</f>
        <v>959698</v>
      </c>
    </row>
    <row r="51" spans="1:26" ht="7.5" customHeight="1">
      <c r="B51" s="7"/>
      <c r="C51" s="7"/>
      <c r="D51" s="7"/>
      <c r="E51" s="7"/>
      <c r="F51" s="7"/>
      <c r="G51" s="7"/>
      <c r="H51" s="7"/>
      <c r="I51" s="7"/>
      <c r="J51" s="7"/>
      <c r="K51" s="6"/>
      <c r="L51" s="6"/>
      <c r="M51" s="6"/>
      <c r="N51" s="6"/>
      <c r="O51" s="6"/>
    </row>
    <row r="52" spans="1:26">
      <c r="A52" s="1" t="s">
        <v>54</v>
      </c>
      <c r="B52" s="7"/>
      <c r="C52" s="7"/>
      <c r="D52" s="7"/>
      <c r="E52" s="7"/>
      <c r="F52" s="7"/>
      <c r="G52" s="7"/>
      <c r="H52" s="7"/>
      <c r="I52" s="7"/>
      <c r="J52" s="7"/>
      <c r="K52" s="6"/>
      <c r="L52" s="6"/>
      <c r="M52" s="6"/>
      <c r="N52" s="6"/>
      <c r="O52" s="6"/>
    </row>
    <row r="53" spans="1:26" s="6" customFormat="1">
      <c r="A53" s="6" t="s">
        <v>55</v>
      </c>
      <c r="B53" s="10">
        <v>21640</v>
      </c>
      <c r="C53" s="10">
        <v>45767</v>
      </c>
      <c r="D53" s="10">
        <v>849</v>
      </c>
      <c r="E53" s="10">
        <v>100000</v>
      </c>
      <c r="F53" s="10">
        <v>10000</v>
      </c>
      <c r="G53" s="10">
        <v>100000</v>
      </c>
      <c r="H53" s="23">
        <v>10000</v>
      </c>
      <c r="I53" s="10">
        <v>75000</v>
      </c>
      <c r="J53" s="10">
        <v>50000</v>
      </c>
      <c r="K53" s="10">
        <v>10000</v>
      </c>
      <c r="L53" s="10">
        <v>10000</v>
      </c>
      <c r="M53" s="10">
        <v>265725</v>
      </c>
      <c r="N53" s="10">
        <f>SUM(B53:M53)</f>
        <v>698981</v>
      </c>
      <c r="O53" s="10">
        <v>930725</v>
      </c>
      <c r="P53" s="40">
        <f>+O53-N53</f>
        <v>231744</v>
      </c>
      <c r="Z53" s="40">
        <f>N53-P53+O53-N53</f>
        <v>698981</v>
      </c>
    </row>
    <row r="54" spans="1:26" s="6" customFormat="1">
      <c r="A54" s="6" t="s">
        <v>96</v>
      </c>
      <c r="B54" s="10"/>
      <c r="C54" s="10"/>
      <c r="D54" s="10"/>
      <c r="E54" s="10"/>
      <c r="F54" s="10">
        <v>90000</v>
      </c>
      <c r="G54" s="10"/>
      <c r="H54" s="10"/>
      <c r="I54" s="10"/>
      <c r="J54" s="10"/>
      <c r="K54" s="10"/>
      <c r="L54" s="10"/>
      <c r="M54" s="10"/>
      <c r="N54" s="10">
        <f>SUM(B54:M54)</f>
        <v>90000</v>
      </c>
    </row>
    <row r="55" spans="1:26" s="6" customFormat="1">
      <c r="A55" s="6" t="s">
        <v>111</v>
      </c>
      <c r="B55" s="10">
        <v>348240</v>
      </c>
      <c r="C55" s="10"/>
      <c r="D55" s="10"/>
      <c r="E55" s="10"/>
      <c r="F55" s="10"/>
      <c r="G55" s="10"/>
      <c r="H55" s="10"/>
      <c r="I55" s="10"/>
      <c r="J55" s="10"/>
      <c r="K55" s="10"/>
      <c r="L55" s="10">
        <v>0</v>
      </c>
      <c r="M55" s="56"/>
      <c r="N55" s="10">
        <f>SUM(B55:M55)</f>
        <v>348240</v>
      </c>
    </row>
    <row r="56" spans="1:26" s="6" customFormat="1">
      <c r="A56" s="37" t="s">
        <v>58</v>
      </c>
      <c r="B56" s="7">
        <v>-15538.11</v>
      </c>
      <c r="C56" s="7">
        <v>-13830</v>
      </c>
      <c r="D56" s="7">
        <v>-11781</v>
      </c>
      <c r="E56" s="7">
        <v>-20000</v>
      </c>
      <c r="F56" s="7">
        <v>-20000</v>
      </c>
      <c r="G56" s="7">
        <v>-25000</v>
      </c>
      <c r="H56" s="7">
        <v>-20000</v>
      </c>
      <c r="I56" s="7">
        <v>-20000</v>
      </c>
      <c r="J56" s="7">
        <v>-25000</v>
      </c>
      <c r="K56" s="7">
        <v>-20000</v>
      </c>
      <c r="L56" s="7">
        <v>-20000</v>
      </c>
      <c r="M56" s="7">
        <v>-25000</v>
      </c>
      <c r="N56" s="7">
        <f>SUM(B56:M56)</f>
        <v>-236149.11</v>
      </c>
      <c r="O56" s="7">
        <v>412620</v>
      </c>
    </row>
    <row r="57" spans="1:26" s="6" customFormat="1">
      <c r="A57" s="6" t="s">
        <v>59</v>
      </c>
      <c r="B57" s="22">
        <v>-171741</v>
      </c>
      <c r="C57" s="22">
        <v>17619</v>
      </c>
      <c r="D57" s="22">
        <v>-544</v>
      </c>
      <c r="E57" s="22">
        <v>-25000</v>
      </c>
      <c r="F57" s="22">
        <v>-25000</v>
      </c>
      <c r="G57" s="22">
        <v>-25000</v>
      </c>
      <c r="H57" s="22">
        <v>-25000</v>
      </c>
      <c r="I57" s="22">
        <v>-25000</v>
      </c>
      <c r="J57" s="22">
        <v>-25000</v>
      </c>
      <c r="K57" s="22">
        <v>-25000</v>
      </c>
      <c r="L57" s="22">
        <v>-25000</v>
      </c>
      <c r="M57" s="22">
        <v>-25000</v>
      </c>
      <c r="N57" s="22">
        <f>SUM(B57:M57)</f>
        <v>-379666</v>
      </c>
      <c r="O57" s="56">
        <v>306614</v>
      </c>
    </row>
    <row r="58" spans="1:26" s="6" customFormat="1">
      <c r="A58" s="13" t="s">
        <v>60</v>
      </c>
      <c r="B58" s="19">
        <f t="shared" ref="B58:N58" si="12">SUM(B53:B57)</f>
        <v>182600.89</v>
      </c>
      <c r="C58" s="19">
        <f t="shared" si="12"/>
        <v>49556</v>
      </c>
      <c r="D58" s="19">
        <f t="shared" si="12"/>
        <v>-11476</v>
      </c>
      <c r="E58" s="19">
        <f t="shared" si="12"/>
        <v>55000</v>
      </c>
      <c r="F58" s="19">
        <f t="shared" si="12"/>
        <v>55000</v>
      </c>
      <c r="G58" s="19">
        <f t="shared" si="12"/>
        <v>50000</v>
      </c>
      <c r="H58" s="19">
        <f>SUM(H53:H57)</f>
        <v>-35000</v>
      </c>
      <c r="I58" s="19">
        <f t="shared" si="12"/>
        <v>30000</v>
      </c>
      <c r="J58" s="19">
        <f t="shared" si="12"/>
        <v>0</v>
      </c>
      <c r="K58" s="19">
        <f t="shared" si="12"/>
        <v>-35000</v>
      </c>
      <c r="L58" s="19">
        <f t="shared" si="12"/>
        <v>-35000</v>
      </c>
      <c r="M58" s="19">
        <f t="shared" si="12"/>
        <v>215725</v>
      </c>
      <c r="N58" s="19">
        <f t="shared" si="12"/>
        <v>521405.89</v>
      </c>
      <c r="O58" s="29"/>
    </row>
    <row r="59" spans="1:26">
      <c r="B59" s="7"/>
      <c r="C59" s="7"/>
      <c r="D59" s="7"/>
      <c r="E59" s="7"/>
      <c r="F59" s="7"/>
      <c r="G59" s="7"/>
      <c r="H59" s="7"/>
      <c r="I59" s="7"/>
      <c r="J59" s="7"/>
      <c r="K59" s="7"/>
      <c r="L59" s="7"/>
      <c r="M59" s="7"/>
      <c r="N59" s="7"/>
      <c r="O59" s="6"/>
    </row>
    <row r="60" spans="1:26">
      <c r="A60" s="1" t="s">
        <v>61</v>
      </c>
      <c r="B60" s="12">
        <v>14357541</v>
      </c>
      <c r="C60" s="7"/>
      <c r="D60" s="7"/>
      <c r="E60" s="7"/>
      <c r="F60" s="7"/>
      <c r="G60" s="7"/>
      <c r="H60" s="7" t="s">
        <v>38</v>
      </c>
      <c r="I60" s="7"/>
      <c r="J60" s="7"/>
      <c r="K60" s="6"/>
      <c r="L60" s="6"/>
      <c r="M60" s="6"/>
      <c r="N60" s="6"/>
      <c r="O60" s="6"/>
    </row>
    <row r="61" spans="1:26">
      <c r="A61" s="13" t="s">
        <v>62</v>
      </c>
      <c r="B61" s="19">
        <f t="shared" ref="B61:N61" si="13">+B58+B48</f>
        <v>2535516.89</v>
      </c>
      <c r="C61" s="19">
        <f t="shared" si="13"/>
        <v>4256418</v>
      </c>
      <c r="D61" s="19">
        <f t="shared" si="13"/>
        <v>3441378</v>
      </c>
      <c r="E61" s="19">
        <f t="shared" si="13"/>
        <v>3633083</v>
      </c>
      <c r="F61" s="19">
        <f t="shared" si="13"/>
        <v>2728724</v>
      </c>
      <c r="G61" s="19">
        <f t="shared" si="13"/>
        <v>2915595</v>
      </c>
      <c r="H61" s="19">
        <f t="shared" si="13"/>
        <v>4017190</v>
      </c>
      <c r="I61" s="19">
        <f t="shared" si="13"/>
        <v>3565648</v>
      </c>
      <c r="J61" s="19">
        <f t="shared" si="13"/>
        <v>2970730</v>
      </c>
      <c r="K61" s="19">
        <f t="shared" si="13"/>
        <v>3255954</v>
      </c>
      <c r="L61" s="19">
        <f t="shared" si="13"/>
        <v>2669675</v>
      </c>
      <c r="M61" s="19">
        <f t="shared" si="13"/>
        <v>2772329</v>
      </c>
      <c r="N61" s="19">
        <f t="shared" si="13"/>
        <v>38762240.890000001</v>
      </c>
      <c r="O61" s="29"/>
    </row>
    <row r="62" spans="1:26" ht="13.5" thickBot="1">
      <c r="A62" s="13" t="s">
        <v>63</v>
      </c>
      <c r="B62" s="30">
        <f t="shared" ref="B62:N62" si="14">+B13-B61</f>
        <v>-771091.89000000013</v>
      </c>
      <c r="C62" s="30">
        <f t="shared" si="14"/>
        <v>170726</v>
      </c>
      <c r="D62" s="30">
        <f t="shared" si="14"/>
        <v>918345</v>
      </c>
      <c r="E62" s="14">
        <f t="shared" si="14"/>
        <v>583156</v>
      </c>
      <c r="F62" s="14">
        <f t="shared" si="14"/>
        <v>-125852</v>
      </c>
      <c r="G62" s="14">
        <f t="shared" si="14"/>
        <v>-37690</v>
      </c>
      <c r="H62" s="14">
        <f t="shared" si="14"/>
        <v>100669</v>
      </c>
      <c r="I62" s="14">
        <f t="shared" si="14"/>
        <v>782418</v>
      </c>
      <c r="J62" s="14">
        <f t="shared" si="14"/>
        <v>335342</v>
      </c>
      <c r="K62" s="14">
        <f t="shared" si="14"/>
        <v>368443</v>
      </c>
      <c r="L62" s="14">
        <f t="shared" si="14"/>
        <v>110221</v>
      </c>
      <c r="M62" s="14">
        <f t="shared" si="14"/>
        <v>-1059580</v>
      </c>
      <c r="N62" s="14">
        <f t="shared" si="14"/>
        <v>1375106.1099999994</v>
      </c>
      <c r="O62" s="29"/>
    </row>
    <row r="63" spans="1:26" s="6" customFormat="1" ht="13.5" thickTop="1">
      <c r="A63" s="13" t="s">
        <v>64</v>
      </c>
      <c r="B63" s="32">
        <f>+B62</f>
        <v>-771091.89000000013</v>
      </c>
      <c r="C63" s="32">
        <f t="shared" ref="C63:M63" si="15">B63+C62</f>
        <v>-600365.89000000013</v>
      </c>
      <c r="D63" s="32">
        <f t="shared" si="15"/>
        <v>317979.10999999987</v>
      </c>
      <c r="E63" s="12">
        <f t="shared" si="15"/>
        <v>901135.10999999987</v>
      </c>
      <c r="F63" s="12">
        <f t="shared" si="15"/>
        <v>775283.10999999987</v>
      </c>
      <c r="G63" s="12">
        <f t="shared" si="15"/>
        <v>737593.10999999987</v>
      </c>
      <c r="H63" s="12">
        <f t="shared" si="15"/>
        <v>838262.10999999987</v>
      </c>
      <c r="I63" s="12">
        <f t="shared" si="15"/>
        <v>1620680.1099999999</v>
      </c>
      <c r="J63" s="12">
        <f t="shared" si="15"/>
        <v>1956022.1099999999</v>
      </c>
      <c r="K63" s="12">
        <f t="shared" si="15"/>
        <v>2324465.11</v>
      </c>
      <c r="L63" s="12">
        <f t="shared" si="15"/>
        <v>2434686.11</v>
      </c>
      <c r="M63" s="12">
        <f t="shared" si="15"/>
        <v>1375106.1099999999</v>
      </c>
      <c r="N63" s="12"/>
    </row>
    <row r="64" spans="1:26">
      <c r="A64" s="13" t="s">
        <v>65</v>
      </c>
      <c r="B64" s="12">
        <f t="shared" ref="B64:M64" si="16">+$B$60+B63</f>
        <v>13586449.109999999</v>
      </c>
      <c r="C64" s="12">
        <f t="shared" si="16"/>
        <v>13757175.109999999</v>
      </c>
      <c r="D64" s="12">
        <f t="shared" si="16"/>
        <v>14675520.109999999</v>
      </c>
      <c r="E64" s="12">
        <f t="shared" si="16"/>
        <v>15258676.109999999</v>
      </c>
      <c r="F64" s="12">
        <f t="shared" si="16"/>
        <v>15132824.109999999</v>
      </c>
      <c r="G64" s="12">
        <f t="shared" si="16"/>
        <v>15095134.109999999</v>
      </c>
      <c r="H64" s="12">
        <f t="shared" si="16"/>
        <v>15195803.109999999</v>
      </c>
      <c r="I64" s="12">
        <f t="shared" si="16"/>
        <v>15978221.109999999</v>
      </c>
      <c r="J64" s="12">
        <f t="shared" si="16"/>
        <v>16313563.109999999</v>
      </c>
      <c r="K64" s="12">
        <f t="shared" si="16"/>
        <v>16682006.109999999</v>
      </c>
      <c r="L64" s="12">
        <f t="shared" si="16"/>
        <v>16792227.109999999</v>
      </c>
      <c r="M64" s="12">
        <f t="shared" si="16"/>
        <v>15732647.109999999</v>
      </c>
      <c r="N64" s="12"/>
      <c r="O64" s="6"/>
    </row>
    <row r="65" spans="1:15">
      <c r="A65" s="6"/>
      <c r="B65" s="7"/>
      <c r="C65" s="7"/>
      <c r="D65" s="7"/>
      <c r="E65" s="7"/>
      <c r="F65" s="7"/>
      <c r="G65" s="7"/>
      <c r="H65" s="7"/>
      <c r="I65" s="7"/>
      <c r="J65" s="7"/>
      <c r="K65" s="6"/>
      <c r="L65" s="6"/>
      <c r="M65" s="6"/>
      <c r="N65" s="6"/>
      <c r="O65" s="6"/>
    </row>
    <row r="66" spans="1:15" s="6" customFormat="1">
      <c r="A66" s="17" t="s">
        <v>114</v>
      </c>
      <c r="B66" s="18"/>
      <c r="C66" s="18"/>
      <c r="D66" s="18"/>
      <c r="E66" s="18"/>
      <c r="F66" s="18"/>
      <c r="G66" s="18"/>
      <c r="H66" s="18"/>
      <c r="I66" s="18"/>
      <c r="J66" s="18"/>
      <c r="K66" s="18"/>
      <c r="L66" s="18"/>
      <c r="M66" s="18"/>
      <c r="N66" s="18"/>
    </row>
    <row r="67" spans="1:15" ht="13.5" thickBot="1">
      <c r="A67" s="13" t="s">
        <v>67</v>
      </c>
      <c r="B67" s="14">
        <v>-1440029</v>
      </c>
      <c r="C67" s="14">
        <v>-123812</v>
      </c>
      <c r="D67" s="14">
        <v>1148155</v>
      </c>
      <c r="E67" s="14">
        <v>583156</v>
      </c>
      <c r="F67" s="14">
        <v>-125852</v>
      </c>
      <c r="G67" s="14">
        <v>-37690</v>
      </c>
      <c r="H67" s="14">
        <v>100669</v>
      </c>
      <c r="I67" s="14">
        <v>782418</v>
      </c>
      <c r="J67" s="14">
        <v>335342</v>
      </c>
      <c r="K67" s="14">
        <v>368443</v>
      </c>
      <c r="L67" s="14">
        <v>110221</v>
      </c>
      <c r="M67" s="14">
        <v>-1059580</v>
      </c>
      <c r="N67" s="16"/>
      <c r="O67" s="6"/>
    </row>
    <row r="68" spans="1:15" ht="13.5" thickTop="1">
      <c r="A68" s="13" t="s">
        <v>64</v>
      </c>
      <c r="B68" s="12">
        <f>+B67</f>
        <v>-1440029</v>
      </c>
      <c r="C68" s="12">
        <f>+B68+C67</f>
        <v>-1563841</v>
      </c>
      <c r="D68" s="12">
        <f t="shared" ref="D68:M68" si="17">+C68+D67</f>
        <v>-415686</v>
      </c>
      <c r="E68" s="12">
        <f t="shared" si="17"/>
        <v>167470</v>
      </c>
      <c r="F68" s="12">
        <f t="shared" si="17"/>
        <v>41618</v>
      </c>
      <c r="G68" s="12">
        <f t="shared" si="17"/>
        <v>3928</v>
      </c>
      <c r="H68" s="12">
        <f t="shared" si="17"/>
        <v>104597</v>
      </c>
      <c r="I68" s="12">
        <f t="shared" si="17"/>
        <v>887015</v>
      </c>
      <c r="J68" s="12">
        <f t="shared" si="17"/>
        <v>1222357</v>
      </c>
      <c r="K68" s="12">
        <f t="shared" si="17"/>
        <v>1590800</v>
      </c>
      <c r="L68" s="12">
        <f t="shared" si="17"/>
        <v>1701021</v>
      </c>
      <c r="M68" s="12">
        <f t="shared" si="17"/>
        <v>641441</v>
      </c>
      <c r="N68" s="16"/>
      <c r="O68" s="6"/>
    </row>
    <row r="69" spans="1:15">
      <c r="A69" s="13" t="s">
        <v>65</v>
      </c>
      <c r="B69" s="12">
        <v>12917512</v>
      </c>
      <c r="C69" s="12">
        <v>12793700</v>
      </c>
      <c r="D69" s="12">
        <v>13941855</v>
      </c>
      <c r="E69" s="12">
        <v>14525011</v>
      </c>
      <c r="F69" s="12">
        <v>14399159</v>
      </c>
      <c r="G69" s="12">
        <v>14361469</v>
      </c>
      <c r="H69" s="12">
        <v>14462138</v>
      </c>
      <c r="I69" s="12">
        <v>15244556</v>
      </c>
      <c r="J69" s="12">
        <v>15579898</v>
      </c>
      <c r="K69" s="12">
        <v>15948341</v>
      </c>
      <c r="L69" s="12">
        <v>16058562</v>
      </c>
      <c r="M69" s="12">
        <v>14998982</v>
      </c>
      <c r="N69" s="12"/>
      <c r="O69" s="6"/>
    </row>
    <row r="70" spans="1:15">
      <c r="A70" s="6"/>
      <c r="B70" s="6"/>
      <c r="C70" s="6"/>
      <c r="D70" s="6"/>
      <c r="E70" s="6"/>
      <c r="F70" s="6"/>
      <c r="H70" s="6"/>
      <c r="I70" s="6"/>
      <c r="J70" s="6"/>
      <c r="K70" s="6"/>
      <c r="L70" s="6"/>
      <c r="M70" s="6"/>
      <c r="N70" s="6"/>
      <c r="O70" s="6"/>
    </row>
    <row r="71" spans="1:15">
      <c r="A71" s="24" t="s">
        <v>68</v>
      </c>
      <c r="B71" s="18"/>
      <c r="C71" s="18"/>
      <c r="D71" s="18"/>
      <c r="E71" s="18"/>
      <c r="F71" s="18"/>
      <c r="G71" s="18"/>
      <c r="H71" s="18"/>
      <c r="I71" s="18"/>
      <c r="J71" s="18"/>
      <c r="K71" s="18"/>
      <c r="L71" s="18"/>
      <c r="M71" s="18"/>
      <c r="N71" s="18"/>
      <c r="O71" s="6"/>
    </row>
    <row r="72" spans="1:15">
      <c r="A72" s="13" t="s">
        <v>63</v>
      </c>
      <c r="B72" s="31">
        <f t="shared" ref="B72:N74" si="18">+B62-B67</f>
        <v>668937.10999999987</v>
      </c>
      <c r="C72" s="31">
        <f t="shared" si="18"/>
        <v>294538</v>
      </c>
      <c r="D72" s="31">
        <f t="shared" si="18"/>
        <v>-229810</v>
      </c>
      <c r="E72" s="31">
        <f t="shared" si="18"/>
        <v>0</v>
      </c>
      <c r="F72" s="31">
        <f t="shared" si="18"/>
        <v>0</v>
      </c>
      <c r="G72" s="31">
        <f t="shared" si="18"/>
        <v>0</v>
      </c>
      <c r="H72" s="31">
        <f t="shared" si="18"/>
        <v>0</v>
      </c>
      <c r="I72" s="31">
        <f t="shared" si="18"/>
        <v>0</v>
      </c>
      <c r="J72" s="31">
        <f t="shared" si="18"/>
        <v>0</v>
      </c>
      <c r="K72" s="31">
        <f t="shared" si="18"/>
        <v>0</v>
      </c>
      <c r="L72" s="31">
        <f t="shared" si="18"/>
        <v>0</v>
      </c>
      <c r="M72" s="31">
        <f t="shared" si="18"/>
        <v>0</v>
      </c>
      <c r="N72" s="6"/>
      <c r="O72" s="6"/>
    </row>
    <row r="73" spans="1:15" s="6" customFormat="1">
      <c r="A73" s="13" t="s">
        <v>64</v>
      </c>
      <c r="B73" s="31">
        <f t="shared" si="18"/>
        <v>668937.10999999987</v>
      </c>
      <c r="C73" s="31">
        <f t="shared" si="18"/>
        <v>963475.10999999987</v>
      </c>
      <c r="D73" s="31">
        <f t="shared" si="18"/>
        <v>733665.10999999987</v>
      </c>
      <c r="E73" s="31">
        <f t="shared" si="18"/>
        <v>733665.10999999987</v>
      </c>
      <c r="F73" s="31">
        <f t="shared" si="18"/>
        <v>733665.10999999987</v>
      </c>
      <c r="G73" s="31">
        <f t="shared" si="18"/>
        <v>733665.10999999987</v>
      </c>
      <c r="H73" s="31">
        <f t="shared" si="18"/>
        <v>733665.10999999987</v>
      </c>
      <c r="I73" s="31">
        <f t="shared" si="18"/>
        <v>733665.10999999987</v>
      </c>
      <c r="J73" s="31">
        <f t="shared" si="18"/>
        <v>733665.10999999987</v>
      </c>
      <c r="K73" s="31">
        <f t="shared" si="18"/>
        <v>733665.10999999987</v>
      </c>
      <c r="L73" s="31">
        <f t="shared" si="18"/>
        <v>733665.10999999987</v>
      </c>
      <c r="M73" s="31">
        <f t="shared" si="18"/>
        <v>733665.10999999987</v>
      </c>
      <c r="N73" s="16">
        <f t="shared" si="18"/>
        <v>0</v>
      </c>
    </row>
    <row r="74" spans="1:15">
      <c r="A74" s="1" t="s">
        <v>65</v>
      </c>
      <c r="B74" s="16">
        <f t="shared" si="18"/>
        <v>668937.1099999994</v>
      </c>
      <c r="C74" s="16">
        <f t="shared" si="18"/>
        <v>963475.1099999994</v>
      </c>
      <c r="D74" s="16">
        <f t="shared" si="18"/>
        <v>733665.1099999994</v>
      </c>
      <c r="E74" s="16">
        <f t="shared" si="18"/>
        <v>733665.1099999994</v>
      </c>
      <c r="F74" s="16">
        <f t="shared" si="18"/>
        <v>733665.1099999994</v>
      </c>
      <c r="G74" s="16">
        <f t="shared" si="18"/>
        <v>733665.1099999994</v>
      </c>
      <c r="H74" s="16">
        <f t="shared" si="18"/>
        <v>733665.1099999994</v>
      </c>
      <c r="I74" s="16">
        <f t="shared" si="18"/>
        <v>733665.1099999994</v>
      </c>
      <c r="J74" s="16">
        <f t="shared" si="18"/>
        <v>733665.1099999994</v>
      </c>
      <c r="K74" s="16">
        <f t="shared" si="18"/>
        <v>733665.1099999994</v>
      </c>
      <c r="L74" s="16">
        <f t="shared" si="18"/>
        <v>733665.1099999994</v>
      </c>
      <c r="M74" s="16">
        <f t="shared" si="18"/>
        <v>733665.1099999994</v>
      </c>
      <c r="N74" s="16"/>
      <c r="O74" s="6"/>
    </row>
    <row r="75" spans="1:15">
      <c r="B75" s="6"/>
      <c r="C75" s="6"/>
      <c r="D75" s="6"/>
      <c r="E75" s="6"/>
      <c r="F75" s="6"/>
      <c r="H75" s="6"/>
      <c r="I75" s="6"/>
      <c r="J75" s="6"/>
      <c r="K75" s="6"/>
      <c r="L75" s="6"/>
      <c r="M75" s="6"/>
      <c r="N75" s="6"/>
    </row>
    <row r="76" spans="1:15">
      <c r="A76" s="1"/>
      <c r="B76" s="4"/>
      <c r="C76" s="8"/>
      <c r="D76" s="8"/>
      <c r="E76" s="8"/>
      <c r="F76" s="8"/>
      <c r="H76" s="20"/>
      <c r="J76" s="6"/>
      <c r="K76" s="6"/>
    </row>
    <row r="77" spans="1:15">
      <c r="A77" s="1"/>
      <c r="B77" s="4"/>
      <c r="C77" s="8"/>
      <c r="D77" s="8"/>
      <c r="E77" s="8"/>
      <c r="F77" s="8"/>
      <c r="H77" s="20"/>
      <c r="J77" s="6"/>
    </row>
    <row r="78" spans="1:15">
      <c r="A78" s="1"/>
      <c r="B78" s="4"/>
      <c r="D78" s="8"/>
      <c r="E78" s="8"/>
      <c r="F78" s="8"/>
      <c r="H78" s="61"/>
      <c r="J78" s="6"/>
    </row>
    <row r="79" spans="1:15">
      <c r="E79" s="6"/>
      <c r="H79" s="20"/>
      <c r="J79" s="6"/>
      <c r="N79" s="25"/>
    </row>
    <row r="80" spans="1:15">
      <c r="A80" t="s">
        <v>69</v>
      </c>
      <c r="B80" t="s">
        <v>69</v>
      </c>
      <c r="C80" t="s">
        <v>69</v>
      </c>
      <c r="D80" t="s">
        <v>69</v>
      </c>
      <c r="E80" s="6" t="s">
        <v>69</v>
      </c>
      <c r="F80" t="s">
        <v>69</v>
      </c>
      <c r="G80" s="6" t="s">
        <v>69</v>
      </c>
      <c r="H80" t="s">
        <v>69</v>
      </c>
      <c r="I80" t="s">
        <v>69</v>
      </c>
      <c r="J80" s="6" t="s">
        <v>69</v>
      </c>
      <c r="K80" t="s">
        <v>69</v>
      </c>
      <c r="L80" t="s">
        <v>69</v>
      </c>
      <c r="M80" t="s">
        <v>69</v>
      </c>
      <c r="N80" t="s">
        <v>69</v>
      </c>
    </row>
  </sheetData>
  <pageMargins left="0.28000000000000003" right="0.25" top="0.99" bottom="0.75" header="0.63" footer="0.23"/>
  <pageSetup scale="60" orientation="landscape" r:id="rId1"/>
  <headerFooter alignWithMargins="0">
    <oddHeader xml:space="preserve">&amp;C&amp;"Arial,Bold"&amp;11 49ER SHOPS, INC.
&amp;UFY2017/2018 OPERATIONAL CASH FLOW </oddHeader>
    <oddFooter xml:space="preserve">&amp;CCash Flow - FY2018/2019
September 2018
</oddFooter>
  </headerFooter>
  <legacyDrawing r:id="rId2"/>
</worksheet>
</file>

<file path=xl/worksheets/sheet3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Z80"/>
  <sheetViews>
    <sheetView showGridLines="0" zoomScale="60" zoomScaleNormal="60" workbookViewId="0">
      <selection activeCell="E79" sqref="E79"/>
    </sheetView>
  </sheetViews>
  <sheetFormatPr defaultRowHeight="12.75"/>
  <cols>
    <col min="1" max="1" width="35.42578125" customWidth="1"/>
    <col min="2" max="2" width="14" customWidth="1"/>
    <col min="3" max="3" width="14.5703125" customWidth="1"/>
    <col min="4" max="4" width="14" customWidth="1"/>
    <col min="5" max="6" width="13.5703125" customWidth="1"/>
    <col min="7" max="7" width="16.5703125" style="6" customWidth="1"/>
    <col min="8" max="8" width="14.140625" customWidth="1"/>
    <col min="9" max="9" width="14.42578125" customWidth="1"/>
    <col min="10" max="10" width="13.85546875" customWidth="1"/>
    <col min="11" max="11" width="15.140625" customWidth="1"/>
    <col min="12" max="12" width="13.5703125" customWidth="1"/>
    <col min="13" max="13" width="14.42578125" customWidth="1"/>
    <col min="14" max="14" width="16.5703125" customWidth="1"/>
    <col min="15" max="15" width="12.42578125" bestFit="1" customWidth="1"/>
    <col min="16" max="16" width="14.140625" customWidth="1"/>
  </cols>
  <sheetData>
    <row r="1" spans="1:15" ht="13.5" thickBot="1">
      <c r="A1" s="46" t="s">
        <v>115</v>
      </c>
      <c r="E1" s="6"/>
      <c r="F1" s="6"/>
      <c r="J1" s="6"/>
      <c r="K1" s="6"/>
      <c r="N1" s="3"/>
    </row>
    <row r="2" spans="1:15">
      <c r="B2" s="45" t="s">
        <v>24</v>
      </c>
      <c r="C2" s="45" t="s">
        <v>24</v>
      </c>
      <c r="D2" s="45" t="s">
        <v>24</v>
      </c>
      <c r="E2" s="45" t="s">
        <v>24</v>
      </c>
      <c r="F2" s="45" t="s">
        <v>76</v>
      </c>
      <c r="G2" s="45" t="s">
        <v>76</v>
      </c>
      <c r="H2" s="45" t="s">
        <v>76</v>
      </c>
      <c r="I2" s="45" t="s">
        <v>76</v>
      </c>
      <c r="J2" s="45" t="s">
        <v>76</v>
      </c>
      <c r="K2" s="45" t="s">
        <v>76</v>
      </c>
      <c r="L2" s="45" t="s">
        <v>76</v>
      </c>
      <c r="M2" s="45" t="s">
        <v>76</v>
      </c>
      <c r="N2" s="28" t="s">
        <v>25</v>
      </c>
    </row>
    <row r="3" spans="1:15" s="5" customFormat="1">
      <c r="B3" s="11">
        <v>43283</v>
      </c>
      <c r="C3" s="11">
        <v>43314</v>
      </c>
      <c r="D3" s="11">
        <v>43345</v>
      </c>
      <c r="E3" s="11">
        <v>43375</v>
      </c>
      <c r="F3" s="11">
        <v>43406</v>
      </c>
      <c r="G3" s="11">
        <v>43436</v>
      </c>
      <c r="H3" s="11">
        <v>43467</v>
      </c>
      <c r="I3" s="11">
        <v>43498</v>
      </c>
      <c r="J3" s="11">
        <v>43526</v>
      </c>
      <c r="K3" s="11">
        <v>43557</v>
      </c>
      <c r="L3" s="11">
        <v>43587</v>
      </c>
      <c r="M3" s="11">
        <v>43618</v>
      </c>
      <c r="N3" s="57" t="s">
        <v>113</v>
      </c>
    </row>
    <row r="4" spans="1:15" hidden="1">
      <c r="A4" s="1" t="s">
        <v>27</v>
      </c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>
        <f>SUM(B4:M4)</f>
        <v>0</v>
      </c>
      <c r="O4" s="29"/>
    </row>
    <row r="5" spans="1:15" s="6" customFormat="1" hidden="1">
      <c r="A5" s="6" t="s">
        <v>28</v>
      </c>
      <c r="B5" s="53">
        <v>1664716</v>
      </c>
      <c r="C5" s="53">
        <v>4334056</v>
      </c>
      <c r="D5" s="53">
        <v>4037246</v>
      </c>
      <c r="E5" s="53">
        <v>3697436</v>
      </c>
      <c r="F5" s="53">
        <v>2497881</v>
      </c>
      <c r="G5" s="53">
        <v>2776160</v>
      </c>
      <c r="H5" s="53">
        <v>4028939</v>
      </c>
      <c r="I5" s="53">
        <v>4052325</v>
      </c>
      <c r="J5" s="53">
        <v>3199134</v>
      </c>
      <c r="K5" s="53">
        <v>3507287</v>
      </c>
      <c r="L5" s="53">
        <v>2668320</v>
      </c>
      <c r="M5" s="53">
        <v>1617618</v>
      </c>
      <c r="N5" s="12">
        <f>SUM(B5:M5)</f>
        <v>38081118</v>
      </c>
      <c r="O5" s="29"/>
    </row>
    <row r="6" spans="1:15" s="6" customFormat="1" hidden="1">
      <c r="A6" s="6" t="s">
        <v>29</v>
      </c>
      <c r="B6" s="53">
        <v>98799</v>
      </c>
      <c r="C6" s="53">
        <v>92990</v>
      </c>
      <c r="D6" s="53">
        <v>321611</v>
      </c>
      <c r="E6" s="53">
        <v>154261</v>
      </c>
      <c r="F6" s="53">
        <v>104991</v>
      </c>
      <c r="G6" s="53">
        <v>101745</v>
      </c>
      <c r="H6" s="53">
        <v>88920</v>
      </c>
      <c r="I6" s="53">
        <v>295741</v>
      </c>
      <c r="J6" s="53">
        <v>106938</v>
      </c>
      <c r="K6" s="53">
        <v>117110</v>
      </c>
      <c r="L6" s="53">
        <v>111576</v>
      </c>
      <c r="M6" s="53">
        <v>95131</v>
      </c>
      <c r="N6" s="7">
        <f>SUM(B6:M6)</f>
        <v>1689813</v>
      </c>
      <c r="O6" s="29"/>
    </row>
    <row r="7" spans="1:15" s="6" customFormat="1" hidden="1">
      <c r="B7" s="7"/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7">
        <f>SUM(B7:M7)</f>
        <v>0</v>
      </c>
      <c r="O7" s="29"/>
    </row>
    <row r="8" spans="1:15" s="6" customFormat="1" hidden="1">
      <c r="B8" s="15"/>
      <c r="C8" s="15"/>
      <c r="D8" s="15"/>
      <c r="E8" s="15"/>
      <c r="F8" s="15"/>
      <c r="G8" s="15"/>
      <c r="H8" s="15"/>
      <c r="I8" s="15"/>
      <c r="J8" s="15"/>
      <c r="K8" s="15"/>
      <c r="L8" s="15"/>
      <c r="M8" s="15"/>
      <c r="N8" s="15">
        <f>SUM(B8:M8)</f>
        <v>0</v>
      </c>
      <c r="O8" s="29"/>
    </row>
    <row r="9" spans="1:15" s="6" customFormat="1">
      <c r="A9" s="13" t="s">
        <v>30</v>
      </c>
      <c r="B9" s="12">
        <f t="shared" ref="B9:N9" si="0">SUM(B5:B8)</f>
        <v>1763515</v>
      </c>
      <c r="C9" s="12">
        <f t="shared" si="0"/>
        <v>4427046</v>
      </c>
      <c r="D9" s="12">
        <f t="shared" si="0"/>
        <v>4358857</v>
      </c>
      <c r="E9" s="12">
        <f t="shared" si="0"/>
        <v>3851697</v>
      </c>
      <c r="F9" s="12">
        <f t="shared" si="0"/>
        <v>2602872</v>
      </c>
      <c r="G9" s="12">
        <f t="shared" si="0"/>
        <v>2877905</v>
      </c>
      <c r="H9" s="12">
        <f t="shared" si="0"/>
        <v>4117859</v>
      </c>
      <c r="I9" s="12">
        <f t="shared" si="0"/>
        <v>4348066</v>
      </c>
      <c r="J9" s="12">
        <f t="shared" si="0"/>
        <v>3306072</v>
      </c>
      <c r="K9" s="12">
        <f t="shared" si="0"/>
        <v>3624397</v>
      </c>
      <c r="L9" s="12">
        <f t="shared" si="0"/>
        <v>2779896</v>
      </c>
      <c r="M9" s="12">
        <f t="shared" si="0"/>
        <v>1712749</v>
      </c>
      <c r="N9" s="12">
        <f t="shared" si="0"/>
        <v>39770931</v>
      </c>
      <c r="O9" s="29"/>
    </row>
    <row r="10" spans="1:15" s="6" customFormat="1" ht="6.75" customHeight="1"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29"/>
    </row>
    <row r="11" spans="1:15" s="6" customFormat="1">
      <c r="A11" s="13" t="s">
        <v>31</v>
      </c>
      <c r="B11" s="7">
        <v>910</v>
      </c>
      <c r="C11" s="7">
        <v>98</v>
      </c>
      <c r="D11" s="7">
        <v>866</v>
      </c>
      <c r="E11" s="7">
        <v>0</v>
      </c>
      <c r="F11" s="7">
        <v>0</v>
      </c>
      <c r="G11" s="7">
        <v>0</v>
      </c>
      <c r="H11" s="7">
        <v>0</v>
      </c>
      <c r="I11" s="7">
        <v>0</v>
      </c>
      <c r="J11" s="7">
        <v>0</v>
      </c>
      <c r="K11" s="7">
        <v>0</v>
      </c>
      <c r="L11" s="7">
        <v>0</v>
      </c>
      <c r="M11" s="7">
        <v>0</v>
      </c>
      <c r="N11" s="7">
        <f>SUM(B11:M11)</f>
        <v>1874</v>
      </c>
      <c r="O11" s="29">
        <v>-232025</v>
      </c>
    </row>
    <row r="12" spans="1:15" s="6" customFormat="1" ht="7.5" customHeight="1">
      <c r="B12" s="7"/>
      <c r="C12" s="7"/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  <c r="O12" s="29"/>
    </row>
    <row r="13" spans="1:15" s="6" customFormat="1" ht="13.5" thickBot="1">
      <c r="A13" s="13" t="s">
        <v>32</v>
      </c>
      <c r="B13" s="14">
        <f t="shared" ref="B13:N13" si="1">B9+B11</f>
        <v>1764425</v>
      </c>
      <c r="C13" s="14">
        <f>C9+C11</f>
        <v>4427144</v>
      </c>
      <c r="D13" s="14">
        <f t="shared" si="1"/>
        <v>4359723</v>
      </c>
      <c r="E13" s="14">
        <f t="shared" si="1"/>
        <v>3851697</v>
      </c>
      <c r="F13" s="14">
        <f t="shared" si="1"/>
        <v>2602872</v>
      </c>
      <c r="G13" s="14">
        <f t="shared" si="1"/>
        <v>2877905</v>
      </c>
      <c r="H13" s="14">
        <f t="shared" si="1"/>
        <v>4117859</v>
      </c>
      <c r="I13" s="14">
        <f t="shared" si="1"/>
        <v>4348066</v>
      </c>
      <c r="J13" s="14">
        <f t="shared" si="1"/>
        <v>3306072</v>
      </c>
      <c r="K13" s="14">
        <f t="shared" si="1"/>
        <v>3624397</v>
      </c>
      <c r="L13" s="14">
        <f t="shared" si="1"/>
        <v>2779896</v>
      </c>
      <c r="M13" s="14">
        <f t="shared" si="1"/>
        <v>1712749</v>
      </c>
      <c r="N13" s="14">
        <f t="shared" si="1"/>
        <v>39772805</v>
      </c>
      <c r="O13" s="29"/>
    </row>
    <row r="14" spans="1:15" s="6" customFormat="1" ht="13.5" thickTop="1">
      <c r="B14" s="7"/>
      <c r="C14" s="7"/>
      <c r="D14" s="7"/>
      <c r="E14" s="7"/>
      <c r="F14" s="7"/>
      <c r="G14" s="7"/>
      <c r="H14" s="7"/>
      <c r="I14" s="7"/>
      <c r="J14" s="7"/>
      <c r="K14" s="7"/>
      <c r="L14" s="7"/>
      <c r="M14" s="7"/>
    </row>
    <row r="15" spans="1:15" s="6" customFormat="1" hidden="1">
      <c r="A15" s="13" t="s">
        <v>33</v>
      </c>
      <c r="B15" s="7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</row>
    <row r="16" spans="1:15" s="6" customFormat="1" hidden="1">
      <c r="A16" s="6" t="s">
        <v>34</v>
      </c>
      <c r="B16" s="53">
        <v>808507</v>
      </c>
      <c r="C16" s="53">
        <v>2662695</v>
      </c>
      <c r="D16" s="53">
        <v>1620992</v>
      </c>
      <c r="E16" s="53">
        <v>1274587</v>
      </c>
      <c r="F16" s="53">
        <v>928598</v>
      </c>
      <c r="G16" s="53">
        <v>954396</v>
      </c>
      <c r="H16" s="53">
        <v>2336270</v>
      </c>
      <c r="I16" s="53">
        <v>1689918</v>
      </c>
      <c r="J16" s="53">
        <v>1116694</v>
      </c>
      <c r="K16" s="53">
        <v>1332035</v>
      </c>
      <c r="L16" s="53">
        <v>1066893</v>
      </c>
      <c r="M16" s="53">
        <v>774058</v>
      </c>
      <c r="N16" s="7">
        <f>SUM(B16:M16)</f>
        <v>16565643</v>
      </c>
      <c r="O16" s="29"/>
    </row>
    <row r="17" spans="1:15" s="6" customFormat="1" hidden="1">
      <c r="B17" s="27"/>
      <c r="C17" s="27"/>
      <c r="D17" s="27"/>
      <c r="E17" s="27"/>
      <c r="F17" s="27"/>
      <c r="G17" s="27"/>
      <c r="H17" s="27"/>
      <c r="I17" s="27"/>
      <c r="J17" s="27"/>
      <c r="K17" s="27"/>
      <c r="L17" s="27"/>
      <c r="M17" s="27"/>
      <c r="N17" s="7">
        <f>SUM(B17:M17)</f>
        <v>0</v>
      </c>
    </row>
    <row r="18" spans="1:15" s="6" customFormat="1" hidden="1">
      <c r="B18" s="7"/>
      <c r="C18" s="7"/>
      <c r="D18" s="7"/>
      <c r="E18" s="7"/>
      <c r="F18" s="7"/>
      <c r="G18" s="7"/>
      <c r="H18" s="7"/>
      <c r="I18" s="7"/>
      <c r="J18" s="7"/>
      <c r="K18" s="7"/>
      <c r="L18" s="7"/>
      <c r="M18" s="7"/>
      <c r="N18" s="7">
        <v>0</v>
      </c>
    </row>
    <row r="19" spans="1:15" s="6" customFormat="1" hidden="1">
      <c r="B19" s="15"/>
      <c r="C19" s="15"/>
      <c r="D19" s="15"/>
      <c r="E19" s="15"/>
      <c r="F19" s="15"/>
      <c r="G19" s="15"/>
      <c r="H19" s="15"/>
      <c r="I19" s="15"/>
      <c r="J19" s="15"/>
      <c r="K19" s="15"/>
      <c r="L19" s="15"/>
      <c r="M19" s="15"/>
      <c r="N19" s="15">
        <f>SUM(B19:M19)</f>
        <v>0</v>
      </c>
    </row>
    <row r="20" spans="1:15" s="6" customFormat="1">
      <c r="A20" s="13" t="s">
        <v>35</v>
      </c>
      <c r="B20" s="12">
        <f t="shared" ref="B20:N20" si="2">SUM(B16:B19)</f>
        <v>808507</v>
      </c>
      <c r="C20" s="12">
        <f t="shared" si="2"/>
        <v>2662695</v>
      </c>
      <c r="D20" s="12">
        <f t="shared" si="2"/>
        <v>1620992</v>
      </c>
      <c r="E20" s="12">
        <f t="shared" si="2"/>
        <v>1274587</v>
      </c>
      <c r="F20" s="12">
        <f t="shared" si="2"/>
        <v>928598</v>
      </c>
      <c r="G20" s="12">
        <f t="shared" si="2"/>
        <v>954396</v>
      </c>
      <c r="H20" s="12">
        <f t="shared" si="2"/>
        <v>2336270</v>
      </c>
      <c r="I20" s="12">
        <f t="shared" si="2"/>
        <v>1689918</v>
      </c>
      <c r="J20" s="12">
        <f t="shared" si="2"/>
        <v>1116694</v>
      </c>
      <c r="K20" s="12">
        <f t="shared" si="2"/>
        <v>1332035</v>
      </c>
      <c r="L20" s="12">
        <f t="shared" si="2"/>
        <v>1066893</v>
      </c>
      <c r="M20" s="12">
        <f t="shared" si="2"/>
        <v>774058</v>
      </c>
      <c r="N20" s="12">
        <f t="shared" si="2"/>
        <v>16565643</v>
      </c>
      <c r="O20" s="29"/>
    </row>
    <row r="21" spans="1:15" s="6" customFormat="1">
      <c r="B21" s="7"/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</row>
    <row r="22" spans="1:15" s="6" customFormat="1" hidden="1">
      <c r="A22" s="13" t="s">
        <v>36</v>
      </c>
      <c r="B22" s="7"/>
      <c r="C22" s="7"/>
      <c r="D22" s="7"/>
      <c r="E22" s="7"/>
      <c r="F22" s="7"/>
      <c r="G22" s="7"/>
      <c r="H22" s="7"/>
      <c r="I22" s="7"/>
      <c r="J22" s="7"/>
      <c r="K22" s="7"/>
      <c r="L22" s="7"/>
      <c r="M22" s="7"/>
    </row>
    <row r="23" spans="1:15" s="6" customFormat="1" hidden="1">
      <c r="A23" s="6" t="s">
        <v>37</v>
      </c>
      <c r="B23" s="7">
        <f t="shared" ref="B23:M26" si="3">+B5-B16</f>
        <v>856209</v>
      </c>
      <c r="C23" s="7">
        <f t="shared" si="3"/>
        <v>1671361</v>
      </c>
      <c r="D23" s="7">
        <f t="shared" si="3"/>
        <v>2416254</v>
      </c>
      <c r="E23" s="7">
        <f t="shared" si="3"/>
        <v>2422849</v>
      </c>
      <c r="F23" s="7">
        <f t="shared" si="3"/>
        <v>1569283</v>
      </c>
      <c r="G23" s="7">
        <f t="shared" si="3"/>
        <v>1821764</v>
      </c>
      <c r="H23" s="7">
        <f t="shared" si="3"/>
        <v>1692669</v>
      </c>
      <c r="I23" s="7">
        <f t="shared" si="3"/>
        <v>2362407</v>
      </c>
      <c r="J23" s="7">
        <f t="shared" si="3"/>
        <v>2082440</v>
      </c>
      <c r="K23" s="7">
        <f t="shared" si="3"/>
        <v>2175252</v>
      </c>
      <c r="L23" s="7">
        <f t="shared" si="3"/>
        <v>1601427</v>
      </c>
      <c r="M23" s="7">
        <f t="shared" si="3"/>
        <v>843560</v>
      </c>
      <c r="N23" s="7">
        <f>SUM(B23:M23)</f>
        <v>21515475</v>
      </c>
      <c r="O23" s="29"/>
    </row>
    <row r="24" spans="1:15" s="6" customFormat="1" hidden="1">
      <c r="A24" s="6" t="s">
        <v>37</v>
      </c>
      <c r="B24" s="7">
        <f t="shared" si="3"/>
        <v>98799</v>
      </c>
      <c r="C24" s="7">
        <f t="shared" si="3"/>
        <v>92990</v>
      </c>
      <c r="D24" s="7">
        <f t="shared" si="3"/>
        <v>321611</v>
      </c>
      <c r="E24" s="7">
        <f t="shared" si="3"/>
        <v>154261</v>
      </c>
      <c r="F24" s="7">
        <f t="shared" si="3"/>
        <v>104991</v>
      </c>
      <c r="G24" s="7">
        <f t="shared" si="3"/>
        <v>101745</v>
      </c>
      <c r="H24" s="7">
        <f t="shared" si="3"/>
        <v>88920</v>
      </c>
      <c r="I24" s="7">
        <f t="shared" si="3"/>
        <v>295741</v>
      </c>
      <c r="J24" s="7">
        <f t="shared" si="3"/>
        <v>106938</v>
      </c>
      <c r="K24" s="7">
        <f t="shared" si="3"/>
        <v>117110</v>
      </c>
      <c r="L24" s="7">
        <f t="shared" si="3"/>
        <v>111576</v>
      </c>
      <c r="M24" s="7">
        <f t="shared" si="3"/>
        <v>95131</v>
      </c>
      <c r="N24" s="7">
        <f>SUM(B24:M24)</f>
        <v>1689813</v>
      </c>
      <c r="O24" s="29"/>
    </row>
    <row r="25" spans="1:15" s="6" customFormat="1" hidden="1">
      <c r="A25" s="6" t="s">
        <v>38</v>
      </c>
      <c r="B25" s="7">
        <f t="shared" si="3"/>
        <v>0</v>
      </c>
      <c r="C25" s="7">
        <f t="shared" si="3"/>
        <v>0</v>
      </c>
      <c r="D25" s="7">
        <f t="shared" si="3"/>
        <v>0</v>
      </c>
      <c r="E25" s="7">
        <f t="shared" si="3"/>
        <v>0</v>
      </c>
      <c r="F25" s="7">
        <f t="shared" si="3"/>
        <v>0</v>
      </c>
      <c r="G25" s="7">
        <f t="shared" si="3"/>
        <v>0</v>
      </c>
      <c r="H25" s="7">
        <f t="shared" si="3"/>
        <v>0</v>
      </c>
      <c r="I25" s="7">
        <f t="shared" si="3"/>
        <v>0</v>
      </c>
      <c r="J25" s="7">
        <f t="shared" si="3"/>
        <v>0</v>
      </c>
      <c r="K25" s="7">
        <f t="shared" si="3"/>
        <v>0</v>
      </c>
      <c r="L25" s="7">
        <f t="shared" si="3"/>
        <v>0</v>
      </c>
      <c r="M25" s="7">
        <f t="shared" si="3"/>
        <v>0</v>
      </c>
      <c r="N25" s="7">
        <f>SUM(B25:M25)</f>
        <v>0</v>
      </c>
      <c r="O25" s="29"/>
    </row>
    <row r="26" spans="1:15" s="6" customFormat="1" hidden="1">
      <c r="A26" s="6" t="s">
        <v>38</v>
      </c>
      <c r="B26" s="15">
        <f t="shared" si="3"/>
        <v>0</v>
      </c>
      <c r="C26" s="15">
        <f t="shared" si="3"/>
        <v>0</v>
      </c>
      <c r="D26" s="15">
        <f t="shared" si="3"/>
        <v>0</v>
      </c>
      <c r="E26" s="15">
        <f t="shared" si="3"/>
        <v>0</v>
      </c>
      <c r="F26" s="15">
        <f t="shared" si="3"/>
        <v>0</v>
      </c>
      <c r="G26" s="15">
        <f t="shared" si="3"/>
        <v>0</v>
      </c>
      <c r="H26" s="15">
        <f t="shared" si="3"/>
        <v>0</v>
      </c>
      <c r="I26" s="15">
        <f t="shared" si="3"/>
        <v>0</v>
      </c>
      <c r="J26" s="15">
        <f t="shared" si="3"/>
        <v>0</v>
      </c>
      <c r="K26" s="15">
        <f t="shared" si="3"/>
        <v>0</v>
      </c>
      <c r="L26" s="15">
        <f t="shared" si="3"/>
        <v>0</v>
      </c>
      <c r="M26" s="15">
        <f t="shared" si="3"/>
        <v>0</v>
      </c>
      <c r="N26" s="15">
        <f>SUM(B26:M26)</f>
        <v>0</v>
      </c>
      <c r="O26" s="29"/>
    </row>
    <row r="27" spans="1:15" s="6" customFormat="1">
      <c r="A27" s="13" t="s">
        <v>39</v>
      </c>
      <c r="B27" s="12">
        <f t="shared" ref="B27:N27" si="4">SUM(B23:B26)</f>
        <v>955008</v>
      </c>
      <c r="C27" s="12">
        <f t="shared" si="4"/>
        <v>1764351</v>
      </c>
      <c r="D27" s="12">
        <f t="shared" si="4"/>
        <v>2737865</v>
      </c>
      <c r="E27" s="12">
        <f t="shared" si="4"/>
        <v>2577110</v>
      </c>
      <c r="F27" s="12">
        <f t="shared" si="4"/>
        <v>1674274</v>
      </c>
      <c r="G27" s="12">
        <f t="shared" si="4"/>
        <v>1923509</v>
      </c>
      <c r="H27" s="12">
        <f t="shared" si="4"/>
        <v>1781589</v>
      </c>
      <c r="I27" s="12">
        <f t="shared" si="4"/>
        <v>2658148</v>
      </c>
      <c r="J27" s="12">
        <f t="shared" si="4"/>
        <v>2189378</v>
      </c>
      <c r="K27" s="12">
        <f t="shared" si="4"/>
        <v>2292362</v>
      </c>
      <c r="L27" s="12">
        <f t="shared" si="4"/>
        <v>1713003</v>
      </c>
      <c r="M27" s="12">
        <f>SUM(M23:M26)</f>
        <v>938691</v>
      </c>
      <c r="N27" s="12">
        <f t="shared" si="4"/>
        <v>23205288</v>
      </c>
      <c r="O27" s="29"/>
    </row>
    <row r="28" spans="1:15" s="6" customFormat="1" ht="14.45" customHeight="1">
      <c r="B28" s="73">
        <f>+B27/B9</f>
        <v>0.54153664698060411</v>
      </c>
      <c r="C28" s="73">
        <f t="shared" ref="C28:N28" si="5">+C27/C9</f>
        <v>0.39853911615104065</v>
      </c>
      <c r="D28" s="73">
        <f t="shared" si="5"/>
        <v>0.62811535225863113</v>
      </c>
      <c r="E28" s="73">
        <f t="shared" si="5"/>
        <v>0.66908430232180771</v>
      </c>
      <c r="F28" s="73">
        <f t="shared" si="5"/>
        <v>0.64324100455189503</v>
      </c>
      <c r="G28" s="73">
        <f t="shared" si="5"/>
        <v>0.66837126312369588</v>
      </c>
      <c r="H28" s="73">
        <f t="shared" si="5"/>
        <v>0.43264934520584603</v>
      </c>
      <c r="I28" s="73">
        <f t="shared" si="5"/>
        <v>0.61134030624190161</v>
      </c>
      <c r="J28" s="73">
        <f t="shared" si="5"/>
        <v>0.66222937673468696</v>
      </c>
      <c r="K28" s="73">
        <f t="shared" si="5"/>
        <v>0.6324809340698605</v>
      </c>
      <c r="L28" s="73">
        <f t="shared" si="5"/>
        <v>0.61621118200105329</v>
      </c>
      <c r="M28" s="73">
        <f t="shared" si="5"/>
        <v>0.54806104105154929</v>
      </c>
      <c r="N28" s="73">
        <f t="shared" si="5"/>
        <v>0.58347359281078937</v>
      </c>
    </row>
    <row r="29" spans="1:15" s="6" customFormat="1" hidden="1">
      <c r="A29" s="13" t="s">
        <v>40</v>
      </c>
      <c r="B29" s="7"/>
      <c r="C29" s="7"/>
      <c r="D29" s="7"/>
      <c r="E29" s="7"/>
      <c r="F29" s="7"/>
      <c r="G29" s="7"/>
      <c r="H29" s="7"/>
      <c r="I29" s="7"/>
      <c r="J29" s="7"/>
      <c r="K29" s="7"/>
      <c r="L29" s="7"/>
      <c r="M29" s="7"/>
    </row>
    <row r="30" spans="1:15" s="6" customFormat="1" hidden="1">
      <c r="A30" s="6" t="s">
        <v>93</v>
      </c>
      <c r="B30" s="53">
        <v>550190</v>
      </c>
      <c r="C30" s="53">
        <v>644844</v>
      </c>
      <c r="D30" s="53">
        <v>702597</v>
      </c>
      <c r="E30" s="53">
        <v>894957</v>
      </c>
      <c r="F30" s="53">
        <v>655473</v>
      </c>
      <c r="G30" s="53">
        <v>645132</v>
      </c>
      <c r="H30" s="53">
        <v>699380</v>
      </c>
      <c r="I30" s="53">
        <v>767189</v>
      </c>
      <c r="J30" s="53">
        <v>740529</v>
      </c>
      <c r="K30" s="53">
        <v>823718</v>
      </c>
      <c r="L30" s="53">
        <v>672632</v>
      </c>
      <c r="M30" s="53">
        <v>481272</v>
      </c>
      <c r="N30" s="7">
        <f>SUM(B30:M30)</f>
        <v>8277913</v>
      </c>
      <c r="O30" s="29"/>
    </row>
    <row r="31" spans="1:15" s="6" customFormat="1" hidden="1">
      <c r="A31" s="6" t="s">
        <v>42</v>
      </c>
      <c r="B31" s="53">
        <v>192847</v>
      </c>
      <c r="C31" s="53">
        <v>222888</v>
      </c>
      <c r="D31" s="53">
        <v>200354</v>
      </c>
      <c r="E31" s="53">
        <v>299177</v>
      </c>
      <c r="F31" s="53">
        <v>213768</v>
      </c>
      <c r="G31" s="53">
        <v>212033</v>
      </c>
      <c r="H31" s="53">
        <v>235832</v>
      </c>
      <c r="I31" s="53">
        <v>221244</v>
      </c>
      <c r="J31" s="53">
        <v>220622</v>
      </c>
      <c r="K31" s="53">
        <v>249552</v>
      </c>
      <c r="L31" s="53">
        <v>214590</v>
      </c>
      <c r="M31" s="53">
        <v>210384</v>
      </c>
      <c r="N31" s="7">
        <f>SUM(B31:M31)</f>
        <v>2693291</v>
      </c>
      <c r="O31" s="29"/>
    </row>
    <row r="32" spans="1:15" s="6" customFormat="1" ht="15" hidden="1">
      <c r="A32" s="6" t="s">
        <v>38</v>
      </c>
      <c r="B32" s="68"/>
      <c r="C32" s="68"/>
      <c r="D32" s="68"/>
      <c r="E32" s="68"/>
      <c r="F32" s="68"/>
      <c r="G32" s="68"/>
      <c r="H32" s="68"/>
      <c r="I32" s="68"/>
      <c r="J32" s="68"/>
      <c r="K32" s="68"/>
      <c r="L32" s="68"/>
      <c r="M32" s="68"/>
      <c r="N32" s="7">
        <f>SUM(B32:M32)</f>
        <v>0</v>
      </c>
      <c r="O32" s="29"/>
    </row>
    <row r="33" spans="1:16" s="6" customFormat="1" hidden="1">
      <c r="B33" s="15"/>
      <c r="C33" s="15"/>
      <c r="D33" s="15"/>
      <c r="E33" s="15"/>
      <c r="F33" s="15"/>
      <c r="G33" s="15"/>
      <c r="H33" s="15"/>
      <c r="I33" s="15"/>
      <c r="J33" s="15"/>
      <c r="K33" s="15"/>
      <c r="L33" s="15"/>
      <c r="M33" s="15"/>
      <c r="N33" s="15">
        <f>SUM(B33:M33)</f>
        <v>0</v>
      </c>
      <c r="O33" s="29"/>
    </row>
    <row r="34" spans="1:16" s="6" customFormat="1">
      <c r="A34" s="13" t="s">
        <v>43</v>
      </c>
      <c r="B34" s="12">
        <f t="shared" ref="B34:N34" si="6">SUM(B30:B33)</f>
        <v>743037</v>
      </c>
      <c r="C34" s="12">
        <f t="shared" si="6"/>
        <v>867732</v>
      </c>
      <c r="D34" s="12">
        <f t="shared" si="6"/>
        <v>902951</v>
      </c>
      <c r="E34" s="12">
        <f t="shared" si="6"/>
        <v>1194134</v>
      </c>
      <c r="F34" s="12">
        <f t="shared" si="6"/>
        <v>869241</v>
      </c>
      <c r="G34" s="12">
        <f t="shared" si="6"/>
        <v>857165</v>
      </c>
      <c r="H34" s="12">
        <f t="shared" si="6"/>
        <v>935212</v>
      </c>
      <c r="I34" s="12">
        <f t="shared" si="6"/>
        <v>988433</v>
      </c>
      <c r="J34" s="12">
        <f t="shared" si="6"/>
        <v>961151</v>
      </c>
      <c r="K34" s="12">
        <f t="shared" si="6"/>
        <v>1073270</v>
      </c>
      <c r="L34" s="12">
        <f t="shared" si="6"/>
        <v>887222</v>
      </c>
      <c r="M34" s="12">
        <f t="shared" si="6"/>
        <v>691656</v>
      </c>
      <c r="N34" s="12">
        <f t="shared" si="6"/>
        <v>10971204</v>
      </c>
      <c r="O34" s="29"/>
    </row>
    <row r="35" spans="1:16" s="6" customFormat="1">
      <c r="B35" s="7"/>
      <c r="C35" s="7"/>
      <c r="D35" s="7"/>
      <c r="E35" s="7"/>
      <c r="F35" s="7"/>
      <c r="G35" s="7"/>
      <c r="H35" s="7"/>
      <c r="I35" s="7"/>
      <c r="J35" s="7"/>
      <c r="K35" s="7"/>
      <c r="L35" s="7"/>
      <c r="M35" s="7"/>
    </row>
    <row r="36" spans="1:16" s="6" customFormat="1" hidden="1">
      <c r="A36" s="13" t="s">
        <v>44</v>
      </c>
      <c r="B36" s="7"/>
      <c r="C36" s="7"/>
      <c r="D36" s="7"/>
      <c r="E36" s="7"/>
      <c r="F36" s="7"/>
      <c r="G36" s="7"/>
      <c r="H36" s="7"/>
      <c r="I36" s="7"/>
      <c r="J36" s="7"/>
      <c r="K36" s="7"/>
      <c r="L36" s="7"/>
      <c r="M36" s="7"/>
    </row>
    <row r="37" spans="1:16" s="6" customFormat="1" hidden="1">
      <c r="A37" s="6" t="s">
        <v>45</v>
      </c>
      <c r="B37" s="53">
        <v>1292386</v>
      </c>
      <c r="C37" s="53">
        <v>1363232</v>
      </c>
      <c r="D37" s="53">
        <v>1482893</v>
      </c>
      <c r="E37" s="53">
        <v>1759651</v>
      </c>
      <c r="F37" s="53">
        <v>1435895</v>
      </c>
      <c r="G37" s="66">
        <v>1630908</v>
      </c>
      <c r="H37" s="66">
        <v>1457121</v>
      </c>
      <c r="I37" s="66">
        <v>1632531</v>
      </c>
      <c r="J37" s="66">
        <v>1545361</v>
      </c>
      <c r="K37" s="53">
        <v>1699036</v>
      </c>
      <c r="L37" s="53">
        <v>1429774</v>
      </c>
      <c r="M37" s="53">
        <v>1131406</v>
      </c>
      <c r="N37" s="7">
        <f>SUM(B37:M37)</f>
        <v>17860194</v>
      </c>
      <c r="O37" s="29"/>
    </row>
    <row r="38" spans="1:16" s="6" customFormat="1" hidden="1">
      <c r="A38" s="6" t="s">
        <v>46</v>
      </c>
      <c r="B38" s="7">
        <f>-B34</f>
        <v>-743037</v>
      </c>
      <c r="C38" s="7">
        <f t="shared" ref="C38:M38" si="7">-C34</f>
        <v>-867732</v>
      </c>
      <c r="D38" s="7">
        <f t="shared" si="7"/>
        <v>-902951</v>
      </c>
      <c r="E38" s="7">
        <f t="shared" si="7"/>
        <v>-1194134</v>
      </c>
      <c r="F38" s="7">
        <f t="shared" si="7"/>
        <v>-869241</v>
      </c>
      <c r="G38" s="7">
        <f t="shared" si="7"/>
        <v>-857165</v>
      </c>
      <c r="H38" s="7">
        <f t="shared" si="7"/>
        <v>-935212</v>
      </c>
      <c r="I38" s="7">
        <f t="shared" si="7"/>
        <v>-988433</v>
      </c>
      <c r="J38" s="7">
        <f t="shared" si="7"/>
        <v>-961151</v>
      </c>
      <c r="K38" s="7">
        <f t="shared" si="7"/>
        <v>-1073270</v>
      </c>
      <c r="L38" s="7">
        <f t="shared" si="7"/>
        <v>-887222</v>
      </c>
      <c r="M38" s="7">
        <f t="shared" si="7"/>
        <v>-691656</v>
      </c>
      <c r="N38" s="7">
        <f>SUM(B38:M38)</f>
        <v>-10971204</v>
      </c>
      <c r="O38" s="29"/>
    </row>
    <row r="39" spans="1:16" s="6" customFormat="1" hidden="1">
      <c r="A39" s="6" t="s">
        <v>47</v>
      </c>
      <c r="B39" s="72">
        <v>-79744</v>
      </c>
      <c r="C39" s="72">
        <v>-79744</v>
      </c>
      <c r="D39" s="72">
        <v>79744</v>
      </c>
      <c r="E39" s="72">
        <v>-73419</v>
      </c>
      <c r="F39" s="72">
        <v>-81098</v>
      </c>
      <c r="G39" s="72">
        <v>-81098</v>
      </c>
      <c r="H39" s="72">
        <v>-81832</v>
      </c>
      <c r="I39" s="72">
        <v>-81832</v>
      </c>
      <c r="J39" s="72">
        <v>-81832</v>
      </c>
      <c r="K39" s="72">
        <v>-82780</v>
      </c>
      <c r="L39" s="72">
        <v>-82780</v>
      </c>
      <c r="M39" s="72">
        <v>-81945</v>
      </c>
      <c r="N39" s="7">
        <f>SUM(B39:M39)</f>
        <v>-808360</v>
      </c>
      <c r="O39" s="29"/>
    </row>
    <row r="40" spans="1:16" s="6" customFormat="1" hidden="1">
      <c r="A40" s="6" t="s">
        <v>78</v>
      </c>
      <c r="B40" s="53"/>
      <c r="C40" s="53"/>
      <c r="D40" s="53"/>
      <c r="E40" s="53"/>
      <c r="F40" s="53"/>
      <c r="G40" s="53"/>
      <c r="H40" s="53"/>
      <c r="I40" s="53"/>
      <c r="J40" s="53"/>
      <c r="K40" s="53"/>
      <c r="L40" s="53"/>
      <c r="M40" s="53"/>
      <c r="N40" s="7">
        <f>SUM(B40:M40)</f>
        <v>0</v>
      </c>
      <c r="O40" s="29"/>
    </row>
    <row r="41" spans="1:16" s="6" customFormat="1" hidden="1">
      <c r="A41" s="6" t="s">
        <v>48</v>
      </c>
      <c r="B41" s="60">
        <v>-10000</v>
      </c>
      <c r="C41" s="60">
        <v>-10000</v>
      </c>
      <c r="D41" s="60">
        <v>-10000</v>
      </c>
      <c r="E41" s="60">
        <v>-10000</v>
      </c>
      <c r="F41" s="60">
        <v>-10000</v>
      </c>
      <c r="G41" s="60">
        <v>-10000</v>
      </c>
      <c r="H41" s="60">
        <v>-10000</v>
      </c>
      <c r="I41" s="60">
        <v>-10000</v>
      </c>
      <c r="J41" s="60">
        <v>-10300</v>
      </c>
      <c r="K41" s="60">
        <v>-10300</v>
      </c>
      <c r="L41" s="60">
        <v>-10300</v>
      </c>
      <c r="M41" s="60">
        <v>-10000</v>
      </c>
      <c r="N41" s="15">
        <f>SUM(B41:M41)</f>
        <v>-120900</v>
      </c>
      <c r="O41" s="29"/>
    </row>
    <row r="42" spans="1:16" s="6" customFormat="1">
      <c r="A42" s="13" t="s">
        <v>49</v>
      </c>
      <c r="B42" s="12">
        <f t="shared" ref="B42:N42" si="8">SUM(B37:B41)</f>
        <v>459605</v>
      </c>
      <c r="C42" s="12">
        <f t="shared" si="8"/>
        <v>405756</v>
      </c>
      <c r="D42" s="12">
        <f t="shared" si="8"/>
        <v>649686</v>
      </c>
      <c r="E42" s="12">
        <f t="shared" si="8"/>
        <v>482098</v>
      </c>
      <c r="F42" s="12">
        <f t="shared" si="8"/>
        <v>475556</v>
      </c>
      <c r="G42" s="12">
        <f t="shared" si="8"/>
        <v>682645</v>
      </c>
      <c r="H42" s="12">
        <f t="shared" si="8"/>
        <v>430077</v>
      </c>
      <c r="I42" s="12">
        <f t="shared" si="8"/>
        <v>552266</v>
      </c>
      <c r="J42" s="12">
        <f t="shared" si="8"/>
        <v>492078</v>
      </c>
      <c r="K42" s="12">
        <f t="shared" si="8"/>
        <v>532686</v>
      </c>
      <c r="L42" s="12">
        <f t="shared" si="8"/>
        <v>449472</v>
      </c>
      <c r="M42" s="12">
        <f t="shared" si="8"/>
        <v>347805</v>
      </c>
      <c r="N42" s="12">
        <f t="shared" si="8"/>
        <v>5959730</v>
      </c>
      <c r="O42" s="29"/>
    </row>
    <row r="43" spans="1:16">
      <c r="A43" s="1"/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2"/>
      <c r="N43" s="12"/>
      <c r="O43" s="6"/>
    </row>
    <row r="44" spans="1:16" hidden="1">
      <c r="A44" s="13" t="s">
        <v>50</v>
      </c>
      <c r="B44" s="53">
        <v>341767</v>
      </c>
      <c r="C44" s="53">
        <v>270679</v>
      </c>
      <c r="D44" s="53">
        <v>279225</v>
      </c>
      <c r="E44" s="53">
        <v>369606</v>
      </c>
      <c r="F44" s="53">
        <v>400329</v>
      </c>
      <c r="G44" s="53">
        <v>371389</v>
      </c>
      <c r="H44" s="53">
        <v>350631</v>
      </c>
      <c r="I44" s="53">
        <v>305031</v>
      </c>
      <c r="J44" s="53">
        <v>400807</v>
      </c>
      <c r="K44" s="53">
        <v>352963</v>
      </c>
      <c r="L44" s="53">
        <v>301088</v>
      </c>
      <c r="M44" s="53">
        <f>743355-270</f>
        <v>743085</v>
      </c>
      <c r="N44" s="12">
        <f>SUM(B44:M44)</f>
        <v>4486600</v>
      </c>
      <c r="O44" s="29"/>
      <c r="P44" s="25"/>
    </row>
    <row r="45" spans="1:16" hidden="1">
      <c r="A45" s="6" t="s">
        <v>107</v>
      </c>
      <c r="B45" s="22"/>
      <c r="C45" s="22"/>
      <c r="D45" s="22"/>
      <c r="E45" s="22"/>
      <c r="F45" s="22"/>
      <c r="G45" s="22"/>
      <c r="H45" s="22"/>
      <c r="I45" s="22"/>
      <c r="J45" s="22"/>
      <c r="K45" s="22"/>
      <c r="L45" s="22"/>
      <c r="M45" s="22"/>
      <c r="N45" s="22">
        <f>SUM(B45:M45)</f>
        <v>0</v>
      </c>
      <c r="O45" s="29"/>
    </row>
    <row r="46" spans="1:16">
      <c r="A46" s="1" t="s">
        <v>50</v>
      </c>
      <c r="B46" s="12">
        <f>SUM(B44:B45)</f>
        <v>341767</v>
      </c>
      <c r="C46" s="12">
        <f>SUM(C44:C45)</f>
        <v>270679</v>
      </c>
      <c r="D46" s="12">
        <f t="shared" ref="D46:N46" si="9">SUM(D44:D45)</f>
        <v>279225</v>
      </c>
      <c r="E46" s="12">
        <f t="shared" si="9"/>
        <v>369606</v>
      </c>
      <c r="F46" s="12">
        <f t="shared" si="9"/>
        <v>400329</v>
      </c>
      <c r="G46" s="12">
        <f t="shared" si="9"/>
        <v>371389</v>
      </c>
      <c r="H46" s="12">
        <f t="shared" si="9"/>
        <v>350631</v>
      </c>
      <c r="I46" s="12">
        <f t="shared" si="9"/>
        <v>305031</v>
      </c>
      <c r="J46" s="12">
        <f t="shared" si="9"/>
        <v>400807</v>
      </c>
      <c r="K46" s="12">
        <f t="shared" si="9"/>
        <v>352963</v>
      </c>
      <c r="L46" s="12">
        <f t="shared" si="9"/>
        <v>301088</v>
      </c>
      <c r="M46" s="12">
        <f t="shared" si="9"/>
        <v>743085</v>
      </c>
      <c r="N46" s="12">
        <f t="shared" si="9"/>
        <v>4486600</v>
      </c>
      <c r="O46" s="29"/>
    </row>
    <row r="47" spans="1:16">
      <c r="B47" s="7"/>
      <c r="C47" s="7"/>
      <c r="D47" s="7"/>
      <c r="E47" s="7"/>
      <c r="F47" s="7"/>
      <c r="G47" s="7"/>
      <c r="H47" s="7"/>
      <c r="I47" s="7"/>
      <c r="J47" s="7"/>
      <c r="K47" s="6"/>
      <c r="L47" s="6"/>
      <c r="M47" s="6"/>
      <c r="N47" s="6"/>
      <c r="O47" s="6"/>
    </row>
    <row r="48" spans="1:16">
      <c r="A48" s="13" t="s">
        <v>52</v>
      </c>
      <c r="B48" s="19">
        <f t="shared" ref="B48:N48" si="10">+B20+B34+B42+B46</f>
        <v>2352916</v>
      </c>
      <c r="C48" s="19">
        <f t="shared" si="10"/>
        <v>4206862</v>
      </c>
      <c r="D48" s="19">
        <f t="shared" si="10"/>
        <v>3452854</v>
      </c>
      <c r="E48" s="19">
        <f t="shared" si="10"/>
        <v>3320425</v>
      </c>
      <c r="F48" s="19">
        <f t="shared" si="10"/>
        <v>2673724</v>
      </c>
      <c r="G48" s="19">
        <f t="shared" si="10"/>
        <v>2865595</v>
      </c>
      <c r="H48" s="19">
        <f t="shared" si="10"/>
        <v>4052190</v>
      </c>
      <c r="I48" s="19">
        <f t="shared" si="10"/>
        <v>3535648</v>
      </c>
      <c r="J48" s="19">
        <f t="shared" si="10"/>
        <v>2970730</v>
      </c>
      <c r="K48" s="19">
        <f t="shared" si="10"/>
        <v>3290954</v>
      </c>
      <c r="L48" s="19">
        <f t="shared" si="10"/>
        <v>2704675</v>
      </c>
      <c r="M48" s="19">
        <f t="shared" si="10"/>
        <v>2556604</v>
      </c>
      <c r="N48" s="19">
        <f t="shared" si="10"/>
        <v>37983177</v>
      </c>
      <c r="O48" s="29"/>
    </row>
    <row r="49" spans="1:26">
      <c r="B49" s="7"/>
      <c r="C49" s="7"/>
      <c r="D49" s="7"/>
      <c r="E49" s="7"/>
      <c r="F49" s="7"/>
      <c r="G49" s="7"/>
      <c r="H49" s="7"/>
      <c r="I49" s="7"/>
      <c r="J49" s="7"/>
      <c r="K49" s="6"/>
      <c r="L49" s="6"/>
      <c r="M49" s="6"/>
      <c r="N49" s="6"/>
      <c r="O49" s="6"/>
    </row>
    <row r="50" spans="1:26">
      <c r="A50" s="1" t="s">
        <v>53</v>
      </c>
      <c r="B50" s="12">
        <f t="shared" ref="B50:M50" si="11">+B13-B48</f>
        <v>-588491</v>
      </c>
      <c r="C50" s="12">
        <f t="shared" si="11"/>
        <v>220282</v>
      </c>
      <c r="D50" s="12">
        <f t="shared" si="11"/>
        <v>906869</v>
      </c>
      <c r="E50" s="12">
        <f t="shared" si="11"/>
        <v>531272</v>
      </c>
      <c r="F50" s="12">
        <f t="shared" si="11"/>
        <v>-70852</v>
      </c>
      <c r="G50" s="12">
        <f t="shared" si="11"/>
        <v>12310</v>
      </c>
      <c r="H50" s="12">
        <f t="shared" si="11"/>
        <v>65669</v>
      </c>
      <c r="I50" s="12">
        <f t="shared" si="11"/>
        <v>812418</v>
      </c>
      <c r="J50" s="12">
        <f t="shared" si="11"/>
        <v>335342</v>
      </c>
      <c r="K50" s="12">
        <f t="shared" si="11"/>
        <v>333443</v>
      </c>
      <c r="L50" s="12">
        <f t="shared" si="11"/>
        <v>75221</v>
      </c>
      <c r="M50" s="12">
        <f t="shared" si="11"/>
        <v>-843855</v>
      </c>
      <c r="N50" s="12">
        <f>SUM(B50:M50)</f>
        <v>1789628</v>
      </c>
      <c r="O50" s="7">
        <f>+N50+N39+N41</f>
        <v>860368</v>
      </c>
    </row>
    <row r="51" spans="1:26" ht="7.5" customHeight="1">
      <c r="B51" s="7"/>
      <c r="C51" s="7"/>
      <c r="D51" s="7"/>
      <c r="E51" s="7"/>
      <c r="F51" s="7"/>
      <c r="G51" s="7"/>
      <c r="H51" s="7"/>
      <c r="I51" s="7"/>
      <c r="J51" s="7"/>
      <c r="K51" s="6"/>
      <c r="L51" s="6"/>
      <c r="M51" s="6"/>
      <c r="N51" s="6"/>
      <c r="O51" s="6"/>
    </row>
    <row r="52" spans="1:26">
      <c r="A52" s="1" t="s">
        <v>54</v>
      </c>
      <c r="B52" s="7"/>
      <c r="C52" s="7"/>
      <c r="D52" s="7"/>
      <c r="E52" s="7"/>
      <c r="F52" s="7"/>
      <c r="G52" s="7"/>
      <c r="H52" s="7"/>
      <c r="I52" s="7"/>
      <c r="J52" s="7"/>
      <c r="K52" s="6"/>
      <c r="L52" s="6"/>
      <c r="M52" s="6"/>
      <c r="N52" s="6"/>
      <c r="O52" s="6"/>
    </row>
    <row r="53" spans="1:26" s="6" customFormat="1">
      <c r="A53" s="6" t="s">
        <v>55</v>
      </c>
      <c r="B53" s="10">
        <v>21640</v>
      </c>
      <c r="C53" s="10">
        <v>45767</v>
      </c>
      <c r="D53" s="10">
        <v>849</v>
      </c>
      <c r="E53" s="10">
        <v>0</v>
      </c>
      <c r="F53" s="10">
        <v>10000</v>
      </c>
      <c r="G53" s="10">
        <v>100000</v>
      </c>
      <c r="H53" s="23">
        <v>10000</v>
      </c>
      <c r="I53" s="10">
        <v>75000</v>
      </c>
      <c r="J53" s="10">
        <v>50000</v>
      </c>
      <c r="K53" s="10">
        <v>10000</v>
      </c>
      <c r="L53" s="10">
        <v>10000</v>
      </c>
      <c r="M53" s="10">
        <v>265725</v>
      </c>
      <c r="N53" s="10">
        <f>SUM(B53:M53)</f>
        <v>598981</v>
      </c>
      <c r="O53" s="10">
        <v>930725</v>
      </c>
      <c r="P53" s="40">
        <f>+O53-N53</f>
        <v>331744</v>
      </c>
      <c r="Z53" s="40">
        <f>N53-P53+O53-N53</f>
        <v>598981</v>
      </c>
    </row>
    <row r="54" spans="1:26" s="6" customFormat="1">
      <c r="A54" s="6" t="s">
        <v>96</v>
      </c>
      <c r="B54" s="10"/>
      <c r="C54" s="10"/>
      <c r="D54" s="10"/>
      <c r="E54" s="10"/>
      <c r="F54" s="10">
        <v>90000</v>
      </c>
      <c r="G54" s="10"/>
      <c r="H54" s="10"/>
      <c r="I54" s="10"/>
      <c r="J54" s="10"/>
      <c r="K54" s="10"/>
      <c r="L54" s="10"/>
      <c r="M54" s="10"/>
      <c r="N54" s="10">
        <f>SUM(B54:M54)</f>
        <v>90000</v>
      </c>
    </row>
    <row r="55" spans="1:26" s="6" customFormat="1">
      <c r="A55" s="6" t="s">
        <v>111</v>
      </c>
      <c r="B55" s="10">
        <v>348240</v>
      </c>
      <c r="C55" s="10"/>
      <c r="D55" s="10"/>
      <c r="E55" s="10"/>
      <c r="F55" s="10"/>
      <c r="G55" s="10"/>
      <c r="H55" s="10"/>
      <c r="I55" s="10"/>
      <c r="J55" s="10"/>
      <c r="K55" s="10"/>
      <c r="L55" s="10">
        <v>0</v>
      </c>
      <c r="M55" s="56"/>
      <c r="N55" s="10">
        <f>SUM(B55:M55)</f>
        <v>348240</v>
      </c>
    </row>
    <row r="56" spans="1:26" s="6" customFormat="1">
      <c r="A56" s="37" t="s">
        <v>58</v>
      </c>
      <c r="B56" s="7">
        <v>-15538.11</v>
      </c>
      <c r="C56" s="7">
        <v>-13830</v>
      </c>
      <c r="D56" s="7">
        <v>-11781</v>
      </c>
      <c r="E56" s="7">
        <v>-16823</v>
      </c>
      <c r="F56" s="7">
        <v>-20000</v>
      </c>
      <c r="G56" s="7">
        <v>-25000</v>
      </c>
      <c r="H56" s="7">
        <v>-20000</v>
      </c>
      <c r="I56" s="7">
        <v>-20000</v>
      </c>
      <c r="J56" s="7">
        <v>-25000</v>
      </c>
      <c r="K56" s="7">
        <v>-20000</v>
      </c>
      <c r="L56" s="7">
        <v>-20000</v>
      </c>
      <c r="M56" s="7">
        <v>-25000</v>
      </c>
      <c r="N56" s="7">
        <f>SUM(B56:M56)</f>
        <v>-232972.11</v>
      </c>
      <c r="O56" s="7">
        <v>412620</v>
      </c>
    </row>
    <row r="57" spans="1:26" s="6" customFormat="1">
      <c r="A57" s="6" t="s">
        <v>59</v>
      </c>
      <c r="B57" s="22">
        <v>-171741</v>
      </c>
      <c r="C57" s="22">
        <v>17619</v>
      </c>
      <c r="D57" s="22">
        <v>-544</v>
      </c>
      <c r="E57" s="22">
        <v>666189</v>
      </c>
      <c r="F57" s="22">
        <v>-25000</v>
      </c>
      <c r="G57" s="22">
        <v>-25000</v>
      </c>
      <c r="H57" s="22">
        <v>-25000</v>
      </c>
      <c r="I57" s="22">
        <v>-25000</v>
      </c>
      <c r="J57" s="22">
        <v>-25000</v>
      </c>
      <c r="K57" s="22">
        <v>-25000</v>
      </c>
      <c r="L57" s="22">
        <v>-25000</v>
      </c>
      <c r="M57" s="22">
        <v>-25000</v>
      </c>
      <c r="N57" s="22">
        <f>SUM(B57:M57)</f>
        <v>311523</v>
      </c>
      <c r="O57" s="56">
        <v>306614</v>
      </c>
    </row>
    <row r="58" spans="1:26" s="6" customFormat="1">
      <c r="A58" s="13" t="s">
        <v>60</v>
      </c>
      <c r="B58" s="19">
        <f t="shared" ref="B58:N58" si="12">SUM(B53:B57)</f>
        <v>182600.89</v>
      </c>
      <c r="C58" s="19">
        <f t="shared" si="12"/>
        <v>49556</v>
      </c>
      <c r="D58" s="19">
        <f t="shared" si="12"/>
        <v>-11476</v>
      </c>
      <c r="E58" s="19">
        <f t="shared" si="12"/>
        <v>649366</v>
      </c>
      <c r="F58" s="19">
        <f t="shared" si="12"/>
        <v>55000</v>
      </c>
      <c r="G58" s="19">
        <f t="shared" si="12"/>
        <v>50000</v>
      </c>
      <c r="H58" s="19">
        <f>SUM(H53:H57)</f>
        <v>-35000</v>
      </c>
      <c r="I58" s="19">
        <f t="shared" si="12"/>
        <v>30000</v>
      </c>
      <c r="J58" s="19">
        <f t="shared" si="12"/>
        <v>0</v>
      </c>
      <c r="K58" s="19">
        <f t="shared" si="12"/>
        <v>-35000</v>
      </c>
      <c r="L58" s="19">
        <f t="shared" si="12"/>
        <v>-35000</v>
      </c>
      <c r="M58" s="19">
        <f t="shared" si="12"/>
        <v>215725</v>
      </c>
      <c r="N58" s="19">
        <f t="shared" si="12"/>
        <v>1115771.8900000001</v>
      </c>
      <c r="O58" s="29"/>
    </row>
    <row r="59" spans="1:26">
      <c r="B59" s="7"/>
      <c r="C59" s="7"/>
      <c r="D59" s="7"/>
      <c r="E59" s="7"/>
      <c r="F59" s="7"/>
      <c r="G59" s="7"/>
      <c r="H59" s="7"/>
      <c r="I59" s="7"/>
      <c r="J59" s="7"/>
      <c r="K59" s="7"/>
      <c r="L59" s="7"/>
      <c r="M59" s="7"/>
      <c r="N59" s="7"/>
      <c r="O59" s="6"/>
    </row>
    <row r="60" spans="1:26">
      <c r="A60" s="1" t="s">
        <v>61</v>
      </c>
      <c r="B60" s="12">
        <v>14357541</v>
      </c>
      <c r="C60" s="7"/>
      <c r="D60" s="7"/>
      <c r="E60" s="7"/>
      <c r="F60" s="7"/>
      <c r="G60" s="7"/>
      <c r="H60" s="7" t="s">
        <v>38</v>
      </c>
      <c r="I60" s="7"/>
      <c r="J60" s="7"/>
      <c r="K60" s="6"/>
      <c r="L60" s="6"/>
      <c r="M60" s="6"/>
      <c r="N60" s="6"/>
      <c r="O60" s="6"/>
    </row>
    <row r="61" spans="1:26">
      <c r="A61" s="13" t="s">
        <v>62</v>
      </c>
      <c r="B61" s="19">
        <f t="shared" ref="B61:N61" si="13">+B58+B48</f>
        <v>2535516.89</v>
      </c>
      <c r="C61" s="19">
        <f t="shared" si="13"/>
        <v>4256418</v>
      </c>
      <c r="D61" s="19">
        <f t="shared" si="13"/>
        <v>3441378</v>
      </c>
      <c r="E61" s="19">
        <f t="shared" si="13"/>
        <v>3969791</v>
      </c>
      <c r="F61" s="19">
        <f t="shared" si="13"/>
        <v>2728724</v>
      </c>
      <c r="G61" s="19">
        <f t="shared" si="13"/>
        <v>2915595</v>
      </c>
      <c r="H61" s="19">
        <f t="shared" si="13"/>
        <v>4017190</v>
      </c>
      <c r="I61" s="19">
        <f t="shared" si="13"/>
        <v>3565648</v>
      </c>
      <c r="J61" s="19">
        <f t="shared" si="13"/>
        <v>2970730</v>
      </c>
      <c r="K61" s="19">
        <f t="shared" si="13"/>
        <v>3255954</v>
      </c>
      <c r="L61" s="19">
        <f t="shared" si="13"/>
        <v>2669675</v>
      </c>
      <c r="M61" s="19">
        <f t="shared" si="13"/>
        <v>2772329</v>
      </c>
      <c r="N61" s="19">
        <f t="shared" si="13"/>
        <v>39098948.890000001</v>
      </c>
      <c r="O61" s="29"/>
    </row>
    <row r="62" spans="1:26" ht="13.5" thickBot="1">
      <c r="A62" s="13" t="s">
        <v>63</v>
      </c>
      <c r="B62" s="30">
        <f t="shared" ref="B62:N62" si="14">+B13-B61</f>
        <v>-771091.89000000013</v>
      </c>
      <c r="C62" s="30">
        <f t="shared" si="14"/>
        <v>170726</v>
      </c>
      <c r="D62" s="30">
        <f t="shared" si="14"/>
        <v>918345</v>
      </c>
      <c r="E62" s="30">
        <f t="shared" si="14"/>
        <v>-118094</v>
      </c>
      <c r="F62" s="14">
        <f t="shared" si="14"/>
        <v>-125852</v>
      </c>
      <c r="G62" s="14">
        <f t="shared" si="14"/>
        <v>-37690</v>
      </c>
      <c r="H62" s="14">
        <f t="shared" si="14"/>
        <v>100669</v>
      </c>
      <c r="I62" s="14">
        <f t="shared" si="14"/>
        <v>782418</v>
      </c>
      <c r="J62" s="14">
        <f t="shared" si="14"/>
        <v>335342</v>
      </c>
      <c r="K62" s="14">
        <f t="shared" si="14"/>
        <v>368443</v>
      </c>
      <c r="L62" s="14">
        <f t="shared" si="14"/>
        <v>110221</v>
      </c>
      <c r="M62" s="14">
        <f t="shared" si="14"/>
        <v>-1059580</v>
      </c>
      <c r="N62" s="14">
        <f t="shared" si="14"/>
        <v>673856.1099999994</v>
      </c>
      <c r="O62" s="29"/>
    </row>
    <row r="63" spans="1:26" s="6" customFormat="1" ht="13.5" thickTop="1">
      <c r="A63" s="13" t="s">
        <v>64</v>
      </c>
      <c r="B63" s="32">
        <f>+B62</f>
        <v>-771091.89000000013</v>
      </c>
      <c r="C63" s="32">
        <f t="shared" ref="C63:M63" si="15">B63+C62</f>
        <v>-600365.89000000013</v>
      </c>
      <c r="D63" s="32">
        <f t="shared" si="15"/>
        <v>317979.10999999987</v>
      </c>
      <c r="E63" s="32">
        <f t="shared" si="15"/>
        <v>199885.10999999987</v>
      </c>
      <c r="F63" s="12">
        <f t="shared" si="15"/>
        <v>74033.10999999987</v>
      </c>
      <c r="G63" s="12">
        <f t="shared" si="15"/>
        <v>36343.10999999987</v>
      </c>
      <c r="H63" s="12">
        <f t="shared" si="15"/>
        <v>137012.10999999987</v>
      </c>
      <c r="I63" s="12">
        <f t="shared" si="15"/>
        <v>919430.10999999987</v>
      </c>
      <c r="J63" s="12">
        <f t="shared" si="15"/>
        <v>1254772.1099999999</v>
      </c>
      <c r="K63" s="12">
        <f t="shared" si="15"/>
        <v>1623215.1099999999</v>
      </c>
      <c r="L63" s="12">
        <f t="shared" si="15"/>
        <v>1733436.1099999999</v>
      </c>
      <c r="M63" s="12">
        <f t="shared" si="15"/>
        <v>673856.10999999987</v>
      </c>
      <c r="N63" s="12"/>
    </row>
    <row r="64" spans="1:26">
      <c r="A64" s="13" t="s">
        <v>65</v>
      </c>
      <c r="B64" s="12">
        <f t="shared" ref="B64:M64" si="16">+$B$60+B63</f>
        <v>13586449.109999999</v>
      </c>
      <c r="C64" s="12">
        <f t="shared" si="16"/>
        <v>13757175.109999999</v>
      </c>
      <c r="D64" s="12">
        <f t="shared" si="16"/>
        <v>14675520.109999999</v>
      </c>
      <c r="E64" s="12">
        <f t="shared" si="16"/>
        <v>14557426.109999999</v>
      </c>
      <c r="F64" s="12">
        <f t="shared" si="16"/>
        <v>14431574.109999999</v>
      </c>
      <c r="G64" s="12">
        <f t="shared" si="16"/>
        <v>14393884.109999999</v>
      </c>
      <c r="H64" s="12">
        <f t="shared" si="16"/>
        <v>14494553.109999999</v>
      </c>
      <c r="I64" s="12">
        <f t="shared" si="16"/>
        <v>15276971.109999999</v>
      </c>
      <c r="J64" s="12">
        <f t="shared" si="16"/>
        <v>15612313.109999999</v>
      </c>
      <c r="K64" s="12">
        <f t="shared" si="16"/>
        <v>15980756.109999999</v>
      </c>
      <c r="L64" s="12">
        <f t="shared" si="16"/>
        <v>16090977.109999999</v>
      </c>
      <c r="M64" s="12">
        <f t="shared" si="16"/>
        <v>15031397.109999999</v>
      </c>
      <c r="N64" s="12"/>
      <c r="O64" s="6"/>
    </row>
    <row r="65" spans="1:15">
      <c r="A65" s="6"/>
      <c r="B65" s="7"/>
      <c r="C65" s="7"/>
      <c r="D65" s="7"/>
      <c r="E65" s="7"/>
      <c r="F65" s="7"/>
      <c r="G65" s="7"/>
      <c r="H65" s="7"/>
      <c r="I65" s="7"/>
      <c r="J65" s="7"/>
      <c r="K65" s="6"/>
      <c r="L65" s="6"/>
      <c r="M65" s="6"/>
      <c r="N65" s="6"/>
      <c r="O65" s="6"/>
    </row>
    <row r="66" spans="1:15" s="6" customFormat="1">
      <c r="A66" s="17" t="s">
        <v>114</v>
      </c>
      <c r="B66" s="18"/>
      <c r="C66" s="18"/>
      <c r="D66" s="18"/>
      <c r="E66" s="18"/>
      <c r="F66" s="18"/>
      <c r="G66" s="18"/>
      <c r="H66" s="18"/>
      <c r="I66" s="18"/>
      <c r="J66" s="18"/>
      <c r="K66" s="18"/>
      <c r="L66" s="18"/>
      <c r="M66" s="18"/>
      <c r="N66" s="18"/>
    </row>
    <row r="67" spans="1:15" ht="13.5" thickBot="1">
      <c r="A67" s="13" t="s">
        <v>67</v>
      </c>
      <c r="B67" s="14">
        <v>-1440029</v>
      </c>
      <c r="C67" s="14">
        <v>-123812</v>
      </c>
      <c r="D67" s="14">
        <v>1148155</v>
      </c>
      <c r="E67" s="14">
        <v>583156</v>
      </c>
      <c r="F67" s="14">
        <v>-125852</v>
      </c>
      <c r="G67" s="14">
        <v>-37690</v>
      </c>
      <c r="H67" s="14">
        <v>100669</v>
      </c>
      <c r="I67" s="14">
        <v>782418</v>
      </c>
      <c r="J67" s="14">
        <v>335342</v>
      </c>
      <c r="K67" s="14">
        <v>368443</v>
      </c>
      <c r="L67" s="14">
        <v>110221</v>
      </c>
      <c r="M67" s="14">
        <v>-1059580</v>
      </c>
      <c r="N67" s="16"/>
      <c r="O67" s="6"/>
    </row>
    <row r="68" spans="1:15" ht="13.5" thickTop="1">
      <c r="A68" s="13" t="s">
        <v>64</v>
      </c>
      <c r="B68" s="12">
        <f>+B67</f>
        <v>-1440029</v>
      </c>
      <c r="C68" s="12">
        <f>+B68+C67</f>
        <v>-1563841</v>
      </c>
      <c r="D68" s="12">
        <f t="shared" ref="D68:M68" si="17">+C68+D67</f>
        <v>-415686</v>
      </c>
      <c r="E68" s="12">
        <f t="shared" si="17"/>
        <v>167470</v>
      </c>
      <c r="F68" s="12">
        <f t="shared" si="17"/>
        <v>41618</v>
      </c>
      <c r="G68" s="12">
        <f t="shared" si="17"/>
        <v>3928</v>
      </c>
      <c r="H68" s="12">
        <f t="shared" si="17"/>
        <v>104597</v>
      </c>
      <c r="I68" s="12">
        <f t="shared" si="17"/>
        <v>887015</v>
      </c>
      <c r="J68" s="12">
        <f t="shared" si="17"/>
        <v>1222357</v>
      </c>
      <c r="K68" s="12">
        <f t="shared" si="17"/>
        <v>1590800</v>
      </c>
      <c r="L68" s="12">
        <f t="shared" si="17"/>
        <v>1701021</v>
      </c>
      <c r="M68" s="12">
        <f t="shared" si="17"/>
        <v>641441</v>
      </c>
      <c r="N68" s="16"/>
      <c r="O68" s="6"/>
    </row>
    <row r="69" spans="1:15">
      <c r="A69" s="13" t="s">
        <v>65</v>
      </c>
      <c r="B69" s="12">
        <v>12917512</v>
      </c>
      <c r="C69" s="12">
        <v>12793700</v>
      </c>
      <c r="D69" s="12">
        <v>13941855</v>
      </c>
      <c r="E69" s="12">
        <v>14525011</v>
      </c>
      <c r="F69" s="12">
        <v>14399159</v>
      </c>
      <c r="G69" s="12">
        <v>14361469</v>
      </c>
      <c r="H69" s="12">
        <v>14462138</v>
      </c>
      <c r="I69" s="12">
        <v>15244556</v>
      </c>
      <c r="J69" s="12">
        <v>15579898</v>
      </c>
      <c r="K69" s="12">
        <v>15948341</v>
      </c>
      <c r="L69" s="12">
        <v>16058562</v>
      </c>
      <c r="M69" s="12">
        <v>14998982</v>
      </c>
      <c r="N69" s="12"/>
      <c r="O69" s="6"/>
    </row>
    <row r="70" spans="1:15">
      <c r="A70" s="6"/>
      <c r="B70" s="6"/>
      <c r="C70" s="6"/>
      <c r="D70" s="6"/>
      <c r="E70" s="6"/>
      <c r="F70" s="6"/>
      <c r="H70" s="6"/>
      <c r="I70" s="6"/>
      <c r="J70" s="6"/>
      <c r="K70" s="6"/>
      <c r="L70" s="6"/>
      <c r="M70" s="6"/>
      <c r="N70" s="6"/>
      <c r="O70" s="6"/>
    </row>
    <row r="71" spans="1:15">
      <c r="A71" s="24" t="s">
        <v>68</v>
      </c>
      <c r="B71" s="18"/>
      <c r="C71" s="18"/>
      <c r="D71" s="18"/>
      <c r="E71" s="18"/>
      <c r="F71" s="18"/>
      <c r="G71" s="18"/>
      <c r="H71" s="18"/>
      <c r="I71" s="18"/>
      <c r="J71" s="18"/>
      <c r="K71" s="18"/>
      <c r="L71" s="18"/>
      <c r="M71" s="18"/>
      <c r="N71" s="18"/>
      <c r="O71" s="6"/>
    </row>
    <row r="72" spans="1:15">
      <c r="A72" s="13" t="s">
        <v>63</v>
      </c>
      <c r="B72" s="31">
        <f t="shared" ref="B72:N74" si="18">+B62-B67</f>
        <v>668937.10999999987</v>
      </c>
      <c r="C72" s="31">
        <f t="shared" si="18"/>
        <v>294538</v>
      </c>
      <c r="D72" s="31">
        <f t="shared" si="18"/>
        <v>-229810</v>
      </c>
      <c r="E72" s="31">
        <f t="shared" si="18"/>
        <v>-701250</v>
      </c>
      <c r="F72" s="31">
        <f t="shared" si="18"/>
        <v>0</v>
      </c>
      <c r="G72" s="31">
        <f t="shared" si="18"/>
        <v>0</v>
      </c>
      <c r="H72" s="31">
        <f t="shared" si="18"/>
        <v>0</v>
      </c>
      <c r="I72" s="31">
        <f t="shared" si="18"/>
        <v>0</v>
      </c>
      <c r="J72" s="31">
        <f t="shared" si="18"/>
        <v>0</v>
      </c>
      <c r="K72" s="31">
        <f t="shared" si="18"/>
        <v>0</v>
      </c>
      <c r="L72" s="31">
        <f t="shared" si="18"/>
        <v>0</v>
      </c>
      <c r="M72" s="31">
        <f t="shared" si="18"/>
        <v>0</v>
      </c>
      <c r="N72" s="6"/>
      <c r="O72" s="6"/>
    </row>
    <row r="73" spans="1:15" s="6" customFormat="1">
      <c r="A73" s="13" t="s">
        <v>64</v>
      </c>
      <c r="B73" s="31">
        <f t="shared" si="18"/>
        <v>668937.10999999987</v>
      </c>
      <c r="C73" s="31">
        <f t="shared" si="18"/>
        <v>963475.10999999987</v>
      </c>
      <c r="D73" s="31">
        <f t="shared" si="18"/>
        <v>733665.10999999987</v>
      </c>
      <c r="E73" s="31">
        <f t="shared" si="18"/>
        <v>32415.10999999987</v>
      </c>
      <c r="F73" s="31">
        <f t="shared" si="18"/>
        <v>32415.10999999987</v>
      </c>
      <c r="G73" s="31">
        <f t="shared" si="18"/>
        <v>32415.10999999987</v>
      </c>
      <c r="H73" s="31">
        <f t="shared" si="18"/>
        <v>32415.10999999987</v>
      </c>
      <c r="I73" s="31">
        <f t="shared" si="18"/>
        <v>32415.10999999987</v>
      </c>
      <c r="J73" s="31">
        <f t="shared" si="18"/>
        <v>32415.10999999987</v>
      </c>
      <c r="K73" s="31">
        <f t="shared" si="18"/>
        <v>32415.10999999987</v>
      </c>
      <c r="L73" s="31">
        <f t="shared" si="18"/>
        <v>32415.10999999987</v>
      </c>
      <c r="M73" s="31">
        <f t="shared" si="18"/>
        <v>32415.10999999987</v>
      </c>
      <c r="N73" s="16">
        <f t="shared" si="18"/>
        <v>0</v>
      </c>
    </row>
    <row r="74" spans="1:15">
      <c r="A74" s="1" t="s">
        <v>65</v>
      </c>
      <c r="B74" s="16">
        <f t="shared" si="18"/>
        <v>668937.1099999994</v>
      </c>
      <c r="C74" s="16">
        <f t="shared" si="18"/>
        <v>963475.1099999994</v>
      </c>
      <c r="D74" s="16">
        <f t="shared" si="18"/>
        <v>733665.1099999994</v>
      </c>
      <c r="E74" s="16">
        <f t="shared" si="18"/>
        <v>32415.109999999404</v>
      </c>
      <c r="F74" s="16">
        <f t="shared" si="18"/>
        <v>32415.109999999404</v>
      </c>
      <c r="G74" s="16">
        <f t="shared" si="18"/>
        <v>32415.109999999404</v>
      </c>
      <c r="H74" s="16">
        <f t="shared" si="18"/>
        <v>32415.109999999404</v>
      </c>
      <c r="I74" s="16">
        <f t="shared" si="18"/>
        <v>32415.109999999404</v>
      </c>
      <c r="J74" s="16">
        <f t="shared" si="18"/>
        <v>32415.109999999404</v>
      </c>
      <c r="K74" s="16">
        <f t="shared" si="18"/>
        <v>32415.109999999404</v>
      </c>
      <c r="L74" s="16">
        <f t="shared" si="18"/>
        <v>32415.109999999404</v>
      </c>
      <c r="M74" s="16">
        <f t="shared" si="18"/>
        <v>32415.109999999404</v>
      </c>
      <c r="N74" s="16"/>
      <c r="O74" s="6"/>
    </row>
    <row r="75" spans="1:15">
      <c r="B75" s="6"/>
      <c r="C75" s="6"/>
      <c r="D75" s="6"/>
      <c r="E75" s="6"/>
      <c r="F75" s="6"/>
      <c r="H75" s="6"/>
      <c r="I75" s="6"/>
      <c r="J75" s="6"/>
      <c r="K75" s="6"/>
      <c r="L75" s="6"/>
      <c r="M75" s="6"/>
      <c r="N75" s="6"/>
    </row>
    <row r="76" spans="1:15">
      <c r="A76" s="1"/>
      <c r="B76" s="4"/>
      <c r="C76" s="8"/>
      <c r="D76" s="8"/>
      <c r="E76" s="8"/>
      <c r="F76" s="8"/>
      <c r="H76" s="20"/>
      <c r="J76" s="6"/>
      <c r="K76" s="6"/>
    </row>
    <row r="77" spans="1:15">
      <c r="A77" s="1"/>
      <c r="B77" s="4"/>
      <c r="C77" s="8"/>
      <c r="D77" s="8"/>
      <c r="E77" s="8"/>
      <c r="F77" s="8"/>
      <c r="H77" s="20"/>
      <c r="J77" s="6"/>
    </row>
    <row r="78" spans="1:15">
      <c r="A78" s="1"/>
      <c r="B78" s="4"/>
      <c r="D78" s="8"/>
      <c r="E78" s="8"/>
      <c r="F78" s="8"/>
      <c r="H78" s="61"/>
      <c r="J78" s="6"/>
    </row>
    <row r="79" spans="1:15">
      <c r="E79" s="6"/>
      <c r="H79" s="20"/>
      <c r="J79" s="6"/>
      <c r="N79" s="25"/>
    </row>
    <row r="80" spans="1:15">
      <c r="A80" t="s">
        <v>69</v>
      </c>
      <c r="B80" t="s">
        <v>69</v>
      </c>
      <c r="C80" t="s">
        <v>69</v>
      </c>
      <c r="D80" t="s">
        <v>69</v>
      </c>
      <c r="E80" s="6" t="s">
        <v>69</v>
      </c>
      <c r="F80" t="s">
        <v>69</v>
      </c>
      <c r="G80" s="6" t="s">
        <v>69</v>
      </c>
      <c r="H80" t="s">
        <v>69</v>
      </c>
      <c r="I80" t="s">
        <v>69</v>
      </c>
      <c r="J80" s="6" t="s">
        <v>69</v>
      </c>
      <c r="K80" t="s">
        <v>69</v>
      </c>
      <c r="L80" t="s">
        <v>69</v>
      </c>
      <c r="M80" t="s">
        <v>69</v>
      </c>
      <c r="N80" t="s">
        <v>69</v>
      </c>
    </row>
  </sheetData>
  <pageMargins left="0.28000000000000003" right="0.25" top="0.99" bottom="0.75" header="0.63" footer="0.23"/>
  <pageSetup scale="60" orientation="landscape" r:id="rId1"/>
  <headerFooter alignWithMargins="0">
    <oddHeader xml:space="preserve">&amp;C&amp;"Arial,Bold"&amp;11 49ER SHOPS, INC.
&amp;UFY2017/2018 OPERATIONAL CASH FLOW </oddHeader>
    <oddFooter xml:space="preserve">&amp;CCash Flow - FY2018/2019
September 2018
</oddFooter>
  </headerFooter>
  <legacyDrawing r:id="rId2"/>
</worksheet>
</file>

<file path=xl/worksheets/sheet3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92D050"/>
    <pageSetUpPr fitToPage="1"/>
  </sheetPr>
  <dimension ref="A1:Z85"/>
  <sheetViews>
    <sheetView showGridLines="0" zoomScale="80" zoomScaleNormal="80" workbookViewId="0">
      <selection activeCell="G77" sqref="G77"/>
    </sheetView>
  </sheetViews>
  <sheetFormatPr defaultRowHeight="12.75"/>
  <cols>
    <col min="1" max="1" width="35.42578125" customWidth="1"/>
    <col min="2" max="2" width="14" customWidth="1"/>
    <col min="3" max="3" width="14.5703125" customWidth="1"/>
    <col min="4" max="4" width="14" customWidth="1"/>
    <col min="5" max="6" width="13.5703125" customWidth="1"/>
    <col min="7" max="7" width="16.5703125" style="6" customWidth="1"/>
    <col min="8" max="8" width="14.140625" customWidth="1"/>
    <col min="9" max="9" width="14.42578125" customWidth="1"/>
    <col min="10" max="10" width="13.85546875" customWidth="1"/>
    <col min="11" max="11" width="15.140625" customWidth="1"/>
    <col min="12" max="12" width="13.5703125" customWidth="1"/>
    <col min="13" max="13" width="14.42578125" customWidth="1"/>
    <col min="14" max="14" width="16.5703125" customWidth="1"/>
    <col min="15" max="15" width="12.42578125" bestFit="1" customWidth="1"/>
    <col min="16" max="16" width="14.140625" customWidth="1"/>
  </cols>
  <sheetData>
    <row r="1" spans="1:15" ht="13.5" thickBot="1">
      <c r="A1" s="46" t="s">
        <v>116</v>
      </c>
      <c r="E1" s="6"/>
      <c r="F1" s="6"/>
      <c r="J1" s="6"/>
      <c r="K1" s="6"/>
      <c r="N1" s="3"/>
    </row>
    <row r="2" spans="1:15">
      <c r="B2" s="45" t="s">
        <v>24</v>
      </c>
      <c r="C2" s="45" t="s">
        <v>24</v>
      </c>
      <c r="D2" s="45" t="s">
        <v>24</v>
      </c>
      <c r="E2" s="45" t="s">
        <v>24</v>
      </c>
      <c r="F2" s="45" t="s">
        <v>24</v>
      </c>
      <c r="G2" s="45" t="s">
        <v>76</v>
      </c>
      <c r="H2" s="45" t="s">
        <v>76</v>
      </c>
      <c r="I2" s="45" t="s">
        <v>76</v>
      </c>
      <c r="J2" s="45" t="s">
        <v>76</v>
      </c>
      <c r="K2" s="45" t="s">
        <v>76</v>
      </c>
      <c r="L2" s="45" t="s">
        <v>76</v>
      </c>
      <c r="M2" s="45" t="s">
        <v>76</v>
      </c>
      <c r="N2" s="28" t="s">
        <v>25</v>
      </c>
    </row>
    <row r="3" spans="1:15" s="5" customFormat="1">
      <c r="B3" s="11">
        <v>43283</v>
      </c>
      <c r="C3" s="11">
        <v>43314</v>
      </c>
      <c r="D3" s="11">
        <v>43345</v>
      </c>
      <c r="E3" s="11">
        <v>43375</v>
      </c>
      <c r="F3" s="11">
        <v>43406</v>
      </c>
      <c r="G3" s="11">
        <v>43436</v>
      </c>
      <c r="H3" s="11">
        <v>43467</v>
      </c>
      <c r="I3" s="11">
        <v>43498</v>
      </c>
      <c r="J3" s="11">
        <v>43526</v>
      </c>
      <c r="K3" s="11">
        <v>43557</v>
      </c>
      <c r="L3" s="11">
        <v>43587</v>
      </c>
      <c r="M3" s="11">
        <v>43618</v>
      </c>
      <c r="N3" s="57" t="s">
        <v>113</v>
      </c>
    </row>
    <row r="4" spans="1:15" hidden="1">
      <c r="A4" s="1" t="s">
        <v>27</v>
      </c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>
        <f>SUM(B4:M4)</f>
        <v>0</v>
      </c>
      <c r="O4" s="29"/>
    </row>
    <row r="5" spans="1:15" s="6" customFormat="1" hidden="1">
      <c r="A5" s="6" t="s">
        <v>28</v>
      </c>
      <c r="B5" s="53">
        <v>1664716</v>
      </c>
      <c r="C5" s="53">
        <v>4334056</v>
      </c>
      <c r="D5" s="53">
        <v>4037246</v>
      </c>
      <c r="E5" s="53">
        <v>3697436</v>
      </c>
      <c r="F5" s="53">
        <v>2202637</v>
      </c>
      <c r="G5" s="53">
        <v>2776160</v>
      </c>
      <c r="H5" s="53">
        <v>4028939</v>
      </c>
      <c r="I5" s="53">
        <v>4052325</v>
      </c>
      <c r="J5" s="53">
        <v>3199134</v>
      </c>
      <c r="K5" s="53">
        <v>3507287</v>
      </c>
      <c r="L5" s="53">
        <v>2668320</v>
      </c>
      <c r="M5" s="53">
        <v>1617618</v>
      </c>
      <c r="N5" s="12">
        <f>SUM(B5:M5)</f>
        <v>37785874</v>
      </c>
      <c r="O5" s="29"/>
    </row>
    <row r="6" spans="1:15" s="6" customFormat="1" hidden="1">
      <c r="A6" s="6" t="s">
        <v>29</v>
      </c>
      <c r="B6" s="53">
        <v>98799</v>
      </c>
      <c r="C6" s="53">
        <v>92990</v>
      </c>
      <c r="D6" s="53">
        <v>321611</v>
      </c>
      <c r="E6" s="53">
        <v>154261</v>
      </c>
      <c r="F6" s="53">
        <v>145205</v>
      </c>
      <c r="G6" s="53">
        <v>101745</v>
      </c>
      <c r="H6" s="53">
        <v>88920</v>
      </c>
      <c r="I6" s="53">
        <v>295741</v>
      </c>
      <c r="J6" s="53">
        <v>106938</v>
      </c>
      <c r="K6" s="53">
        <v>117110</v>
      </c>
      <c r="L6" s="53">
        <v>111576</v>
      </c>
      <c r="M6" s="53">
        <v>95131</v>
      </c>
      <c r="N6" s="7">
        <f>SUM(B6:M6)</f>
        <v>1730027</v>
      </c>
      <c r="O6" s="29"/>
    </row>
    <row r="7" spans="1:15" s="6" customFormat="1" hidden="1">
      <c r="B7" s="7"/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7">
        <f>SUM(B7:M7)</f>
        <v>0</v>
      </c>
      <c r="O7" s="29"/>
    </row>
    <row r="8" spans="1:15" s="6" customFormat="1" hidden="1">
      <c r="B8" s="15"/>
      <c r="C8" s="15"/>
      <c r="D8" s="15"/>
      <c r="E8" s="15"/>
      <c r="F8" s="15"/>
      <c r="G8" s="15"/>
      <c r="H8" s="15"/>
      <c r="I8" s="15"/>
      <c r="J8" s="15"/>
      <c r="K8" s="15"/>
      <c r="L8" s="15"/>
      <c r="M8" s="15"/>
      <c r="N8" s="15">
        <f>SUM(B8:M8)</f>
        <v>0</v>
      </c>
      <c r="O8" s="29"/>
    </row>
    <row r="9" spans="1:15" s="6" customFormat="1">
      <c r="A9" s="13" t="s">
        <v>30</v>
      </c>
      <c r="B9" s="12">
        <f t="shared" ref="B9:N9" si="0">SUM(B5:B8)</f>
        <v>1763515</v>
      </c>
      <c r="C9" s="12">
        <f t="shared" si="0"/>
        <v>4427046</v>
      </c>
      <c r="D9" s="12">
        <f t="shared" si="0"/>
        <v>4358857</v>
      </c>
      <c r="E9" s="12">
        <f t="shared" si="0"/>
        <v>3851697</v>
      </c>
      <c r="F9" s="12">
        <f t="shared" si="0"/>
        <v>2347842</v>
      </c>
      <c r="G9" s="12">
        <f t="shared" si="0"/>
        <v>2877905</v>
      </c>
      <c r="H9" s="12">
        <f t="shared" si="0"/>
        <v>4117859</v>
      </c>
      <c r="I9" s="12">
        <f t="shared" si="0"/>
        <v>4348066</v>
      </c>
      <c r="J9" s="12">
        <f t="shared" si="0"/>
        <v>3306072</v>
      </c>
      <c r="K9" s="12">
        <f t="shared" si="0"/>
        <v>3624397</v>
      </c>
      <c r="L9" s="12">
        <f t="shared" si="0"/>
        <v>2779896</v>
      </c>
      <c r="M9" s="12">
        <f t="shared" si="0"/>
        <v>1712749</v>
      </c>
      <c r="N9" s="12">
        <f t="shared" si="0"/>
        <v>39515901</v>
      </c>
      <c r="O9" s="29"/>
    </row>
    <row r="10" spans="1:15" s="6" customFormat="1" ht="6.75" customHeight="1"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29"/>
    </row>
    <row r="11" spans="1:15" s="6" customFormat="1">
      <c r="A11" s="13" t="s">
        <v>31</v>
      </c>
      <c r="B11" s="7">
        <v>910</v>
      </c>
      <c r="C11" s="7">
        <v>38</v>
      </c>
      <c r="D11" s="7">
        <v>885</v>
      </c>
      <c r="E11" s="7">
        <v>0</v>
      </c>
      <c r="F11" s="7">
        <v>0</v>
      </c>
      <c r="G11" s="7">
        <v>0</v>
      </c>
      <c r="H11" s="7">
        <v>0</v>
      </c>
      <c r="I11" s="7">
        <v>0</v>
      </c>
      <c r="J11" s="7">
        <v>0</v>
      </c>
      <c r="K11" s="7">
        <v>0</v>
      </c>
      <c r="L11" s="7">
        <v>0</v>
      </c>
      <c r="M11" s="7">
        <v>0</v>
      </c>
      <c r="N11" s="7">
        <f>SUM(B11:M11)</f>
        <v>1833</v>
      </c>
      <c r="O11" s="29">
        <v>-232025</v>
      </c>
    </row>
    <row r="12" spans="1:15" s="6" customFormat="1" ht="7.5" customHeight="1">
      <c r="B12" s="7"/>
      <c r="C12" s="7"/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  <c r="O12" s="29"/>
    </row>
    <row r="13" spans="1:15" s="6" customFormat="1" ht="13.5" thickBot="1">
      <c r="A13" s="13" t="s">
        <v>32</v>
      </c>
      <c r="B13" s="14">
        <f t="shared" ref="B13:N13" si="1">B9+B11</f>
        <v>1764425</v>
      </c>
      <c r="C13" s="14">
        <f>C9+C11</f>
        <v>4427084</v>
      </c>
      <c r="D13" s="14">
        <f t="shared" si="1"/>
        <v>4359742</v>
      </c>
      <c r="E13" s="14">
        <f t="shared" si="1"/>
        <v>3851697</v>
      </c>
      <c r="F13" s="14">
        <f t="shared" si="1"/>
        <v>2347842</v>
      </c>
      <c r="G13" s="14">
        <f t="shared" si="1"/>
        <v>2877905</v>
      </c>
      <c r="H13" s="14">
        <f t="shared" si="1"/>
        <v>4117859</v>
      </c>
      <c r="I13" s="14">
        <f t="shared" si="1"/>
        <v>4348066</v>
      </c>
      <c r="J13" s="14">
        <f t="shared" si="1"/>
        <v>3306072</v>
      </c>
      <c r="K13" s="14">
        <f t="shared" si="1"/>
        <v>3624397</v>
      </c>
      <c r="L13" s="14">
        <f t="shared" si="1"/>
        <v>2779896</v>
      </c>
      <c r="M13" s="14">
        <f t="shared" si="1"/>
        <v>1712749</v>
      </c>
      <c r="N13" s="14">
        <f t="shared" si="1"/>
        <v>39517734</v>
      </c>
      <c r="O13" s="29"/>
    </row>
    <row r="14" spans="1:15" s="6" customFormat="1" ht="13.5" thickTop="1">
      <c r="B14" s="7"/>
      <c r="C14" s="7"/>
      <c r="D14" s="7"/>
      <c r="E14" s="7"/>
      <c r="F14" s="7"/>
      <c r="G14" s="7"/>
      <c r="H14" s="7"/>
      <c r="I14" s="7"/>
      <c r="J14" s="7"/>
      <c r="K14" s="7"/>
      <c r="L14" s="7"/>
      <c r="M14" s="7"/>
    </row>
    <row r="15" spans="1:15" s="6" customFormat="1" hidden="1">
      <c r="A15" s="13" t="s">
        <v>33</v>
      </c>
      <c r="B15" s="7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</row>
    <row r="16" spans="1:15" s="6" customFormat="1" hidden="1">
      <c r="A16" s="6" t="s">
        <v>34</v>
      </c>
      <c r="B16" s="53">
        <v>808507</v>
      </c>
      <c r="C16" s="53">
        <v>2662695</v>
      </c>
      <c r="D16" s="53">
        <v>1620992</v>
      </c>
      <c r="E16" s="53">
        <v>1274587</v>
      </c>
      <c r="F16" s="53">
        <v>814523</v>
      </c>
      <c r="G16" s="53">
        <v>954396</v>
      </c>
      <c r="H16" s="53">
        <v>2336270</v>
      </c>
      <c r="I16" s="53">
        <v>1689918</v>
      </c>
      <c r="J16" s="53">
        <v>1116694</v>
      </c>
      <c r="K16" s="53">
        <v>1332035</v>
      </c>
      <c r="L16" s="53">
        <v>1066893</v>
      </c>
      <c r="M16" s="53">
        <v>774058</v>
      </c>
      <c r="N16" s="7">
        <f>SUM(B16:M16)</f>
        <v>16451568</v>
      </c>
      <c r="O16" s="29"/>
    </row>
    <row r="17" spans="1:15" s="6" customFormat="1" hidden="1">
      <c r="B17" s="27"/>
      <c r="C17" s="27"/>
      <c r="D17" s="27"/>
      <c r="E17" s="27"/>
      <c r="F17" s="27"/>
      <c r="G17" s="27"/>
      <c r="H17" s="27"/>
      <c r="I17" s="27"/>
      <c r="J17" s="27"/>
      <c r="K17" s="27"/>
      <c r="L17" s="27"/>
      <c r="M17" s="27"/>
      <c r="N17" s="7">
        <f>SUM(B17:M17)</f>
        <v>0</v>
      </c>
    </row>
    <row r="18" spans="1:15" s="6" customFormat="1" hidden="1">
      <c r="B18" s="7"/>
      <c r="C18" s="7"/>
      <c r="D18" s="7"/>
      <c r="E18" s="7"/>
      <c r="F18" s="7"/>
      <c r="G18" s="7"/>
      <c r="H18" s="7"/>
      <c r="I18" s="7"/>
      <c r="J18" s="7"/>
      <c r="K18" s="7"/>
      <c r="L18" s="7"/>
      <c r="M18" s="7"/>
      <c r="N18" s="7">
        <v>0</v>
      </c>
    </row>
    <row r="19" spans="1:15" s="6" customFormat="1" hidden="1">
      <c r="B19" s="15"/>
      <c r="C19" s="15"/>
      <c r="D19" s="15"/>
      <c r="E19" s="15"/>
      <c r="F19" s="15"/>
      <c r="G19" s="15"/>
      <c r="H19" s="15"/>
      <c r="I19" s="15"/>
      <c r="J19" s="15"/>
      <c r="K19" s="15"/>
      <c r="L19" s="15"/>
      <c r="M19" s="15"/>
      <c r="N19" s="15">
        <f>SUM(B19:M19)</f>
        <v>0</v>
      </c>
    </row>
    <row r="20" spans="1:15" s="6" customFormat="1">
      <c r="A20" s="13" t="s">
        <v>35</v>
      </c>
      <c r="B20" s="12">
        <f t="shared" ref="B20:N20" si="2">SUM(B16:B19)</f>
        <v>808507</v>
      </c>
      <c r="C20" s="12">
        <f t="shared" si="2"/>
        <v>2662695</v>
      </c>
      <c r="D20" s="12">
        <f t="shared" si="2"/>
        <v>1620992</v>
      </c>
      <c r="E20" s="12">
        <f t="shared" si="2"/>
        <v>1274587</v>
      </c>
      <c r="F20" s="12">
        <f t="shared" si="2"/>
        <v>814523</v>
      </c>
      <c r="G20" s="12">
        <f t="shared" si="2"/>
        <v>954396</v>
      </c>
      <c r="H20" s="12">
        <f t="shared" si="2"/>
        <v>2336270</v>
      </c>
      <c r="I20" s="12">
        <f t="shared" si="2"/>
        <v>1689918</v>
      </c>
      <c r="J20" s="12">
        <f t="shared" si="2"/>
        <v>1116694</v>
      </c>
      <c r="K20" s="12">
        <f t="shared" si="2"/>
        <v>1332035</v>
      </c>
      <c r="L20" s="12">
        <f t="shared" si="2"/>
        <v>1066893</v>
      </c>
      <c r="M20" s="12">
        <f t="shared" si="2"/>
        <v>774058</v>
      </c>
      <c r="N20" s="12">
        <f t="shared" si="2"/>
        <v>16451568</v>
      </c>
      <c r="O20" s="29"/>
    </row>
    <row r="21" spans="1:15" s="6" customFormat="1">
      <c r="B21" s="7"/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</row>
    <row r="22" spans="1:15" s="6" customFormat="1" hidden="1">
      <c r="A22" s="13" t="s">
        <v>36</v>
      </c>
      <c r="B22" s="7"/>
      <c r="C22" s="7"/>
      <c r="D22" s="7"/>
      <c r="E22" s="7"/>
      <c r="F22" s="7"/>
      <c r="G22" s="7"/>
      <c r="H22" s="7"/>
      <c r="I22" s="7"/>
      <c r="J22" s="7"/>
      <c r="K22" s="7"/>
      <c r="L22" s="7"/>
      <c r="M22" s="7"/>
    </row>
    <row r="23" spans="1:15" s="6" customFormat="1" hidden="1">
      <c r="A23" s="6" t="s">
        <v>37</v>
      </c>
      <c r="B23" s="7">
        <f t="shared" ref="B23:M26" si="3">+B5-B16</f>
        <v>856209</v>
      </c>
      <c r="C23" s="7">
        <f t="shared" si="3"/>
        <v>1671361</v>
      </c>
      <c r="D23" s="7">
        <f t="shared" si="3"/>
        <v>2416254</v>
      </c>
      <c r="E23" s="7">
        <f t="shared" si="3"/>
        <v>2422849</v>
      </c>
      <c r="F23" s="7">
        <f t="shared" si="3"/>
        <v>1388114</v>
      </c>
      <c r="G23" s="7">
        <f t="shared" si="3"/>
        <v>1821764</v>
      </c>
      <c r="H23" s="7">
        <f t="shared" si="3"/>
        <v>1692669</v>
      </c>
      <c r="I23" s="7">
        <f t="shared" si="3"/>
        <v>2362407</v>
      </c>
      <c r="J23" s="7">
        <f t="shared" si="3"/>
        <v>2082440</v>
      </c>
      <c r="K23" s="7">
        <f t="shared" si="3"/>
        <v>2175252</v>
      </c>
      <c r="L23" s="7">
        <f t="shared" si="3"/>
        <v>1601427</v>
      </c>
      <c r="M23" s="7">
        <f t="shared" si="3"/>
        <v>843560</v>
      </c>
      <c r="N23" s="7">
        <f>SUM(B23:M23)</f>
        <v>21334306</v>
      </c>
      <c r="O23" s="29"/>
    </row>
    <row r="24" spans="1:15" s="6" customFormat="1" hidden="1">
      <c r="A24" s="6" t="s">
        <v>37</v>
      </c>
      <c r="B24" s="7">
        <f t="shared" si="3"/>
        <v>98799</v>
      </c>
      <c r="C24" s="7">
        <f t="shared" si="3"/>
        <v>92990</v>
      </c>
      <c r="D24" s="7">
        <f t="shared" si="3"/>
        <v>321611</v>
      </c>
      <c r="E24" s="7">
        <f t="shared" si="3"/>
        <v>154261</v>
      </c>
      <c r="F24" s="7">
        <f t="shared" si="3"/>
        <v>145205</v>
      </c>
      <c r="G24" s="7">
        <f t="shared" si="3"/>
        <v>101745</v>
      </c>
      <c r="H24" s="7">
        <f t="shared" si="3"/>
        <v>88920</v>
      </c>
      <c r="I24" s="7">
        <f t="shared" si="3"/>
        <v>295741</v>
      </c>
      <c r="J24" s="7">
        <f t="shared" si="3"/>
        <v>106938</v>
      </c>
      <c r="K24" s="7">
        <f t="shared" si="3"/>
        <v>117110</v>
      </c>
      <c r="L24" s="7">
        <f t="shared" si="3"/>
        <v>111576</v>
      </c>
      <c r="M24" s="7">
        <f t="shared" si="3"/>
        <v>95131</v>
      </c>
      <c r="N24" s="7">
        <f>SUM(B24:M24)</f>
        <v>1730027</v>
      </c>
      <c r="O24" s="29"/>
    </row>
    <row r="25" spans="1:15" s="6" customFormat="1" hidden="1">
      <c r="A25" s="6" t="s">
        <v>38</v>
      </c>
      <c r="B25" s="7">
        <f t="shared" si="3"/>
        <v>0</v>
      </c>
      <c r="C25" s="7">
        <f t="shared" si="3"/>
        <v>0</v>
      </c>
      <c r="D25" s="7">
        <f t="shared" si="3"/>
        <v>0</v>
      </c>
      <c r="E25" s="7">
        <f t="shared" si="3"/>
        <v>0</v>
      </c>
      <c r="F25" s="7">
        <f t="shared" si="3"/>
        <v>0</v>
      </c>
      <c r="G25" s="7">
        <f t="shared" si="3"/>
        <v>0</v>
      </c>
      <c r="H25" s="7">
        <f t="shared" si="3"/>
        <v>0</v>
      </c>
      <c r="I25" s="7">
        <f t="shared" si="3"/>
        <v>0</v>
      </c>
      <c r="J25" s="7">
        <f t="shared" si="3"/>
        <v>0</v>
      </c>
      <c r="K25" s="7">
        <f t="shared" si="3"/>
        <v>0</v>
      </c>
      <c r="L25" s="7">
        <f t="shared" si="3"/>
        <v>0</v>
      </c>
      <c r="M25" s="7">
        <f t="shared" si="3"/>
        <v>0</v>
      </c>
      <c r="N25" s="7">
        <f>SUM(B25:M25)</f>
        <v>0</v>
      </c>
      <c r="O25" s="29"/>
    </row>
    <row r="26" spans="1:15" s="6" customFormat="1" hidden="1">
      <c r="A26" s="6" t="s">
        <v>38</v>
      </c>
      <c r="B26" s="15">
        <f t="shared" si="3"/>
        <v>0</v>
      </c>
      <c r="C26" s="15">
        <f t="shared" si="3"/>
        <v>0</v>
      </c>
      <c r="D26" s="15">
        <f t="shared" si="3"/>
        <v>0</v>
      </c>
      <c r="E26" s="15">
        <f t="shared" si="3"/>
        <v>0</v>
      </c>
      <c r="F26" s="15">
        <f t="shared" si="3"/>
        <v>0</v>
      </c>
      <c r="G26" s="15">
        <f t="shared" si="3"/>
        <v>0</v>
      </c>
      <c r="H26" s="15">
        <f t="shared" si="3"/>
        <v>0</v>
      </c>
      <c r="I26" s="15">
        <f t="shared" si="3"/>
        <v>0</v>
      </c>
      <c r="J26" s="15">
        <f t="shared" si="3"/>
        <v>0</v>
      </c>
      <c r="K26" s="15">
        <f t="shared" si="3"/>
        <v>0</v>
      </c>
      <c r="L26" s="15">
        <f t="shared" si="3"/>
        <v>0</v>
      </c>
      <c r="M26" s="15">
        <f t="shared" si="3"/>
        <v>0</v>
      </c>
      <c r="N26" s="15">
        <f>SUM(B26:M26)</f>
        <v>0</v>
      </c>
      <c r="O26" s="29"/>
    </row>
    <row r="27" spans="1:15" s="6" customFormat="1">
      <c r="A27" s="13" t="s">
        <v>39</v>
      </c>
      <c r="B27" s="12">
        <f t="shared" ref="B27:N27" si="4">SUM(B23:B26)</f>
        <v>955008</v>
      </c>
      <c r="C27" s="12">
        <f t="shared" si="4"/>
        <v>1764351</v>
      </c>
      <c r="D27" s="12">
        <f t="shared" si="4"/>
        <v>2737865</v>
      </c>
      <c r="E27" s="12">
        <f t="shared" si="4"/>
        <v>2577110</v>
      </c>
      <c r="F27" s="12">
        <f t="shared" si="4"/>
        <v>1533319</v>
      </c>
      <c r="G27" s="12">
        <f t="shared" si="4"/>
        <v>1923509</v>
      </c>
      <c r="H27" s="12">
        <f t="shared" si="4"/>
        <v>1781589</v>
      </c>
      <c r="I27" s="12">
        <f t="shared" si="4"/>
        <v>2658148</v>
      </c>
      <c r="J27" s="12">
        <f t="shared" si="4"/>
        <v>2189378</v>
      </c>
      <c r="K27" s="12">
        <f t="shared" si="4"/>
        <v>2292362</v>
      </c>
      <c r="L27" s="12">
        <f t="shared" si="4"/>
        <v>1713003</v>
      </c>
      <c r="M27" s="12">
        <f>SUM(M23:M26)</f>
        <v>938691</v>
      </c>
      <c r="N27" s="12">
        <f t="shared" si="4"/>
        <v>23064333</v>
      </c>
      <c r="O27" s="29"/>
    </row>
    <row r="28" spans="1:15" s="6" customFormat="1" ht="14.45" customHeight="1">
      <c r="B28" s="73">
        <f>+B27/B9</f>
        <v>0.54153664698060411</v>
      </c>
      <c r="C28" s="73">
        <f t="shared" ref="C28:N28" si="5">+C27/C9</f>
        <v>0.39853911615104065</v>
      </c>
      <c r="D28" s="73">
        <f t="shared" si="5"/>
        <v>0.62811535225863113</v>
      </c>
      <c r="E28" s="73">
        <f t="shared" si="5"/>
        <v>0.66908430232180771</v>
      </c>
      <c r="F28" s="73">
        <f t="shared" si="5"/>
        <v>0.65307588841157116</v>
      </c>
      <c r="G28" s="73">
        <f t="shared" si="5"/>
        <v>0.66837126312369588</v>
      </c>
      <c r="H28" s="73">
        <f t="shared" si="5"/>
        <v>0.43264934520584603</v>
      </c>
      <c r="I28" s="73">
        <f t="shared" si="5"/>
        <v>0.61134030624190161</v>
      </c>
      <c r="J28" s="73">
        <f t="shared" si="5"/>
        <v>0.66222937673468696</v>
      </c>
      <c r="K28" s="73">
        <f t="shared" si="5"/>
        <v>0.6324809340698605</v>
      </c>
      <c r="L28" s="73">
        <f t="shared" si="5"/>
        <v>0.61621118200105329</v>
      </c>
      <c r="M28" s="73">
        <f t="shared" si="5"/>
        <v>0.54806104105154929</v>
      </c>
      <c r="N28" s="73">
        <f t="shared" si="5"/>
        <v>0.58367220324800384</v>
      </c>
    </row>
    <row r="29" spans="1:15" s="6" customFormat="1" hidden="1">
      <c r="A29" s="13" t="s">
        <v>40</v>
      </c>
      <c r="B29" s="7"/>
      <c r="C29" s="7"/>
      <c r="D29" s="7"/>
      <c r="E29" s="7"/>
      <c r="F29" s="7"/>
      <c r="G29" s="7"/>
      <c r="H29" s="7"/>
      <c r="I29" s="7"/>
      <c r="J29" s="7"/>
      <c r="K29" s="7"/>
      <c r="L29" s="7"/>
      <c r="M29" s="7"/>
    </row>
    <row r="30" spans="1:15" s="6" customFormat="1" hidden="1">
      <c r="A30" s="6" t="s">
        <v>93</v>
      </c>
      <c r="B30" s="53">
        <v>550190</v>
      </c>
      <c r="C30" s="53">
        <v>644844</v>
      </c>
      <c r="D30" s="53">
        <v>702597</v>
      </c>
      <c r="E30" s="53">
        <v>894957</v>
      </c>
      <c r="F30" s="53">
        <v>586761</v>
      </c>
      <c r="G30" s="53">
        <v>645132</v>
      </c>
      <c r="H30" s="53">
        <v>699380</v>
      </c>
      <c r="I30" s="53">
        <v>767189</v>
      </c>
      <c r="J30" s="53">
        <v>740529</v>
      </c>
      <c r="K30" s="53">
        <v>823718</v>
      </c>
      <c r="L30" s="53">
        <v>672632</v>
      </c>
      <c r="M30" s="53">
        <v>481272</v>
      </c>
      <c r="N30" s="7">
        <f>SUM(B30:M30)</f>
        <v>8209201</v>
      </c>
      <c r="O30" s="29"/>
    </row>
    <row r="31" spans="1:15" s="6" customFormat="1" hidden="1">
      <c r="A31" s="6" t="s">
        <v>42</v>
      </c>
      <c r="B31" s="53">
        <v>192847</v>
      </c>
      <c r="C31" s="53">
        <v>222888</v>
      </c>
      <c r="D31" s="53">
        <v>200354</v>
      </c>
      <c r="E31" s="53">
        <v>299177</v>
      </c>
      <c r="F31" s="53">
        <v>208586</v>
      </c>
      <c r="G31" s="53">
        <v>212033</v>
      </c>
      <c r="H31" s="53">
        <v>235832</v>
      </c>
      <c r="I31" s="53">
        <v>221244</v>
      </c>
      <c r="J31" s="53">
        <v>220622</v>
      </c>
      <c r="K31" s="53">
        <v>249552</v>
      </c>
      <c r="L31" s="53">
        <v>214590</v>
      </c>
      <c r="M31" s="53">
        <v>210384</v>
      </c>
      <c r="N31" s="7">
        <f>SUM(B31:M31)</f>
        <v>2688109</v>
      </c>
      <c r="O31" s="29"/>
    </row>
    <row r="32" spans="1:15" s="6" customFormat="1" ht="15" hidden="1">
      <c r="A32" s="6" t="s">
        <v>38</v>
      </c>
      <c r="B32" s="68"/>
      <c r="C32" s="68"/>
      <c r="D32" s="68"/>
      <c r="E32" s="68"/>
      <c r="F32" s="68"/>
      <c r="G32" s="68"/>
      <c r="H32" s="68"/>
      <c r="I32" s="68"/>
      <c r="J32" s="68"/>
      <c r="K32" s="68"/>
      <c r="L32" s="68"/>
      <c r="M32" s="68"/>
      <c r="N32" s="7">
        <f>SUM(B32:M32)</f>
        <v>0</v>
      </c>
      <c r="O32" s="29"/>
    </row>
    <row r="33" spans="1:16" s="6" customFormat="1" hidden="1">
      <c r="B33" s="15"/>
      <c r="C33" s="15"/>
      <c r="D33" s="15"/>
      <c r="E33" s="15"/>
      <c r="F33" s="15"/>
      <c r="G33" s="15"/>
      <c r="H33" s="15"/>
      <c r="I33" s="15"/>
      <c r="J33" s="15"/>
      <c r="K33" s="15"/>
      <c r="L33" s="15"/>
      <c r="M33" s="15"/>
      <c r="N33" s="15">
        <f>SUM(B33:M33)</f>
        <v>0</v>
      </c>
      <c r="O33" s="29"/>
    </row>
    <row r="34" spans="1:16" s="6" customFormat="1">
      <c r="A34" s="13" t="s">
        <v>43</v>
      </c>
      <c r="B34" s="12">
        <f t="shared" ref="B34:N34" si="6">SUM(B30:B33)</f>
        <v>743037</v>
      </c>
      <c r="C34" s="12">
        <f t="shared" si="6"/>
        <v>867732</v>
      </c>
      <c r="D34" s="12">
        <f t="shared" si="6"/>
        <v>902951</v>
      </c>
      <c r="E34" s="12">
        <f t="shared" si="6"/>
        <v>1194134</v>
      </c>
      <c r="F34" s="12">
        <f t="shared" si="6"/>
        <v>795347</v>
      </c>
      <c r="G34" s="12">
        <f t="shared" si="6"/>
        <v>857165</v>
      </c>
      <c r="H34" s="12">
        <f t="shared" si="6"/>
        <v>935212</v>
      </c>
      <c r="I34" s="12">
        <f t="shared" si="6"/>
        <v>988433</v>
      </c>
      <c r="J34" s="12">
        <f t="shared" si="6"/>
        <v>961151</v>
      </c>
      <c r="K34" s="12">
        <f t="shared" si="6"/>
        <v>1073270</v>
      </c>
      <c r="L34" s="12">
        <f t="shared" si="6"/>
        <v>887222</v>
      </c>
      <c r="M34" s="12">
        <f t="shared" si="6"/>
        <v>691656</v>
      </c>
      <c r="N34" s="12">
        <f t="shared" si="6"/>
        <v>10897310</v>
      </c>
      <c r="O34" s="29"/>
    </row>
    <row r="35" spans="1:16" s="6" customFormat="1">
      <c r="B35" s="7"/>
      <c r="C35" s="7"/>
      <c r="D35" s="7"/>
      <c r="E35" s="7"/>
      <c r="F35" s="7"/>
      <c r="G35" s="7"/>
      <c r="H35" s="7"/>
      <c r="I35" s="7"/>
      <c r="J35" s="7"/>
      <c r="K35" s="7"/>
      <c r="L35" s="7"/>
      <c r="M35" s="7"/>
    </row>
    <row r="36" spans="1:16" s="6" customFormat="1" hidden="1">
      <c r="A36" s="13" t="s">
        <v>44</v>
      </c>
      <c r="B36" s="7"/>
      <c r="C36" s="7"/>
      <c r="D36" s="7"/>
      <c r="E36" s="7"/>
      <c r="F36" s="7"/>
      <c r="G36" s="7"/>
      <c r="H36" s="7"/>
      <c r="I36" s="7"/>
      <c r="J36" s="7"/>
      <c r="K36" s="7"/>
      <c r="L36" s="7"/>
      <c r="M36" s="7"/>
    </row>
    <row r="37" spans="1:16" s="6" customFormat="1" hidden="1">
      <c r="A37" s="6" t="s">
        <v>45</v>
      </c>
      <c r="B37" s="53">
        <v>1292386</v>
      </c>
      <c r="C37" s="53">
        <v>1363232</v>
      </c>
      <c r="D37" s="53">
        <v>1482893</v>
      </c>
      <c r="E37" s="53">
        <v>1759651</v>
      </c>
      <c r="F37" s="53">
        <v>1355166</v>
      </c>
      <c r="G37" s="66">
        <v>1630908</v>
      </c>
      <c r="H37" s="66">
        <v>1457121</v>
      </c>
      <c r="I37" s="66">
        <v>1632531</v>
      </c>
      <c r="J37" s="66">
        <v>1545361</v>
      </c>
      <c r="K37" s="53">
        <v>1699036</v>
      </c>
      <c r="L37" s="53">
        <v>1429774</v>
      </c>
      <c r="M37" s="53">
        <v>1131406</v>
      </c>
      <c r="N37" s="7">
        <f>SUM(B37:M37)</f>
        <v>17779465</v>
      </c>
      <c r="O37" s="29"/>
    </row>
    <row r="38" spans="1:16" s="6" customFormat="1" hidden="1">
      <c r="A38" s="6" t="s">
        <v>46</v>
      </c>
      <c r="B38" s="7">
        <f>-B34</f>
        <v>-743037</v>
      </c>
      <c r="C38" s="7">
        <f t="shared" ref="C38:M38" si="7">-C34</f>
        <v>-867732</v>
      </c>
      <c r="D38" s="7">
        <f t="shared" si="7"/>
        <v>-902951</v>
      </c>
      <c r="E38" s="7">
        <f t="shared" si="7"/>
        <v>-1194134</v>
      </c>
      <c r="F38" s="7">
        <f t="shared" si="7"/>
        <v>-795347</v>
      </c>
      <c r="G38" s="7">
        <f t="shared" si="7"/>
        <v>-857165</v>
      </c>
      <c r="H38" s="7">
        <f t="shared" si="7"/>
        <v>-935212</v>
      </c>
      <c r="I38" s="7">
        <f t="shared" si="7"/>
        <v>-988433</v>
      </c>
      <c r="J38" s="7">
        <f t="shared" si="7"/>
        <v>-961151</v>
      </c>
      <c r="K38" s="7">
        <f t="shared" si="7"/>
        <v>-1073270</v>
      </c>
      <c r="L38" s="7">
        <f t="shared" si="7"/>
        <v>-887222</v>
      </c>
      <c r="M38" s="7">
        <f t="shared" si="7"/>
        <v>-691656</v>
      </c>
      <c r="N38" s="7">
        <f>SUM(B38:M38)</f>
        <v>-10897310</v>
      </c>
      <c r="O38" s="29"/>
    </row>
    <row r="39" spans="1:16" s="6" customFormat="1" hidden="1">
      <c r="A39" s="6" t="s">
        <v>47</v>
      </c>
      <c r="B39" s="72">
        <v>-79744</v>
      </c>
      <c r="C39" s="72">
        <v>-79744</v>
      </c>
      <c r="D39" s="72">
        <v>79744</v>
      </c>
      <c r="E39" s="72">
        <v>-73419</v>
      </c>
      <c r="F39" s="72">
        <v>73419</v>
      </c>
      <c r="G39" s="72">
        <v>-81098</v>
      </c>
      <c r="H39" s="72">
        <v>-81832</v>
      </c>
      <c r="I39" s="72">
        <v>-81832</v>
      </c>
      <c r="J39" s="72">
        <v>-81832</v>
      </c>
      <c r="K39" s="72">
        <v>-82780</v>
      </c>
      <c r="L39" s="72">
        <v>-82780</v>
      </c>
      <c r="M39" s="72">
        <v>-81945</v>
      </c>
      <c r="N39" s="7">
        <f>SUM(B39:M39)</f>
        <v>-653843</v>
      </c>
      <c r="O39" s="29"/>
    </row>
    <row r="40" spans="1:16" s="6" customFormat="1" hidden="1">
      <c r="A40" s="6" t="s">
        <v>78</v>
      </c>
      <c r="B40" s="53"/>
      <c r="C40" s="53"/>
      <c r="D40" s="53"/>
      <c r="E40" s="53"/>
      <c r="F40" s="53"/>
      <c r="G40" s="53"/>
      <c r="H40" s="53"/>
      <c r="I40" s="53"/>
      <c r="J40" s="53"/>
      <c r="K40" s="53"/>
      <c r="L40" s="53"/>
      <c r="M40" s="53"/>
      <c r="N40" s="7">
        <f>SUM(B40:M40)</f>
        <v>0</v>
      </c>
      <c r="O40" s="29"/>
    </row>
    <row r="41" spans="1:16" s="6" customFormat="1" hidden="1">
      <c r="A41" s="6" t="s">
        <v>48</v>
      </c>
      <c r="B41" s="60">
        <v>-10000</v>
      </c>
      <c r="C41" s="60">
        <v>-10000</v>
      </c>
      <c r="D41" s="60">
        <v>-10000</v>
      </c>
      <c r="E41" s="60">
        <v>-10000</v>
      </c>
      <c r="F41" s="60">
        <v>-10000</v>
      </c>
      <c r="G41" s="60">
        <v>-10000</v>
      </c>
      <c r="H41" s="60">
        <v>-10000</v>
      </c>
      <c r="I41" s="60">
        <v>-10000</v>
      </c>
      <c r="J41" s="60">
        <v>-10300</v>
      </c>
      <c r="K41" s="60">
        <v>-10300</v>
      </c>
      <c r="L41" s="60">
        <v>-10300</v>
      </c>
      <c r="M41" s="60">
        <v>-10000</v>
      </c>
      <c r="N41" s="15">
        <f>SUM(B41:M41)</f>
        <v>-120900</v>
      </c>
      <c r="O41" s="29"/>
    </row>
    <row r="42" spans="1:16" s="6" customFormat="1">
      <c r="A42" s="13" t="s">
        <v>49</v>
      </c>
      <c r="B42" s="12">
        <f t="shared" ref="B42:N42" si="8">SUM(B37:B41)</f>
        <v>459605</v>
      </c>
      <c r="C42" s="12">
        <f t="shared" si="8"/>
        <v>405756</v>
      </c>
      <c r="D42" s="12">
        <f t="shared" si="8"/>
        <v>649686</v>
      </c>
      <c r="E42" s="12">
        <f t="shared" si="8"/>
        <v>482098</v>
      </c>
      <c r="F42" s="12">
        <f t="shared" si="8"/>
        <v>623238</v>
      </c>
      <c r="G42" s="12">
        <f t="shared" si="8"/>
        <v>682645</v>
      </c>
      <c r="H42" s="12">
        <f t="shared" si="8"/>
        <v>430077</v>
      </c>
      <c r="I42" s="12">
        <f t="shared" si="8"/>
        <v>552266</v>
      </c>
      <c r="J42" s="12">
        <f t="shared" si="8"/>
        <v>492078</v>
      </c>
      <c r="K42" s="12">
        <f t="shared" si="8"/>
        <v>532686</v>
      </c>
      <c r="L42" s="12">
        <f t="shared" si="8"/>
        <v>449472</v>
      </c>
      <c r="M42" s="12">
        <f t="shared" si="8"/>
        <v>347805</v>
      </c>
      <c r="N42" s="12">
        <f t="shared" si="8"/>
        <v>6107412</v>
      </c>
      <c r="O42" s="29"/>
    </row>
    <row r="43" spans="1:16">
      <c r="A43" s="1"/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2"/>
      <c r="N43" s="12"/>
      <c r="O43" s="6"/>
    </row>
    <row r="44" spans="1:16" hidden="1">
      <c r="A44" s="13" t="s">
        <v>50</v>
      </c>
      <c r="B44" s="53">
        <v>341767</v>
      </c>
      <c r="C44" s="53">
        <v>270679</v>
      </c>
      <c r="D44" s="53">
        <v>279225</v>
      </c>
      <c r="E44" s="53">
        <v>369606</v>
      </c>
      <c r="F44" s="53">
        <v>415556</v>
      </c>
      <c r="G44" s="53">
        <v>371389</v>
      </c>
      <c r="H44" s="53">
        <v>350631</v>
      </c>
      <c r="I44" s="53">
        <v>305031</v>
      </c>
      <c r="J44" s="53">
        <v>400807</v>
      </c>
      <c r="K44" s="53">
        <v>352963</v>
      </c>
      <c r="L44" s="53">
        <v>301088</v>
      </c>
      <c r="M44" s="53">
        <f>743355-270</f>
        <v>743085</v>
      </c>
      <c r="N44" s="12">
        <f>SUM(B44:M44)</f>
        <v>4501827</v>
      </c>
      <c r="O44" s="29"/>
      <c r="P44" s="25"/>
    </row>
    <row r="45" spans="1:16" hidden="1">
      <c r="A45" s="6" t="s">
        <v>107</v>
      </c>
      <c r="B45" s="22"/>
      <c r="C45" s="22"/>
      <c r="D45" s="22"/>
      <c r="E45" s="22"/>
      <c r="F45" s="22"/>
      <c r="G45" s="22"/>
      <c r="H45" s="22"/>
      <c r="I45" s="22"/>
      <c r="J45" s="22"/>
      <c r="K45" s="22"/>
      <c r="L45" s="22"/>
      <c r="M45" s="22"/>
      <c r="N45" s="22">
        <f>SUM(B45:M45)</f>
        <v>0</v>
      </c>
      <c r="O45" s="29"/>
    </row>
    <row r="46" spans="1:16">
      <c r="A46" s="1" t="s">
        <v>50</v>
      </c>
      <c r="B46" s="12">
        <f>SUM(B44:B45)</f>
        <v>341767</v>
      </c>
      <c r="C46" s="12">
        <f>SUM(C44:C45)</f>
        <v>270679</v>
      </c>
      <c r="D46" s="12">
        <f t="shared" ref="D46:N46" si="9">SUM(D44:D45)</f>
        <v>279225</v>
      </c>
      <c r="E46" s="12">
        <f t="shared" si="9"/>
        <v>369606</v>
      </c>
      <c r="F46" s="12">
        <f t="shared" si="9"/>
        <v>415556</v>
      </c>
      <c r="G46" s="12">
        <f t="shared" si="9"/>
        <v>371389</v>
      </c>
      <c r="H46" s="12">
        <f t="shared" si="9"/>
        <v>350631</v>
      </c>
      <c r="I46" s="12">
        <f t="shared" si="9"/>
        <v>305031</v>
      </c>
      <c r="J46" s="12">
        <f t="shared" si="9"/>
        <v>400807</v>
      </c>
      <c r="K46" s="12">
        <f t="shared" si="9"/>
        <v>352963</v>
      </c>
      <c r="L46" s="12">
        <f t="shared" si="9"/>
        <v>301088</v>
      </c>
      <c r="M46" s="12">
        <f t="shared" si="9"/>
        <v>743085</v>
      </c>
      <c r="N46" s="12">
        <f t="shared" si="9"/>
        <v>4501827</v>
      </c>
      <c r="O46" s="29"/>
    </row>
    <row r="47" spans="1:16">
      <c r="B47" s="7"/>
      <c r="C47" s="7"/>
      <c r="D47" s="7"/>
      <c r="E47" s="7"/>
      <c r="F47" s="7"/>
      <c r="G47" s="7"/>
      <c r="H47" s="7"/>
      <c r="I47" s="7"/>
      <c r="J47" s="7"/>
      <c r="K47" s="6"/>
      <c r="L47" s="6"/>
      <c r="M47" s="6"/>
      <c r="N47" s="6"/>
      <c r="O47" s="6"/>
    </row>
    <row r="48" spans="1:16">
      <c r="A48" s="13" t="s">
        <v>52</v>
      </c>
      <c r="B48" s="19">
        <f t="shared" ref="B48:N48" si="10">+B20+B34+B42+B46</f>
        <v>2352916</v>
      </c>
      <c r="C48" s="19">
        <f t="shared" si="10"/>
        <v>4206862</v>
      </c>
      <c r="D48" s="19">
        <f t="shared" si="10"/>
        <v>3452854</v>
      </c>
      <c r="E48" s="19">
        <f t="shared" si="10"/>
        <v>3320425</v>
      </c>
      <c r="F48" s="19">
        <f t="shared" si="10"/>
        <v>2648664</v>
      </c>
      <c r="G48" s="19">
        <f t="shared" si="10"/>
        <v>2865595</v>
      </c>
      <c r="H48" s="19">
        <f t="shared" si="10"/>
        <v>4052190</v>
      </c>
      <c r="I48" s="19">
        <f t="shared" si="10"/>
        <v>3535648</v>
      </c>
      <c r="J48" s="19">
        <f t="shared" si="10"/>
        <v>2970730</v>
      </c>
      <c r="K48" s="19">
        <f t="shared" si="10"/>
        <v>3290954</v>
      </c>
      <c r="L48" s="19">
        <f t="shared" si="10"/>
        <v>2704675</v>
      </c>
      <c r="M48" s="19">
        <f t="shared" si="10"/>
        <v>2556604</v>
      </c>
      <c r="N48" s="19">
        <f t="shared" si="10"/>
        <v>37958117</v>
      </c>
      <c r="O48" s="29"/>
    </row>
    <row r="49" spans="1:26">
      <c r="B49" s="7"/>
      <c r="C49" s="7"/>
      <c r="D49" s="7"/>
      <c r="E49" s="7"/>
      <c r="F49" s="7"/>
      <c r="G49" s="7"/>
      <c r="H49" s="7"/>
      <c r="I49" s="7"/>
      <c r="J49" s="7"/>
      <c r="K49" s="6"/>
      <c r="L49" s="6"/>
      <c r="M49" s="6"/>
      <c r="N49" s="6"/>
      <c r="O49" s="6"/>
    </row>
    <row r="50" spans="1:26">
      <c r="A50" s="1" t="s">
        <v>53</v>
      </c>
      <c r="B50" s="12">
        <f t="shared" ref="B50:M50" si="11">+B13-B48</f>
        <v>-588491</v>
      </c>
      <c r="C50" s="12">
        <f t="shared" si="11"/>
        <v>220222</v>
      </c>
      <c r="D50" s="12">
        <f t="shared" si="11"/>
        <v>906888</v>
      </c>
      <c r="E50" s="12">
        <f t="shared" si="11"/>
        <v>531272</v>
      </c>
      <c r="F50" s="12">
        <f t="shared" si="11"/>
        <v>-300822</v>
      </c>
      <c r="G50" s="12">
        <f t="shared" si="11"/>
        <v>12310</v>
      </c>
      <c r="H50" s="12">
        <f t="shared" si="11"/>
        <v>65669</v>
      </c>
      <c r="I50" s="12">
        <f t="shared" si="11"/>
        <v>812418</v>
      </c>
      <c r="J50" s="12">
        <f t="shared" si="11"/>
        <v>335342</v>
      </c>
      <c r="K50" s="12">
        <f t="shared" si="11"/>
        <v>333443</v>
      </c>
      <c r="L50" s="12">
        <f t="shared" si="11"/>
        <v>75221</v>
      </c>
      <c r="M50" s="12">
        <f t="shared" si="11"/>
        <v>-843855</v>
      </c>
      <c r="N50" s="12">
        <f>SUM(B50:M50)</f>
        <v>1559617</v>
      </c>
      <c r="O50" s="7">
        <f>+N50+N39+N41</f>
        <v>784874</v>
      </c>
    </row>
    <row r="51" spans="1:26" ht="7.5" customHeight="1">
      <c r="B51" s="7"/>
      <c r="C51" s="7"/>
      <c r="D51" s="7"/>
      <c r="E51" s="7"/>
      <c r="F51" s="7"/>
      <c r="G51" s="7"/>
      <c r="H51" s="7"/>
      <c r="I51" s="7"/>
      <c r="J51" s="7"/>
      <c r="K51" s="6"/>
      <c r="L51" s="6"/>
      <c r="M51" s="6"/>
      <c r="N51" s="6"/>
      <c r="O51" s="6"/>
    </row>
    <row r="52" spans="1:26">
      <c r="A52" s="1" t="s">
        <v>54</v>
      </c>
      <c r="B52" s="7"/>
      <c r="C52" s="7"/>
      <c r="D52" s="7"/>
      <c r="E52" s="7"/>
      <c r="F52" s="7"/>
      <c r="G52" s="7"/>
      <c r="H52" s="7"/>
      <c r="I52" s="7"/>
      <c r="J52" s="7"/>
      <c r="K52" s="6"/>
      <c r="L52" s="6"/>
      <c r="M52" s="6"/>
      <c r="N52" s="6"/>
      <c r="O52" s="6"/>
    </row>
    <row r="53" spans="1:26" s="6" customFormat="1">
      <c r="A53" s="6" t="s">
        <v>55</v>
      </c>
      <c r="B53" s="10">
        <v>21640</v>
      </c>
      <c r="C53" s="10">
        <v>45767</v>
      </c>
      <c r="D53" s="10">
        <v>849</v>
      </c>
      <c r="E53" s="10">
        <v>0</v>
      </c>
      <c r="F53" s="10">
        <v>6800</v>
      </c>
      <c r="G53" s="10">
        <v>100000</v>
      </c>
      <c r="H53" s="23">
        <v>10000</v>
      </c>
      <c r="I53" s="10">
        <v>75000</v>
      </c>
      <c r="J53" s="10">
        <v>50000</v>
      </c>
      <c r="K53" s="10">
        <v>10000</v>
      </c>
      <c r="L53" s="10">
        <v>10000</v>
      </c>
      <c r="M53" s="10">
        <v>265725</v>
      </c>
      <c r="N53" s="10">
        <f>SUM(B53:M53)</f>
        <v>595781</v>
      </c>
      <c r="O53" s="10">
        <v>930725</v>
      </c>
      <c r="P53" s="40">
        <f>+O53-N53</f>
        <v>334944</v>
      </c>
      <c r="Z53" s="40">
        <f>N53-P53+O53-N53</f>
        <v>595781</v>
      </c>
    </row>
    <row r="54" spans="1:26" s="6" customFormat="1">
      <c r="A54" s="6" t="s">
        <v>96</v>
      </c>
      <c r="B54" s="10"/>
      <c r="C54" s="10"/>
      <c r="D54" s="10"/>
      <c r="E54" s="10"/>
      <c r="F54" s="10">
        <v>90000</v>
      </c>
      <c r="G54" s="10"/>
      <c r="H54" s="10"/>
      <c r="I54" s="10"/>
      <c r="J54" s="10"/>
      <c r="K54" s="10"/>
      <c r="L54" s="10"/>
      <c r="M54" s="10"/>
      <c r="N54" s="10">
        <f>SUM(B54:M54)</f>
        <v>90000</v>
      </c>
    </row>
    <row r="55" spans="1:26" s="6" customFormat="1">
      <c r="A55" s="6" t="s">
        <v>111</v>
      </c>
      <c r="B55" s="10">
        <v>348240</v>
      </c>
      <c r="C55" s="10"/>
      <c r="D55" s="10"/>
      <c r="E55" s="10"/>
      <c r="F55" s="10"/>
      <c r="G55" s="10"/>
      <c r="H55" s="10"/>
      <c r="I55" s="10"/>
      <c r="J55" s="10"/>
      <c r="K55" s="10"/>
      <c r="L55" s="10">
        <v>0</v>
      </c>
      <c r="M55" s="56"/>
      <c r="N55" s="10">
        <f>SUM(B55:M55)</f>
        <v>348240</v>
      </c>
    </row>
    <row r="56" spans="1:26" s="6" customFormat="1">
      <c r="A56" s="37" t="s">
        <v>58</v>
      </c>
      <c r="B56" s="7">
        <v>-15538.11</v>
      </c>
      <c r="C56" s="7">
        <v>-13830</v>
      </c>
      <c r="D56" s="7">
        <v>-11781</v>
      </c>
      <c r="E56" s="7">
        <v>-16823</v>
      </c>
      <c r="F56" s="7">
        <v>-11637</v>
      </c>
      <c r="G56" s="7">
        <v>-25000</v>
      </c>
      <c r="H56" s="7">
        <v>-20000</v>
      </c>
      <c r="I56" s="7">
        <v>-20000</v>
      </c>
      <c r="J56" s="7">
        <v>-25000</v>
      </c>
      <c r="K56" s="7">
        <v>-20000</v>
      </c>
      <c r="L56" s="7">
        <v>-20000</v>
      </c>
      <c r="M56" s="7">
        <v>-25000</v>
      </c>
      <c r="N56" s="7">
        <f>SUM(B56:M56)</f>
        <v>-224609.11</v>
      </c>
      <c r="O56" s="7">
        <v>412620</v>
      </c>
    </row>
    <row r="57" spans="1:26" s="6" customFormat="1">
      <c r="A57" s="6" t="s">
        <v>59</v>
      </c>
      <c r="B57" s="22">
        <v>-171741</v>
      </c>
      <c r="C57" s="22">
        <v>17619</v>
      </c>
      <c r="D57" s="22">
        <v>-544</v>
      </c>
      <c r="E57" s="22">
        <v>666189</v>
      </c>
      <c r="F57" s="22">
        <v>-73191</v>
      </c>
      <c r="G57" s="22">
        <v>-25000</v>
      </c>
      <c r="H57" s="22">
        <v>-25000</v>
      </c>
      <c r="I57" s="22">
        <v>-25000</v>
      </c>
      <c r="J57" s="22">
        <v>-25000</v>
      </c>
      <c r="K57" s="22">
        <v>-25000</v>
      </c>
      <c r="L57" s="22">
        <v>-25000</v>
      </c>
      <c r="M57" s="22">
        <v>-25000</v>
      </c>
      <c r="N57" s="22">
        <f>SUM(B57:M57)</f>
        <v>263332</v>
      </c>
      <c r="O57" s="56">
        <v>306614</v>
      </c>
    </row>
    <row r="58" spans="1:26" s="6" customFormat="1">
      <c r="A58" s="13" t="s">
        <v>60</v>
      </c>
      <c r="B58" s="19">
        <f t="shared" ref="B58:N58" si="12">SUM(B53:B57)</f>
        <v>182600.89</v>
      </c>
      <c r="C58" s="19">
        <f t="shared" si="12"/>
        <v>49556</v>
      </c>
      <c r="D58" s="19">
        <f t="shared" si="12"/>
        <v>-11476</v>
      </c>
      <c r="E58" s="19">
        <f t="shared" si="12"/>
        <v>649366</v>
      </c>
      <c r="F58" s="19">
        <f t="shared" si="12"/>
        <v>11972</v>
      </c>
      <c r="G58" s="19">
        <f t="shared" si="12"/>
        <v>50000</v>
      </c>
      <c r="H58" s="19">
        <f>SUM(H53:H57)</f>
        <v>-35000</v>
      </c>
      <c r="I58" s="19">
        <f t="shared" si="12"/>
        <v>30000</v>
      </c>
      <c r="J58" s="19">
        <f t="shared" si="12"/>
        <v>0</v>
      </c>
      <c r="K58" s="19">
        <f t="shared" si="12"/>
        <v>-35000</v>
      </c>
      <c r="L58" s="19">
        <f t="shared" si="12"/>
        <v>-35000</v>
      </c>
      <c r="M58" s="19">
        <f t="shared" si="12"/>
        <v>215725</v>
      </c>
      <c r="N58" s="19">
        <f t="shared" si="12"/>
        <v>1072743.8900000001</v>
      </c>
      <c r="O58" s="29"/>
    </row>
    <row r="59" spans="1:26">
      <c r="B59" s="7"/>
      <c r="C59" s="7"/>
      <c r="D59" s="7"/>
      <c r="E59" s="7"/>
      <c r="F59" s="7"/>
      <c r="G59" s="7"/>
      <c r="H59" s="7"/>
      <c r="I59" s="7"/>
      <c r="J59" s="7"/>
      <c r="K59" s="7"/>
      <c r="L59" s="7"/>
      <c r="M59" s="7"/>
      <c r="N59" s="7"/>
      <c r="O59" s="6"/>
    </row>
    <row r="60" spans="1:26">
      <c r="A60" s="1" t="s">
        <v>61</v>
      </c>
      <c r="B60" s="12">
        <v>14357541</v>
      </c>
      <c r="C60" s="7"/>
      <c r="D60" s="7"/>
      <c r="E60" s="7"/>
      <c r="F60" s="7"/>
      <c r="G60" s="7"/>
      <c r="H60" s="7" t="s">
        <v>38</v>
      </c>
      <c r="I60" s="7"/>
      <c r="J60" s="7"/>
      <c r="K60" s="6"/>
      <c r="L60" s="6"/>
      <c r="M60" s="6"/>
      <c r="N60" s="6"/>
      <c r="O60" s="6"/>
    </row>
    <row r="61" spans="1:26">
      <c r="A61" s="13" t="s">
        <v>62</v>
      </c>
      <c r="B61" s="19">
        <f t="shared" ref="B61:N61" si="13">+B58+B48</f>
        <v>2535516.89</v>
      </c>
      <c r="C61" s="19">
        <f t="shared" si="13"/>
        <v>4256418</v>
      </c>
      <c r="D61" s="19">
        <f t="shared" si="13"/>
        <v>3441378</v>
      </c>
      <c r="E61" s="19">
        <f t="shared" si="13"/>
        <v>3969791</v>
      </c>
      <c r="F61" s="19">
        <f t="shared" si="13"/>
        <v>2660636</v>
      </c>
      <c r="G61" s="19">
        <f t="shared" si="13"/>
        <v>2915595</v>
      </c>
      <c r="H61" s="19">
        <f t="shared" si="13"/>
        <v>4017190</v>
      </c>
      <c r="I61" s="19">
        <f t="shared" si="13"/>
        <v>3565648</v>
      </c>
      <c r="J61" s="19">
        <f t="shared" si="13"/>
        <v>2970730</v>
      </c>
      <c r="K61" s="19">
        <f t="shared" si="13"/>
        <v>3255954</v>
      </c>
      <c r="L61" s="19">
        <f t="shared" si="13"/>
        <v>2669675</v>
      </c>
      <c r="M61" s="19">
        <f t="shared" si="13"/>
        <v>2772329</v>
      </c>
      <c r="N61" s="19">
        <f t="shared" si="13"/>
        <v>39030860.890000001</v>
      </c>
      <c r="O61" s="29"/>
    </row>
    <row r="62" spans="1:26" ht="13.5" thickBot="1">
      <c r="A62" s="13" t="s">
        <v>63</v>
      </c>
      <c r="B62" s="30">
        <f t="shared" ref="B62:N62" si="14">+B13-B61</f>
        <v>-771091.89000000013</v>
      </c>
      <c r="C62" s="30">
        <f t="shared" si="14"/>
        <v>170666</v>
      </c>
      <c r="D62" s="30">
        <f t="shared" si="14"/>
        <v>918364</v>
      </c>
      <c r="E62" s="30">
        <f t="shared" si="14"/>
        <v>-118094</v>
      </c>
      <c r="F62" s="30">
        <f t="shared" si="14"/>
        <v>-312794</v>
      </c>
      <c r="G62" s="14">
        <f t="shared" si="14"/>
        <v>-37690</v>
      </c>
      <c r="H62" s="14">
        <f t="shared" si="14"/>
        <v>100669</v>
      </c>
      <c r="I62" s="14">
        <f t="shared" si="14"/>
        <v>782418</v>
      </c>
      <c r="J62" s="14">
        <f t="shared" si="14"/>
        <v>335342</v>
      </c>
      <c r="K62" s="14">
        <f t="shared" si="14"/>
        <v>368443</v>
      </c>
      <c r="L62" s="14">
        <f t="shared" si="14"/>
        <v>110221</v>
      </c>
      <c r="M62" s="14">
        <f t="shared" si="14"/>
        <v>-1059580</v>
      </c>
      <c r="N62" s="14">
        <f t="shared" si="14"/>
        <v>486873.1099999994</v>
      </c>
      <c r="O62" s="29"/>
    </row>
    <row r="63" spans="1:26" s="6" customFormat="1" ht="13.5" thickTop="1">
      <c r="A63" s="13" t="s">
        <v>64</v>
      </c>
      <c r="B63" s="32">
        <f>+B62</f>
        <v>-771091.89000000013</v>
      </c>
      <c r="C63" s="32">
        <f t="shared" ref="C63:M63" si="15">B63+C62</f>
        <v>-600425.89000000013</v>
      </c>
      <c r="D63" s="32">
        <f t="shared" si="15"/>
        <v>317938.10999999987</v>
      </c>
      <c r="E63" s="32">
        <f t="shared" si="15"/>
        <v>199844.10999999987</v>
      </c>
      <c r="F63" s="32">
        <f t="shared" si="15"/>
        <v>-112949.89000000013</v>
      </c>
      <c r="G63" s="12">
        <f t="shared" si="15"/>
        <v>-150639.89000000013</v>
      </c>
      <c r="H63" s="12">
        <f t="shared" si="15"/>
        <v>-49970.89000000013</v>
      </c>
      <c r="I63" s="12">
        <f t="shared" si="15"/>
        <v>732447.10999999987</v>
      </c>
      <c r="J63" s="12">
        <f t="shared" si="15"/>
        <v>1067789.1099999999</v>
      </c>
      <c r="K63" s="12">
        <f t="shared" si="15"/>
        <v>1436232.1099999999</v>
      </c>
      <c r="L63" s="12">
        <f t="shared" si="15"/>
        <v>1546453.1099999999</v>
      </c>
      <c r="M63" s="12">
        <f t="shared" si="15"/>
        <v>486873.10999999987</v>
      </c>
      <c r="N63" s="12"/>
    </row>
    <row r="64" spans="1:26">
      <c r="A64" s="13" t="s">
        <v>65</v>
      </c>
      <c r="B64" s="12">
        <f t="shared" ref="B64:M64" si="16">+$B$60+B63</f>
        <v>13586449.109999999</v>
      </c>
      <c r="C64" s="12">
        <f t="shared" si="16"/>
        <v>13757115.109999999</v>
      </c>
      <c r="D64" s="12">
        <f t="shared" si="16"/>
        <v>14675479.109999999</v>
      </c>
      <c r="E64" s="12">
        <f t="shared" si="16"/>
        <v>14557385.109999999</v>
      </c>
      <c r="F64" s="12">
        <f t="shared" si="16"/>
        <v>14244591.109999999</v>
      </c>
      <c r="G64" s="12">
        <f t="shared" si="16"/>
        <v>14206901.109999999</v>
      </c>
      <c r="H64" s="12">
        <f t="shared" si="16"/>
        <v>14307570.109999999</v>
      </c>
      <c r="I64" s="12">
        <f t="shared" si="16"/>
        <v>15089988.109999999</v>
      </c>
      <c r="J64" s="12">
        <f t="shared" si="16"/>
        <v>15425330.109999999</v>
      </c>
      <c r="K64" s="12">
        <f t="shared" si="16"/>
        <v>15793773.109999999</v>
      </c>
      <c r="L64" s="12">
        <f t="shared" si="16"/>
        <v>15903994.109999999</v>
      </c>
      <c r="M64" s="12">
        <f t="shared" si="16"/>
        <v>14844414.109999999</v>
      </c>
      <c r="N64" s="12"/>
      <c r="O64" s="6"/>
    </row>
    <row r="65" spans="1:15">
      <c r="A65" s="6"/>
      <c r="B65" s="7"/>
      <c r="C65" s="7"/>
      <c r="D65" s="7"/>
      <c r="E65" s="7"/>
      <c r="F65" s="7"/>
      <c r="G65" s="7"/>
      <c r="H65" s="7"/>
      <c r="I65" s="7"/>
      <c r="J65" s="7"/>
      <c r="K65" s="6"/>
      <c r="L65" s="6"/>
      <c r="M65" s="6"/>
      <c r="N65" s="6"/>
      <c r="O65" s="6"/>
    </row>
    <row r="66" spans="1:15" s="6" customFormat="1">
      <c r="A66" s="17" t="s">
        <v>114</v>
      </c>
      <c r="B66" s="18"/>
      <c r="C66" s="18"/>
      <c r="D66" s="18"/>
      <c r="E66" s="18"/>
      <c r="F66" s="18"/>
      <c r="G66" s="18"/>
      <c r="H66" s="18"/>
      <c r="I66" s="18"/>
      <c r="J66" s="18"/>
      <c r="K66" s="18"/>
      <c r="L66" s="18"/>
      <c r="M66" s="18"/>
      <c r="N66" s="18"/>
    </row>
    <row r="67" spans="1:15" ht="13.5" thickBot="1">
      <c r="A67" s="13" t="s">
        <v>67</v>
      </c>
      <c r="B67" s="14">
        <v>-1440029</v>
      </c>
      <c r="C67" s="14">
        <v>-123812</v>
      </c>
      <c r="D67" s="14">
        <v>1148155</v>
      </c>
      <c r="E67" s="14">
        <v>583156</v>
      </c>
      <c r="F67" s="14">
        <v>-125852</v>
      </c>
      <c r="G67" s="14">
        <v>-37690</v>
      </c>
      <c r="H67" s="14">
        <v>100669</v>
      </c>
      <c r="I67" s="14">
        <v>782418</v>
      </c>
      <c r="J67" s="14">
        <v>335342</v>
      </c>
      <c r="K67" s="14">
        <v>368443</v>
      </c>
      <c r="L67" s="14">
        <v>110221</v>
      </c>
      <c r="M67" s="14">
        <v>-1059580</v>
      </c>
      <c r="N67" s="16"/>
      <c r="O67" s="6"/>
    </row>
    <row r="68" spans="1:15" ht="13.5" thickTop="1">
      <c r="A68" s="13" t="s">
        <v>64</v>
      </c>
      <c r="B68" s="12">
        <f>+B67</f>
        <v>-1440029</v>
      </c>
      <c r="C68" s="12">
        <f>+B68+C67</f>
        <v>-1563841</v>
      </c>
      <c r="D68" s="12">
        <f t="shared" ref="D68:M68" si="17">+C68+D67</f>
        <v>-415686</v>
      </c>
      <c r="E68" s="12">
        <f t="shared" si="17"/>
        <v>167470</v>
      </c>
      <c r="F68" s="12">
        <f t="shared" si="17"/>
        <v>41618</v>
      </c>
      <c r="G68" s="12">
        <f t="shared" si="17"/>
        <v>3928</v>
      </c>
      <c r="H68" s="12">
        <f t="shared" si="17"/>
        <v>104597</v>
      </c>
      <c r="I68" s="12">
        <f t="shared" si="17"/>
        <v>887015</v>
      </c>
      <c r="J68" s="12">
        <f t="shared" si="17"/>
        <v>1222357</v>
      </c>
      <c r="K68" s="12">
        <f t="shared" si="17"/>
        <v>1590800</v>
      </c>
      <c r="L68" s="12">
        <f t="shared" si="17"/>
        <v>1701021</v>
      </c>
      <c r="M68" s="12">
        <f t="shared" si="17"/>
        <v>641441</v>
      </c>
      <c r="N68" s="16"/>
      <c r="O68" s="6"/>
    </row>
    <row r="69" spans="1:15">
      <c r="A69" s="13" t="s">
        <v>65</v>
      </c>
      <c r="B69" s="12">
        <v>12917512</v>
      </c>
      <c r="C69" s="12">
        <v>12793700</v>
      </c>
      <c r="D69" s="12">
        <v>13941855</v>
      </c>
      <c r="E69" s="12">
        <v>14525011</v>
      </c>
      <c r="F69" s="12">
        <v>14399159</v>
      </c>
      <c r="G69" s="12">
        <v>14361469</v>
      </c>
      <c r="H69" s="12">
        <v>14462138</v>
      </c>
      <c r="I69" s="12">
        <v>15244556</v>
      </c>
      <c r="J69" s="12">
        <v>15579898</v>
      </c>
      <c r="K69" s="12">
        <v>15948341</v>
      </c>
      <c r="L69" s="12">
        <v>16058562</v>
      </c>
      <c r="M69" s="12">
        <v>14998982</v>
      </c>
      <c r="N69" s="12"/>
      <c r="O69" s="6"/>
    </row>
    <row r="70" spans="1:15">
      <c r="A70" s="6"/>
      <c r="B70" s="6"/>
      <c r="C70" s="6"/>
      <c r="D70" s="6"/>
      <c r="E70" s="6"/>
      <c r="F70" s="6"/>
      <c r="H70" s="6"/>
      <c r="I70" s="6"/>
      <c r="J70" s="6"/>
      <c r="K70" s="6"/>
      <c r="L70" s="6"/>
      <c r="M70" s="6"/>
      <c r="N70" s="6"/>
      <c r="O70" s="6"/>
    </row>
    <row r="71" spans="1:15">
      <c r="A71" s="24" t="s">
        <v>68</v>
      </c>
      <c r="B71" s="18"/>
      <c r="C71" s="18"/>
      <c r="D71" s="18"/>
      <c r="E71" s="18"/>
      <c r="F71" s="18"/>
      <c r="G71" s="18"/>
      <c r="H71" s="18"/>
      <c r="I71" s="18"/>
      <c r="J71" s="18"/>
      <c r="K71" s="18"/>
      <c r="L71" s="18"/>
      <c r="M71" s="18"/>
      <c r="N71" s="18"/>
      <c r="O71" s="6"/>
    </row>
    <row r="72" spans="1:15">
      <c r="A72" s="13" t="s">
        <v>63</v>
      </c>
      <c r="B72" s="31">
        <f t="shared" ref="B72:N74" si="18">+B62-B67</f>
        <v>668937.10999999987</v>
      </c>
      <c r="C72" s="31">
        <f t="shared" si="18"/>
        <v>294478</v>
      </c>
      <c r="D72" s="31">
        <f t="shared" si="18"/>
        <v>-229791</v>
      </c>
      <c r="E72" s="31">
        <f t="shared" si="18"/>
        <v>-701250</v>
      </c>
      <c r="F72" s="31">
        <f t="shared" si="18"/>
        <v>-186942</v>
      </c>
      <c r="G72" s="31">
        <f t="shared" si="18"/>
        <v>0</v>
      </c>
      <c r="H72" s="31">
        <f t="shared" si="18"/>
        <v>0</v>
      </c>
      <c r="I72" s="31">
        <f t="shared" si="18"/>
        <v>0</v>
      </c>
      <c r="J72" s="31">
        <f t="shared" si="18"/>
        <v>0</v>
      </c>
      <c r="K72" s="31">
        <f t="shared" si="18"/>
        <v>0</v>
      </c>
      <c r="L72" s="31">
        <f t="shared" si="18"/>
        <v>0</v>
      </c>
      <c r="M72" s="31">
        <f t="shared" si="18"/>
        <v>0</v>
      </c>
      <c r="N72" s="6"/>
      <c r="O72" s="6"/>
    </row>
    <row r="73" spans="1:15" s="6" customFormat="1">
      <c r="A73" s="13" t="s">
        <v>64</v>
      </c>
      <c r="B73" s="31">
        <f t="shared" si="18"/>
        <v>668937.10999999987</v>
      </c>
      <c r="C73" s="31">
        <f t="shared" si="18"/>
        <v>963415.10999999987</v>
      </c>
      <c r="D73" s="31">
        <f t="shared" si="18"/>
        <v>733624.10999999987</v>
      </c>
      <c r="E73" s="31">
        <f t="shared" si="18"/>
        <v>32374.10999999987</v>
      </c>
      <c r="F73" s="31">
        <f t="shared" si="18"/>
        <v>-154567.89000000013</v>
      </c>
      <c r="G73" s="31">
        <f t="shared" si="18"/>
        <v>-154567.89000000013</v>
      </c>
      <c r="H73" s="31">
        <f t="shared" si="18"/>
        <v>-154567.89000000013</v>
      </c>
      <c r="I73" s="31">
        <f t="shared" si="18"/>
        <v>-154567.89000000013</v>
      </c>
      <c r="J73" s="31">
        <f t="shared" si="18"/>
        <v>-154567.89000000013</v>
      </c>
      <c r="K73" s="31">
        <f t="shared" si="18"/>
        <v>-154567.89000000013</v>
      </c>
      <c r="L73" s="31">
        <f t="shared" si="18"/>
        <v>-154567.89000000013</v>
      </c>
      <c r="M73" s="31">
        <f t="shared" si="18"/>
        <v>-154567.89000000013</v>
      </c>
      <c r="N73" s="16">
        <f t="shared" si="18"/>
        <v>0</v>
      </c>
    </row>
    <row r="74" spans="1:15">
      <c r="A74" s="1" t="s">
        <v>65</v>
      </c>
      <c r="B74" s="16">
        <f t="shared" si="18"/>
        <v>668937.1099999994</v>
      </c>
      <c r="C74" s="16">
        <f t="shared" si="18"/>
        <v>963415.1099999994</v>
      </c>
      <c r="D74" s="16">
        <f t="shared" si="18"/>
        <v>733624.1099999994</v>
      </c>
      <c r="E74" s="16">
        <f t="shared" si="18"/>
        <v>32374.109999999404</v>
      </c>
      <c r="F74" s="16">
        <f t="shared" si="18"/>
        <v>-154567.8900000006</v>
      </c>
      <c r="G74" s="16">
        <f t="shared" si="18"/>
        <v>-154567.8900000006</v>
      </c>
      <c r="H74" s="16">
        <f t="shared" si="18"/>
        <v>-154567.8900000006</v>
      </c>
      <c r="I74" s="16">
        <f t="shared" si="18"/>
        <v>-154567.8900000006</v>
      </c>
      <c r="J74" s="16">
        <f t="shared" si="18"/>
        <v>-154567.8900000006</v>
      </c>
      <c r="K74" s="16">
        <f t="shared" si="18"/>
        <v>-154567.8900000006</v>
      </c>
      <c r="L74" s="16">
        <f t="shared" si="18"/>
        <v>-154567.8900000006</v>
      </c>
      <c r="M74" s="16">
        <f t="shared" si="18"/>
        <v>-154567.8900000006</v>
      </c>
      <c r="N74" s="16"/>
      <c r="O74" s="6"/>
    </row>
    <row r="75" spans="1:15">
      <c r="B75" s="6"/>
      <c r="C75" s="6"/>
      <c r="D75" s="6"/>
      <c r="E75" s="6"/>
      <c r="F75" s="6"/>
      <c r="H75" s="6"/>
      <c r="I75" s="6"/>
      <c r="J75" s="6"/>
      <c r="K75" s="6"/>
      <c r="L75" s="6"/>
      <c r="M75" s="6"/>
      <c r="N75" s="6"/>
    </row>
    <row r="76" spans="1:15">
      <c r="A76" s="1"/>
      <c r="B76" s="4"/>
      <c r="C76" s="8"/>
      <c r="D76" s="8"/>
      <c r="E76" s="8"/>
      <c r="F76" s="8"/>
      <c r="H76" s="20"/>
      <c r="J76" s="6"/>
      <c r="K76" s="6"/>
    </row>
    <row r="77" spans="1:15">
      <c r="A77" s="1"/>
      <c r="B77" s="4"/>
      <c r="C77" s="8"/>
      <c r="D77" s="8"/>
      <c r="E77" s="8"/>
      <c r="F77" s="8"/>
      <c r="H77" s="20"/>
      <c r="J77" s="6"/>
    </row>
    <row r="78" spans="1:15">
      <c r="A78" s="1"/>
      <c r="B78" s="4"/>
      <c r="D78" s="8"/>
      <c r="E78" s="8"/>
      <c r="F78" s="8"/>
      <c r="H78" s="61"/>
      <c r="J78" s="6"/>
    </row>
    <row r="79" spans="1:15">
      <c r="E79" s="6"/>
      <c r="H79" s="20"/>
      <c r="J79" s="6"/>
      <c r="N79" s="25"/>
    </row>
    <row r="80" spans="1:15">
      <c r="A80" t="s">
        <v>69</v>
      </c>
      <c r="B80" t="s">
        <v>69</v>
      </c>
      <c r="C80" t="s">
        <v>69</v>
      </c>
      <c r="D80" t="s">
        <v>69</v>
      </c>
      <c r="E80" s="6" t="s">
        <v>69</v>
      </c>
      <c r="F80" t="s">
        <v>69</v>
      </c>
      <c r="G80" s="6" t="s">
        <v>69</v>
      </c>
      <c r="H80" t="s">
        <v>69</v>
      </c>
      <c r="I80" t="s">
        <v>69</v>
      </c>
      <c r="J80" s="6" t="s">
        <v>69</v>
      </c>
      <c r="K80" t="s">
        <v>69</v>
      </c>
      <c r="L80" t="s">
        <v>69</v>
      </c>
      <c r="M80" t="s">
        <v>69</v>
      </c>
      <c r="N80" t="s">
        <v>69</v>
      </c>
    </row>
    <row r="82" spans="6:8">
      <c r="F82">
        <v>11636.78</v>
      </c>
      <c r="H82">
        <v>73191.26999999999</v>
      </c>
    </row>
    <row r="84" spans="6:8">
      <c r="F84" s="2">
        <f>SUM(B56:F56)</f>
        <v>-69609.11</v>
      </c>
    </row>
    <row r="85" spans="6:8">
      <c r="F85" s="2">
        <f>SUM(B57:F57)</f>
        <v>438332</v>
      </c>
    </row>
  </sheetData>
  <pageMargins left="0.28000000000000003" right="0.25" top="0.99" bottom="0.75" header="0.63" footer="0.23"/>
  <pageSetup scale="60" orientation="landscape" r:id="rId1"/>
  <headerFooter alignWithMargins="0">
    <oddHeader xml:space="preserve">&amp;C&amp;"Arial,Bold"&amp;11 49ER SHOPS, INC.
&amp;UFY2017/2018 OPERATIONAL CASH FLOW </oddHeader>
    <oddFooter xml:space="preserve">&amp;CCash Flow - FY2018/2019
November 2018
</oddFooter>
  </headerFooter>
  <legacyDrawing r:id="rId2"/>
</worksheet>
</file>

<file path=xl/worksheets/sheet3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92D050"/>
    <pageSetUpPr fitToPage="1"/>
  </sheetPr>
  <dimension ref="A1:Z85"/>
  <sheetViews>
    <sheetView showGridLines="0" topLeftCell="A9" zoomScale="80" zoomScaleNormal="80" workbookViewId="0">
      <selection activeCell="G56" sqref="G56:G57"/>
    </sheetView>
  </sheetViews>
  <sheetFormatPr defaultRowHeight="12.75"/>
  <cols>
    <col min="1" max="1" width="35.42578125" customWidth="1"/>
    <col min="2" max="2" width="14" customWidth="1"/>
    <col min="3" max="3" width="14.5703125" customWidth="1"/>
    <col min="4" max="4" width="14" customWidth="1"/>
    <col min="5" max="6" width="13.5703125" customWidth="1"/>
    <col min="7" max="7" width="16.5703125" style="6" customWidth="1"/>
    <col min="8" max="8" width="14.140625" customWidth="1"/>
    <col min="9" max="9" width="14.42578125" customWidth="1"/>
    <col min="10" max="10" width="13.85546875" customWidth="1"/>
    <col min="11" max="11" width="15.140625" customWidth="1"/>
    <col min="12" max="12" width="13.5703125" customWidth="1"/>
    <col min="13" max="13" width="14.42578125" customWidth="1"/>
    <col min="14" max="14" width="16.5703125" customWidth="1"/>
    <col min="15" max="15" width="12.42578125" bestFit="1" customWidth="1"/>
    <col min="16" max="16" width="14.140625" customWidth="1"/>
  </cols>
  <sheetData>
    <row r="1" spans="1:15" ht="13.5" thickBot="1">
      <c r="A1" s="46" t="s">
        <v>117</v>
      </c>
      <c r="E1" s="6"/>
      <c r="F1" s="6"/>
      <c r="J1" s="6"/>
      <c r="K1" s="6"/>
      <c r="N1" s="3"/>
    </row>
    <row r="2" spans="1:15">
      <c r="B2" s="45" t="s">
        <v>24</v>
      </c>
      <c r="C2" s="45" t="s">
        <v>24</v>
      </c>
      <c r="D2" s="45" t="s">
        <v>24</v>
      </c>
      <c r="E2" s="45" t="s">
        <v>24</v>
      </c>
      <c r="F2" s="45" t="s">
        <v>24</v>
      </c>
      <c r="G2" s="45" t="s">
        <v>24</v>
      </c>
      <c r="H2" s="45" t="s">
        <v>76</v>
      </c>
      <c r="I2" s="45" t="s">
        <v>76</v>
      </c>
      <c r="J2" s="45" t="s">
        <v>76</v>
      </c>
      <c r="K2" s="45" t="s">
        <v>76</v>
      </c>
      <c r="L2" s="45" t="s">
        <v>76</v>
      </c>
      <c r="M2" s="45" t="s">
        <v>76</v>
      </c>
      <c r="N2" s="28" t="s">
        <v>25</v>
      </c>
    </row>
    <row r="3" spans="1:15" s="5" customFormat="1">
      <c r="B3" s="11">
        <v>43283</v>
      </c>
      <c r="C3" s="11">
        <v>43314</v>
      </c>
      <c r="D3" s="11">
        <v>43345</v>
      </c>
      <c r="E3" s="11">
        <v>43375</v>
      </c>
      <c r="F3" s="11">
        <v>43406</v>
      </c>
      <c r="G3" s="11">
        <v>43436</v>
      </c>
      <c r="H3" s="11">
        <v>43467</v>
      </c>
      <c r="I3" s="11">
        <v>43498</v>
      </c>
      <c r="J3" s="11">
        <v>43526</v>
      </c>
      <c r="K3" s="11">
        <v>43557</v>
      </c>
      <c r="L3" s="11">
        <v>43587</v>
      </c>
      <c r="M3" s="11">
        <v>43618</v>
      </c>
      <c r="N3" s="57" t="s">
        <v>113</v>
      </c>
    </row>
    <row r="4" spans="1:15" hidden="1">
      <c r="A4" s="1" t="s">
        <v>27</v>
      </c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>
        <f>SUM(B4:M4)</f>
        <v>0</v>
      </c>
      <c r="O4" s="29"/>
    </row>
    <row r="5" spans="1:15" s="6" customFormat="1" hidden="1">
      <c r="A5" s="6" t="s">
        <v>28</v>
      </c>
      <c r="B5" s="53">
        <v>1664716</v>
      </c>
      <c r="C5" s="53">
        <v>4334056</v>
      </c>
      <c r="D5" s="53">
        <v>4037246</v>
      </c>
      <c r="E5" s="53">
        <v>3697436</v>
      </c>
      <c r="F5" s="53">
        <v>2202637</v>
      </c>
      <c r="G5" s="53">
        <v>2399169</v>
      </c>
      <c r="H5" s="53">
        <v>4028939</v>
      </c>
      <c r="I5" s="53">
        <v>4052325</v>
      </c>
      <c r="J5" s="53">
        <v>3199134</v>
      </c>
      <c r="K5" s="53">
        <v>3507287</v>
      </c>
      <c r="L5" s="53">
        <v>2668320</v>
      </c>
      <c r="M5" s="53">
        <v>1617618</v>
      </c>
      <c r="N5" s="12">
        <f>SUM(B5:M5)</f>
        <v>37408883</v>
      </c>
      <c r="O5" s="29"/>
    </row>
    <row r="6" spans="1:15" s="6" customFormat="1" hidden="1">
      <c r="A6" s="6" t="s">
        <v>29</v>
      </c>
      <c r="B6" s="53">
        <v>98799</v>
      </c>
      <c r="C6" s="53">
        <v>92990</v>
      </c>
      <c r="D6" s="53">
        <v>321611</v>
      </c>
      <c r="E6" s="53">
        <v>154261</v>
      </c>
      <c r="F6" s="53">
        <v>145205</v>
      </c>
      <c r="G6" s="53">
        <v>58506</v>
      </c>
      <c r="H6" s="53">
        <v>88920</v>
      </c>
      <c r="I6" s="53">
        <v>295741</v>
      </c>
      <c r="J6" s="53">
        <v>106938</v>
      </c>
      <c r="K6" s="53">
        <v>117110</v>
      </c>
      <c r="L6" s="53">
        <v>111576</v>
      </c>
      <c r="M6" s="53">
        <v>95131</v>
      </c>
      <c r="N6" s="7">
        <f>SUM(B6:M6)</f>
        <v>1686788</v>
      </c>
      <c r="O6" s="29"/>
    </row>
    <row r="7" spans="1:15" s="6" customFormat="1" hidden="1">
      <c r="B7" s="7"/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7">
        <f>SUM(B7:M7)</f>
        <v>0</v>
      </c>
      <c r="O7" s="29"/>
    </row>
    <row r="8" spans="1:15" s="6" customFormat="1" hidden="1">
      <c r="B8" s="15"/>
      <c r="C8" s="15"/>
      <c r="D8" s="15"/>
      <c r="E8" s="15"/>
      <c r="F8" s="15"/>
      <c r="G8" s="15"/>
      <c r="H8" s="15"/>
      <c r="I8" s="15"/>
      <c r="J8" s="15"/>
      <c r="K8" s="15"/>
      <c r="L8" s="15"/>
      <c r="M8" s="15"/>
      <c r="N8" s="15">
        <f>SUM(B8:M8)</f>
        <v>0</v>
      </c>
      <c r="O8" s="29"/>
    </row>
    <row r="9" spans="1:15" s="6" customFormat="1">
      <c r="A9" s="13" t="s">
        <v>30</v>
      </c>
      <c r="B9" s="12">
        <f t="shared" ref="B9:N9" si="0">SUM(B5:B8)</f>
        <v>1763515</v>
      </c>
      <c r="C9" s="12">
        <f t="shared" si="0"/>
        <v>4427046</v>
      </c>
      <c r="D9" s="12">
        <f t="shared" si="0"/>
        <v>4358857</v>
      </c>
      <c r="E9" s="12">
        <f t="shared" si="0"/>
        <v>3851697</v>
      </c>
      <c r="F9" s="12">
        <f t="shared" si="0"/>
        <v>2347842</v>
      </c>
      <c r="G9" s="12">
        <f t="shared" si="0"/>
        <v>2457675</v>
      </c>
      <c r="H9" s="12">
        <f t="shared" si="0"/>
        <v>4117859</v>
      </c>
      <c r="I9" s="12">
        <f t="shared" si="0"/>
        <v>4348066</v>
      </c>
      <c r="J9" s="12">
        <f t="shared" si="0"/>
        <v>3306072</v>
      </c>
      <c r="K9" s="12">
        <f t="shared" si="0"/>
        <v>3624397</v>
      </c>
      <c r="L9" s="12">
        <f t="shared" si="0"/>
        <v>2779896</v>
      </c>
      <c r="M9" s="12">
        <f t="shared" si="0"/>
        <v>1712749</v>
      </c>
      <c r="N9" s="12">
        <f t="shared" si="0"/>
        <v>39095671</v>
      </c>
      <c r="O9" s="29"/>
    </row>
    <row r="10" spans="1:15" s="6" customFormat="1" ht="6.75" customHeight="1"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29"/>
    </row>
    <row r="11" spans="1:15" s="6" customFormat="1">
      <c r="A11" s="13" t="s">
        <v>31</v>
      </c>
      <c r="B11" s="7">
        <v>910</v>
      </c>
      <c r="C11" s="7">
        <v>38</v>
      </c>
      <c r="D11" s="7">
        <v>885</v>
      </c>
      <c r="E11" s="7">
        <v>0</v>
      </c>
      <c r="F11" s="7">
        <v>0</v>
      </c>
      <c r="G11" s="7">
        <v>20473</v>
      </c>
      <c r="H11" s="7">
        <v>0</v>
      </c>
      <c r="I11" s="7">
        <v>0</v>
      </c>
      <c r="J11" s="7">
        <v>0</v>
      </c>
      <c r="K11" s="7">
        <v>0</v>
      </c>
      <c r="L11" s="7">
        <v>0</v>
      </c>
      <c r="M11" s="7">
        <v>0</v>
      </c>
      <c r="N11" s="7">
        <f>SUM(B11:M11)</f>
        <v>22306</v>
      </c>
      <c r="O11" s="29"/>
    </row>
    <row r="12" spans="1:15" s="6" customFormat="1" ht="7.5" customHeight="1">
      <c r="B12" s="7"/>
      <c r="C12" s="7"/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  <c r="O12" s="29"/>
    </row>
    <row r="13" spans="1:15" s="6" customFormat="1" ht="13.5" thickBot="1">
      <c r="A13" s="13" t="s">
        <v>32</v>
      </c>
      <c r="B13" s="14">
        <f t="shared" ref="B13:N13" si="1">B9+B11</f>
        <v>1764425</v>
      </c>
      <c r="C13" s="14">
        <f>C9+C11</f>
        <v>4427084</v>
      </c>
      <c r="D13" s="14">
        <f t="shared" si="1"/>
        <v>4359742</v>
      </c>
      <c r="E13" s="14">
        <f t="shared" si="1"/>
        <v>3851697</v>
      </c>
      <c r="F13" s="14">
        <f t="shared" si="1"/>
        <v>2347842</v>
      </c>
      <c r="G13" s="14">
        <f t="shared" si="1"/>
        <v>2478148</v>
      </c>
      <c r="H13" s="14">
        <f t="shared" si="1"/>
        <v>4117859</v>
      </c>
      <c r="I13" s="14">
        <f t="shared" si="1"/>
        <v>4348066</v>
      </c>
      <c r="J13" s="14">
        <f t="shared" si="1"/>
        <v>3306072</v>
      </c>
      <c r="K13" s="14">
        <f t="shared" si="1"/>
        <v>3624397</v>
      </c>
      <c r="L13" s="14">
        <f t="shared" si="1"/>
        <v>2779896</v>
      </c>
      <c r="M13" s="14">
        <f t="shared" si="1"/>
        <v>1712749</v>
      </c>
      <c r="N13" s="14">
        <f t="shared" si="1"/>
        <v>39117977</v>
      </c>
      <c r="O13" s="29"/>
    </row>
    <row r="14" spans="1:15" s="6" customFormat="1" ht="13.5" thickTop="1">
      <c r="B14" s="7"/>
      <c r="C14" s="7"/>
      <c r="D14" s="7"/>
      <c r="E14" s="7"/>
      <c r="F14" s="7"/>
      <c r="G14" s="7"/>
      <c r="H14" s="7"/>
      <c r="I14" s="7"/>
      <c r="J14" s="7"/>
      <c r="K14" s="7"/>
      <c r="L14" s="7"/>
      <c r="M14" s="7"/>
    </row>
    <row r="15" spans="1:15" s="6" customFormat="1" hidden="1">
      <c r="A15" s="13" t="s">
        <v>33</v>
      </c>
      <c r="B15" s="7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</row>
    <row r="16" spans="1:15" s="6" customFormat="1" hidden="1">
      <c r="A16" s="6" t="s">
        <v>34</v>
      </c>
      <c r="B16" s="53">
        <v>808507</v>
      </c>
      <c r="C16" s="53">
        <v>2662695</v>
      </c>
      <c r="D16" s="53">
        <v>1620992</v>
      </c>
      <c r="E16" s="53">
        <v>1274587</v>
      </c>
      <c r="F16" s="53">
        <v>814523</v>
      </c>
      <c r="G16" s="53">
        <v>866327</v>
      </c>
      <c r="H16" s="53">
        <v>2336270</v>
      </c>
      <c r="I16" s="53">
        <v>1689918</v>
      </c>
      <c r="J16" s="53">
        <v>1116694</v>
      </c>
      <c r="K16" s="53">
        <v>1332035</v>
      </c>
      <c r="L16" s="53">
        <v>1066893</v>
      </c>
      <c r="M16" s="53">
        <v>774058</v>
      </c>
      <c r="N16" s="7">
        <f>SUM(B16:M16)</f>
        <v>16363499</v>
      </c>
      <c r="O16" s="29"/>
    </row>
    <row r="17" spans="1:15" s="6" customFormat="1" hidden="1">
      <c r="B17" s="27"/>
      <c r="C17" s="27"/>
      <c r="D17" s="27"/>
      <c r="E17" s="27"/>
      <c r="F17" s="27"/>
      <c r="G17" s="27"/>
      <c r="H17" s="27"/>
      <c r="I17" s="27"/>
      <c r="J17" s="27"/>
      <c r="K17" s="27"/>
      <c r="L17" s="27"/>
      <c r="M17" s="27"/>
      <c r="N17" s="7">
        <f>SUM(B17:M17)</f>
        <v>0</v>
      </c>
    </row>
    <row r="18" spans="1:15" s="6" customFormat="1" hidden="1">
      <c r="B18" s="7"/>
      <c r="C18" s="7"/>
      <c r="D18" s="7"/>
      <c r="E18" s="7"/>
      <c r="F18" s="7"/>
      <c r="G18" s="7"/>
      <c r="H18" s="7"/>
      <c r="I18" s="7"/>
      <c r="J18" s="7"/>
      <c r="K18" s="7"/>
      <c r="L18" s="7"/>
      <c r="M18" s="7"/>
      <c r="N18" s="7">
        <v>0</v>
      </c>
    </row>
    <row r="19" spans="1:15" s="6" customFormat="1" hidden="1">
      <c r="B19" s="15"/>
      <c r="C19" s="15"/>
      <c r="D19" s="15"/>
      <c r="E19" s="15"/>
      <c r="F19" s="15"/>
      <c r="G19" s="15"/>
      <c r="H19" s="15"/>
      <c r="I19" s="15"/>
      <c r="J19" s="15"/>
      <c r="K19" s="15"/>
      <c r="L19" s="15"/>
      <c r="M19" s="15"/>
      <c r="N19" s="15">
        <f>SUM(B19:M19)</f>
        <v>0</v>
      </c>
    </row>
    <row r="20" spans="1:15" s="6" customFormat="1">
      <c r="A20" s="13" t="s">
        <v>35</v>
      </c>
      <c r="B20" s="12">
        <f t="shared" ref="B20:N20" si="2">SUM(B16:B19)</f>
        <v>808507</v>
      </c>
      <c r="C20" s="12">
        <f t="shared" si="2"/>
        <v>2662695</v>
      </c>
      <c r="D20" s="12">
        <f t="shared" si="2"/>
        <v>1620992</v>
      </c>
      <c r="E20" s="12">
        <f t="shared" si="2"/>
        <v>1274587</v>
      </c>
      <c r="F20" s="12">
        <f t="shared" si="2"/>
        <v>814523</v>
      </c>
      <c r="G20" s="12">
        <f t="shared" si="2"/>
        <v>866327</v>
      </c>
      <c r="H20" s="12">
        <f t="shared" si="2"/>
        <v>2336270</v>
      </c>
      <c r="I20" s="12">
        <f t="shared" si="2"/>
        <v>1689918</v>
      </c>
      <c r="J20" s="12">
        <f t="shared" si="2"/>
        <v>1116694</v>
      </c>
      <c r="K20" s="12">
        <f t="shared" si="2"/>
        <v>1332035</v>
      </c>
      <c r="L20" s="12">
        <f t="shared" si="2"/>
        <v>1066893</v>
      </c>
      <c r="M20" s="12">
        <f t="shared" si="2"/>
        <v>774058</v>
      </c>
      <c r="N20" s="12">
        <f t="shared" si="2"/>
        <v>16363499</v>
      </c>
      <c r="O20" s="29"/>
    </row>
    <row r="21" spans="1:15" s="6" customFormat="1">
      <c r="B21" s="7"/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</row>
    <row r="22" spans="1:15" s="6" customFormat="1" hidden="1">
      <c r="A22" s="13" t="s">
        <v>36</v>
      </c>
      <c r="B22" s="7"/>
      <c r="C22" s="7"/>
      <c r="D22" s="7"/>
      <c r="E22" s="7"/>
      <c r="F22" s="7"/>
      <c r="G22" s="7"/>
      <c r="H22" s="7"/>
      <c r="I22" s="7"/>
      <c r="J22" s="7"/>
      <c r="K22" s="7"/>
      <c r="L22" s="7"/>
      <c r="M22" s="7"/>
    </row>
    <row r="23" spans="1:15" s="6" customFormat="1" hidden="1">
      <c r="A23" s="6" t="s">
        <v>37</v>
      </c>
      <c r="B23" s="7">
        <f t="shared" ref="B23:M26" si="3">+B5-B16</f>
        <v>856209</v>
      </c>
      <c r="C23" s="7">
        <f t="shared" si="3"/>
        <v>1671361</v>
      </c>
      <c r="D23" s="7">
        <f t="shared" si="3"/>
        <v>2416254</v>
      </c>
      <c r="E23" s="7">
        <f t="shared" si="3"/>
        <v>2422849</v>
      </c>
      <c r="F23" s="7">
        <f t="shared" si="3"/>
        <v>1388114</v>
      </c>
      <c r="G23" s="7">
        <f t="shared" si="3"/>
        <v>1532842</v>
      </c>
      <c r="H23" s="7">
        <f t="shared" si="3"/>
        <v>1692669</v>
      </c>
      <c r="I23" s="7">
        <f t="shared" si="3"/>
        <v>2362407</v>
      </c>
      <c r="J23" s="7">
        <f t="shared" si="3"/>
        <v>2082440</v>
      </c>
      <c r="K23" s="7">
        <f t="shared" si="3"/>
        <v>2175252</v>
      </c>
      <c r="L23" s="7">
        <f t="shared" si="3"/>
        <v>1601427</v>
      </c>
      <c r="M23" s="7">
        <f t="shared" si="3"/>
        <v>843560</v>
      </c>
      <c r="N23" s="7">
        <f>SUM(B23:M23)</f>
        <v>21045384</v>
      </c>
      <c r="O23" s="29"/>
    </row>
    <row r="24" spans="1:15" s="6" customFormat="1" hidden="1">
      <c r="A24" s="6" t="s">
        <v>37</v>
      </c>
      <c r="B24" s="7">
        <f t="shared" si="3"/>
        <v>98799</v>
      </c>
      <c r="C24" s="7">
        <f t="shared" si="3"/>
        <v>92990</v>
      </c>
      <c r="D24" s="7">
        <f t="shared" si="3"/>
        <v>321611</v>
      </c>
      <c r="E24" s="7">
        <f t="shared" si="3"/>
        <v>154261</v>
      </c>
      <c r="F24" s="7">
        <f t="shared" si="3"/>
        <v>145205</v>
      </c>
      <c r="G24" s="7">
        <f t="shared" si="3"/>
        <v>58506</v>
      </c>
      <c r="H24" s="7">
        <f t="shared" si="3"/>
        <v>88920</v>
      </c>
      <c r="I24" s="7">
        <f t="shared" si="3"/>
        <v>295741</v>
      </c>
      <c r="J24" s="7">
        <f t="shared" si="3"/>
        <v>106938</v>
      </c>
      <c r="K24" s="7">
        <f t="shared" si="3"/>
        <v>117110</v>
      </c>
      <c r="L24" s="7">
        <f t="shared" si="3"/>
        <v>111576</v>
      </c>
      <c r="M24" s="7">
        <f t="shared" si="3"/>
        <v>95131</v>
      </c>
      <c r="N24" s="7">
        <f>SUM(B24:M24)</f>
        <v>1686788</v>
      </c>
      <c r="O24" s="29"/>
    </row>
    <row r="25" spans="1:15" s="6" customFormat="1" hidden="1">
      <c r="A25" s="6" t="s">
        <v>38</v>
      </c>
      <c r="B25" s="7">
        <f t="shared" si="3"/>
        <v>0</v>
      </c>
      <c r="C25" s="7">
        <f t="shared" si="3"/>
        <v>0</v>
      </c>
      <c r="D25" s="7">
        <f t="shared" si="3"/>
        <v>0</v>
      </c>
      <c r="E25" s="7">
        <f t="shared" si="3"/>
        <v>0</v>
      </c>
      <c r="F25" s="7">
        <f t="shared" si="3"/>
        <v>0</v>
      </c>
      <c r="G25" s="7">
        <f t="shared" si="3"/>
        <v>0</v>
      </c>
      <c r="H25" s="7">
        <f t="shared" si="3"/>
        <v>0</v>
      </c>
      <c r="I25" s="7">
        <f t="shared" si="3"/>
        <v>0</v>
      </c>
      <c r="J25" s="7">
        <f t="shared" si="3"/>
        <v>0</v>
      </c>
      <c r="K25" s="7">
        <f t="shared" si="3"/>
        <v>0</v>
      </c>
      <c r="L25" s="7">
        <f t="shared" si="3"/>
        <v>0</v>
      </c>
      <c r="M25" s="7">
        <f t="shared" si="3"/>
        <v>0</v>
      </c>
      <c r="N25" s="7">
        <f>SUM(B25:M25)</f>
        <v>0</v>
      </c>
      <c r="O25" s="29"/>
    </row>
    <row r="26" spans="1:15" s="6" customFormat="1" hidden="1">
      <c r="A26" s="6" t="s">
        <v>38</v>
      </c>
      <c r="B26" s="15">
        <f t="shared" si="3"/>
        <v>0</v>
      </c>
      <c r="C26" s="15">
        <f t="shared" si="3"/>
        <v>0</v>
      </c>
      <c r="D26" s="15">
        <f t="shared" si="3"/>
        <v>0</v>
      </c>
      <c r="E26" s="15">
        <f t="shared" si="3"/>
        <v>0</v>
      </c>
      <c r="F26" s="15">
        <f t="shared" si="3"/>
        <v>0</v>
      </c>
      <c r="G26" s="15">
        <f t="shared" si="3"/>
        <v>0</v>
      </c>
      <c r="H26" s="15">
        <f t="shared" si="3"/>
        <v>0</v>
      </c>
      <c r="I26" s="15">
        <f t="shared" si="3"/>
        <v>0</v>
      </c>
      <c r="J26" s="15">
        <f t="shared" si="3"/>
        <v>0</v>
      </c>
      <c r="K26" s="15">
        <f t="shared" si="3"/>
        <v>0</v>
      </c>
      <c r="L26" s="15">
        <f t="shared" si="3"/>
        <v>0</v>
      </c>
      <c r="M26" s="15">
        <f t="shared" si="3"/>
        <v>0</v>
      </c>
      <c r="N26" s="15">
        <f>SUM(B26:M26)</f>
        <v>0</v>
      </c>
      <c r="O26" s="29"/>
    </row>
    <row r="27" spans="1:15" s="6" customFormat="1">
      <c r="A27" s="13" t="s">
        <v>39</v>
      </c>
      <c r="B27" s="12">
        <f t="shared" ref="B27:N27" si="4">SUM(B23:B26)</f>
        <v>955008</v>
      </c>
      <c r="C27" s="12">
        <f t="shared" si="4"/>
        <v>1764351</v>
      </c>
      <c r="D27" s="12">
        <f t="shared" si="4"/>
        <v>2737865</v>
      </c>
      <c r="E27" s="12">
        <f t="shared" si="4"/>
        <v>2577110</v>
      </c>
      <c r="F27" s="12">
        <f t="shared" si="4"/>
        <v>1533319</v>
      </c>
      <c r="G27" s="12">
        <f t="shared" si="4"/>
        <v>1591348</v>
      </c>
      <c r="H27" s="12">
        <f t="shared" si="4"/>
        <v>1781589</v>
      </c>
      <c r="I27" s="12">
        <f t="shared" si="4"/>
        <v>2658148</v>
      </c>
      <c r="J27" s="12">
        <f t="shared" si="4"/>
        <v>2189378</v>
      </c>
      <c r="K27" s="12">
        <f t="shared" si="4"/>
        <v>2292362</v>
      </c>
      <c r="L27" s="12">
        <f t="shared" si="4"/>
        <v>1713003</v>
      </c>
      <c r="M27" s="12">
        <f>SUM(M23:M26)</f>
        <v>938691</v>
      </c>
      <c r="N27" s="12">
        <f t="shared" si="4"/>
        <v>22732172</v>
      </c>
      <c r="O27" s="29"/>
    </row>
    <row r="28" spans="1:15" s="6" customFormat="1" ht="14.45" customHeight="1">
      <c r="B28" s="73">
        <f>+B27/B9</f>
        <v>0.54153664698060411</v>
      </c>
      <c r="C28" s="73">
        <f t="shared" ref="C28:N28" si="5">+C27/C9</f>
        <v>0.39853911615104065</v>
      </c>
      <c r="D28" s="73">
        <f t="shared" si="5"/>
        <v>0.62811535225863113</v>
      </c>
      <c r="E28" s="73">
        <f t="shared" si="5"/>
        <v>0.66908430232180771</v>
      </c>
      <c r="F28" s="73">
        <f t="shared" si="5"/>
        <v>0.65307588841157116</v>
      </c>
      <c r="G28" s="73">
        <f t="shared" si="5"/>
        <v>0.6475013986796464</v>
      </c>
      <c r="H28" s="73">
        <f t="shared" si="5"/>
        <v>0.43264934520584603</v>
      </c>
      <c r="I28" s="73">
        <f t="shared" si="5"/>
        <v>0.61134030624190161</v>
      </c>
      <c r="J28" s="73">
        <f t="shared" si="5"/>
        <v>0.66222937673468696</v>
      </c>
      <c r="K28" s="73">
        <f t="shared" si="5"/>
        <v>0.6324809340698605</v>
      </c>
      <c r="L28" s="73">
        <f t="shared" si="5"/>
        <v>0.61621118200105329</v>
      </c>
      <c r="M28" s="73">
        <f t="shared" si="5"/>
        <v>0.54806104105154929</v>
      </c>
      <c r="N28" s="73">
        <f t="shared" si="5"/>
        <v>0.58144984901269503</v>
      </c>
    </row>
    <row r="29" spans="1:15" s="6" customFormat="1" hidden="1">
      <c r="A29" s="13" t="s">
        <v>40</v>
      </c>
      <c r="B29" s="7"/>
      <c r="C29" s="7"/>
      <c r="D29" s="7"/>
      <c r="E29" s="7"/>
      <c r="F29" s="7"/>
      <c r="G29" s="7"/>
      <c r="H29" s="7"/>
      <c r="I29" s="7"/>
      <c r="J29" s="7"/>
      <c r="K29" s="7"/>
      <c r="L29" s="7"/>
      <c r="M29" s="7"/>
    </row>
    <row r="30" spans="1:15" s="6" customFormat="1" hidden="1">
      <c r="A30" s="6" t="s">
        <v>93</v>
      </c>
      <c r="B30" s="53">
        <v>550190</v>
      </c>
      <c r="C30" s="53">
        <v>644844</v>
      </c>
      <c r="D30" s="53">
        <v>702597</v>
      </c>
      <c r="E30" s="53">
        <v>894957</v>
      </c>
      <c r="F30" s="53">
        <v>586761</v>
      </c>
      <c r="G30" s="53">
        <v>580848</v>
      </c>
      <c r="H30" s="53">
        <v>699380</v>
      </c>
      <c r="I30" s="53">
        <v>767189</v>
      </c>
      <c r="J30" s="53">
        <v>740529</v>
      </c>
      <c r="K30" s="53">
        <v>823718</v>
      </c>
      <c r="L30" s="53">
        <v>672632</v>
      </c>
      <c r="M30" s="53">
        <v>481272</v>
      </c>
      <c r="N30" s="7">
        <f>SUM(B30:M30)</f>
        <v>8144917</v>
      </c>
      <c r="O30" s="29"/>
    </row>
    <row r="31" spans="1:15" s="6" customFormat="1" hidden="1">
      <c r="A31" s="6" t="s">
        <v>42</v>
      </c>
      <c r="B31" s="53">
        <v>192847</v>
      </c>
      <c r="C31" s="53">
        <v>222888</v>
      </c>
      <c r="D31" s="53">
        <v>200354</v>
      </c>
      <c r="E31" s="53">
        <v>299177</v>
      </c>
      <c r="F31" s="53">
        <v>208586</v>
      </c>
      <c r="G31" s="53">
        <v>216521</v>
      </c>
      <c r="H31" s="53">
        <v>235832</v>
      </c>
      <c r="I31" s="53">
        <v>221244</v>
      </c>
      <c r="J31" s="53">
        <v>220622</v>
      </c>
      <c r="K31" s="53">
        <v>249552</v>
      </c>
      <c r="L31" s="53">
        <v>214590</v>
      </c>
      <c r="M31" s="53">
        <v>210384</v>
      </c>
      <c r="N31" s="7">
        <f>SUM(B31:M31)</f>
        <v>2692597</v>
      </c>
      <c r="O31" s="29"/>
    </row>
    <row r="32" spans="1:15" s="6" customFormat="1" ht="15" hidden="1">
      <c r="A32" s="6" t="s">
        <v>38</v>
      </c>
      <c r="B32" s="68"/>
      <c r="C32" s="68"/>
      <c r="D32" s="68"/>
      <c r="E32" s="68"/>
      <c r="F32" s="68"/>
      <c r="G32" s="68"/>
      <c r="H32" s="68"/>
      <c r="I32" s="68"/>
      <c r="J32" s="68"/>
      <c r="K32" s="68"/>
      <c r="L32" s="68"/>
      <c r="M32" s="68"/>
      <c r="N32" s="7">
        <f>SUM(B32:M32)</f>
        <v>0</v>
      </c>
      <c r="O32" s="29"/>
    </row>
    <row r="33" spans="1:16" s="6" customFormat="1" hidden="1">
      <c r="B33" s="15"/>
      <c r="C33" s="15"/>
      <c r="D33" s="15"/>
      <c r="E33" s="15"/>
      <c r="F33" s="15"/>
      <c r="G33" s="15"/>
      <c r="H33" s="15"/>
      <c r="I33" s="15"/>
      <c r="J33" s="15"/>
      <c r="K33" s="15"/>
      <c r="L33" s="15"/>
      <c r="M33" s="15"/>
      <c r="N33" s="15">
        <f>SUM(B33:M33)</f>
        <v>0</v>
      </c>
      <c r="O33" s="29"/>
    </row>
    <row r="34" spans="1:16" s="6" customFormat="1">
      <c r="A34" s="13" t="s">
        <v>43</v>
      </c>
      <c r="B34" s="12">
        <f t="shared" ref="B34:N34" si="6">SUM(B30:B33)</f>
        <v>743037</v>
      </c>
      <c r="C34" s="12">
        <f t="shared" si="6"/>
        <v>867732</v>
      </c>
      <c r="D34" s="12">
        <f t="shared" si="6"/>
        <v>902951</v>
      </c>
      <c r="E34" s="12">
        <f t="shared" si="6"/>
        <v>1194134</v>
      </c>
      <c r="F34" s="12">
        <f t="shared" si="6"/>
        <v>795347</v>
      </c>
      <c r="G34" s="12">
        <f t="shared" si="6"/>
        <v>797369</v>
      </c>
      <c r="H34" s="12">
        <f t="shared" si="6"/>
        <v>935212</v>
      </c>
      <c r="I34" s="12">
        <f t="shared" si="6"/>
        <v>988433</v>
      </c>
      <c r="J34" s="12">
        <f t="shared" si="6"/>
        <v>961151</v>
      </c>
      <c r="K34" s="12">
        <f t="shared" si="6"/>
        <v>1073270</v>
      </c>
      <c r="L34" s="12">
        <f t="shared" si="6"/>
        <v>887222</v>
      </c>
      <c r="M34" s="12">
        <f t="shared" si="6"/>
        <v>691656</v>
      </c>
      <c r="N34" s="12">
        <f t="shared" si="6"/>
        <v>10837514</v>
      </c>
      <c r="O34" s="29"/>
    </row>
    <row r="35" spans="1:16" s="6" customFormat="1">
      <c r="B35" s="7"/>
      <c r="C35" s="7"/>
      <c r="D35" s="7"/>
      <c r="E35" s="7"/>
      <c r="F35" s="7"/>
      <c r="G35" s="7"/>
      <c r="H35" s="7"/>
      <c r="I35" s="7"/>
      <c r="J35" s="7"/>
      <c r="K35" s="7"/>
      <c r="L35" s="7"/>
      <c r="M35" s="7"/>
    </row>
    <row r="36" spans="1:16" s="6" customFormat="1" hidden="1">
      <c r="A36" s="13" t="s">
        <v>44</v>
      </c>
      <c r="B36" s="7"/>
      <c r="C36" s="7"/>
      <c r="D36" s="7"/>
      <c r="E36" s="7"/>
      <c r="F36" s="7"/>
      <c r="G36" s="7"/>
      <c r="H36" s="7"/>
      <c r="I36" s="7"/>
      <c r="J36" s="7"/>
      <c r="K36" s="7"/>
      <c r="L36" s="7"/>
      <c r="M36" s="7"/>
    </row>
    <row r="37" spans="1:16" s="6" customFormat="1" hidden="1">
      <c r="A37" s="6" t="s">
        <v>45</v>
      </c>
      <c r="B37" s="53">
        <v>1292386</v>
      </c>
      <c r="C37" s="53">
        <v>1363232</v>
      </c>
      <c r="D37" s="53">
        <v>1482893</v>
      </c>
      <c r="E37" s="53">
        <v>1759651</v>
      </c>
      <c r="F37" s="53">
        <v>1355166</v>
      </c>
      <c r="G37" s="66">
        <v>1331199</v>
      </c>
      <c r="H37" s="66">
        <v>1457121</v>
      </c>
      <c r="I37" s="66">
        <v>1632531</v>
      </c>
      <c r="J37" s="66">
        <v>1545361</v>
      </c>
      <c r="K37" s="53">
        <v>1699036</v>
      </c>
      <c r="L37" s="53">
        <v>1429774</v>
      </c>
      <c r="M37" s="53">
        <v>1131406</v>
      </c>
      <c r="N37" s="7">
        <f>SUM(B37:M37)</f>
        <v>17479756</v>
      </c>
      <c r="O37" s="29"/>
    </row>
    <row r="38" spans="1:16" s="6" customFormat="1" hidden="1">
      <c r="A38" s="6" t="s">
        <v>46</v>
      </c>
      <c r="B38" s="7">
        <f>-B34</f>
        <v>-743037</v>
      </c>
      <c r="C38" s="7">
        <f t="shared" ref="C38:M38" si="7">-C34</f>
        <v>-867732</v>
      </c>
      <c r="D38" s="7">
        <f t="shared" si="7"/>
        <v>-902951</v>
      </c>
      <c r="E38" s="7">
        <f t="shared" si="7"/>
        <v>-1194134</v>
      </c>
      <c r="F38" s="7">
        <f t="shared" si="7"/>
        <v>-795347</v>
      </c>
      <c r="G38" s="7">
        <f t="shared" si="7"/>
        <v>-797369</v>
      </c>
      <c r="H38" s="7">
        <f t="shared" si="7"/>
        <v>-935212</v>
      </c>
      <c r="I38" s="7">
        <f t="shared" si="7"/>
        <v>-988433</v>
      </c>
      <c r="J38" s="7">
        <f t="shared" si="7"/>
        <v>-961151</v>
      </c>
      <c r="K38" s="7">
        <f t="shared" si="7"/>
        <v>-1073270</v>
      </c>
      <c r="L38" s="7">
        <f t="shared" si="7"/>
        <v>-887222</v>
      </c>
      <c r="M38" s="7">
        <f t="shared" si="7"/>
        <v>-691656</v>
      </c>
      <c r="N38" s="7">
        <f>SUM(B38:M38)</f>
        <v>-10837514</v>
      </c>
      <c r="O38" s="29"/>
    </row>
    <row r="39" spans="1:16" s="6" customFormat="1" hidden="1">
      <c r="A39" s="6" t="s">
        <v>47</v>
      </c>
      <c r="B39" s="72">
        <v>-79744</v>
      </c>
      <c r="C39" s="72">
        <v>-79744</v>
      </c>
      <c r="D39" s="72">
        <v>79744</v>
      </c>
      <c r="E39" s="72">
        <v>-73419</v>
      </c>
      <c r="F39" s="72">
        <v>73419</v>
      </c>
      <c r="G39" s="72">
        <v>-73419</v>
      </c>
      <c r="H39" s="72">
        <v>-81832</v>
      </c>
      <c r="I39" s="72">
        <v>-81832</v>
      </c>
      <c r="J39" s="72">
        <v>-81832</v>
      </c>
      <c r="K39" s="72">
        <v>-82780</v>
      </c>
      <c r="L39" s="72">
        <v>-82780</v>
      </c>
      <c r="M39" s="72">
        <v>-81945</v>
      </c>
      <c r="N39" s="7">
        <f>SUM(B39:M39)</f>
        <v>-646164</v>
      </c>
      <c r="O39" s="29"/>
    </row>
    <row r="40" spans="1:16" s="6" customFormat="1" hidden="1">
      <c r="A40" s="6" t="s">
        <v>78</v>
      </c>
      <c r="B40" s="53"/>
      <c r="C40" s="53"/>
      <c r="D40" s="53"/>
      <c r="E40" s="53"/>
      <c r="F40" s="53"/>
      <c r="G40" s="53"/>
      <c r="H40" s="53"/>
      <c r="I40" s="53"/>
      <c r="J40" s="53"/>
      <c r="K40" s="53"/>
      <c r="L40" s="53"/>
      <c r="M40" s="53"/>
      <c r="N40" s="7">
        <f>SUM(B40:M40)</f>
        <v>0</v>
      </c>
      <c r="O40" s="29"/>
    </row>
    <row r="41" spans="1:16" s="6" customFormat="1" hidden="1">
      <c r="A41" s="6" t="s">
        <v>48</v>
      </c>
      <c r="B41" s="60">
        <v>-10000</v>
      </c>
      <c r="C41" s="60">
        <v>-10000</v>
      </c>
      <c r="D41" s="60">
        <v>-10000</v>
      </c>
      <c r="E41" s="60">
        <v>-10000</v>
      </c>
      <c r="F41" s="60">
        <v>-10000</v>
      </c>
      <c r="G41" s="60">
        <v>-10000</v>
      </c>
      <c r="H41" s="60">
        <v>-10000</v>
      </c>
      <c r="I41" s="60">
        <v>-10000</v>
      </c>
      <c r="J41" s="60">
        <v>-10300</v>
      </c>
      <c r="K41" s="60">
        <v>-10300</v>
      </c>
      <c r="L41" s="60">
        <v>-10300</v>
      </c>
      <c r="M41" s="60">
        <v>-10000</v>
      </c>
      <c r="N41" s="15">
        <f>SUM(B41:M41)</f>
        <v>-120900</v>
      </c>
      <c r="O41" s="29"/>
    </row>
    <row r="42" spans="1:16" s="6" customFormat="1">
      <c r="A42" s="13" t="s">
        <v>49</v>
      </c>
      <c r="B42" s="12">
        <f t="shared" ref="B42:N42" si="8">SUM(B37:B41)</f>
        <v>459605</v>
      </c>
      <c r="C42" s="12">
        <f t="shared" si="8"/>
        <v>405756</v>
      </c>
      <c r="D42" s="12">
        <f t="shared" si="8"/>
        <v>649686</v>
      </c>
      <c r="E42" s="12">
        <f t="shared" si="8"/>
        <v>482098</v>
      </c>
      <c r="F42" s="12">
        <f t="shared" si="8"/>
        <v>623238</v>
      </c>
      <c r="G42" s="12">
        <f t="shared" si="8"/>
        <v>450411</v>
      </c>
      <c r="H42" s="12">
        <f t="shared" si="8"/>
        <v>430077</v>
      </c>
      <c r="I42" s="12">
        <f t="shared" si="8"/>
        <v>552266</v>
      </c>
      <c r="J42" s="12">
        <f t="shared" si="8"/>
        <v>492078</v>
      </c>
      <c r="K42" s="12">
        <f t="shared" si="8"/>
        <v>532686</v>
      </c>
      <c r="L42" s="12">
        <f t="shared" si="8"/>
        <v>449472</v>
      </c>
      <c r="M42" s="12">
        <f t="shared" si="8"/>
        <v>347805</v>
      </c>
      <c r="N42" s="12">
        <f t="shared" si="8"/>
        <v>5875178</v>
      </c>
      <c r="O42" s="29"/>
    </row>
    <row r="43" spans="1:16">
      <c r="A43" s="1"/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2"/>
      <c r="N43" s="12"/>
      <c r="O43" s="6"/>
    </row>
    <row r="44" spans="1:16" hidden="1">
      <c r="A44" s="13" t="s">
        <v>50</v>
      </c>
      <c r="B44" s="53">
        <v>341767</v>
      </c>
      <c r="C44" s="53">
        <v>270679</v>
      </c>
      <c r="D44" s="53">
        <v>279225</v>
      </c>
      <c r="E44" s="53">
        <v>369606</v>
      </c>
      <c r="F44" s="53">
        <v>415556</v>
      </c>
      <c r="G44" s="53">
        <v>301819</v>
      </c>
      <c r="H44" s="53">
        <v>350631</v>
      </c>
      <c r="I44" s="53">
        <v>305031</v>
      </c>
      <c r="J44" s="53">
        <v>400807</v>
      </c>
      <c r="K44" s="53">
        <v>352963</v>
      </c>
      <c r="L44" s="53">
        <v>301088</v>
      </c>
      <c r="M44" s="53">
        <f>743355-270</f>
        <v>743085</v>
      </c>
      <c r="N44" s="12">
        <f>SUM(B44:M44)</f>
        <v>4432257</v>
      </c>
      <c r="O44" s="29"/>
      <c r="P44" s="25"/>
    </row>
    <row r="45" spans="1:16" hidden="1">
      <c r="A45" s="6" t="s">
        <v>107</v>
      </c>
      <c r="B45" s="22"/>
      <c r="C45" s="22"/>
      <c r="D45" s="22"/>
      <c r="E45" s="22"/>
      <c r="F45" s="22"/>
      <c r="G45" s="22"/>
      <c r="H45" s="22"/>
      <c r="I45" s="22"/>
      <c r="J45" s="22"/>
      <c r="K45" s="22"/>
      <c r="L45" s="22"/>
      <c r="M45" s="22"/>
      <c r="N45" s="22">
        <f>SUM(B45:M45)</f>
        <v>0</v>
      </c>
      <c r="O45" s="29"/>
    </row>
    <row r="46" spans="1:16">
      <c r="A46" s="1" t="s">
        <v>50</v>
      </c>
      <c r="B46" s="12">
        <f>SUM(B44:B45)</f>
        <v>341767</v>
      </c>
      <c r="C46" s="12">
        <f>SUM(C44:C45)</f>
        <v>270679</v>
      </c>
      <c r="D46" s="12">
        <f t="shared" ref="D46:N46" si="9">SUM(D44:D45)</f>
        <v>279225</v>
      </c>
      <c r="E46" s="12">
        <f t="shared" si="9"/>
        <v>369606</v>
      </c>
      <c r="F46" s="12">
        <f t="shared" si="9"/>
        <v>415556</v>
      </c>
      <c r="G46" s="12">
        <f t="shared" si="9"/>
        <v>301819</v>
      </c>
      <c r="H46" s="12">
        <f t="shared" si="9"/>
        <v>350631</v>
      </c>
      <c r="I46" s="12">
        <f t="shared" si="9"/>
        <v>305031</v>
      </c>
      <c r="J46" s="12">
        <f t="shared" si="9"/>
        <v>400807</v>
      </c>
      <c r="K46" s="12">
        <f t="shared" si="9"/>
        <v>352963</v>
      </c>
      <c r="L46" s="12">
        <f t="shared" si="9"/>
        <v>301088</v>
      </c>
      <c r="M46" s="12">
        <f t="shared" si="9"/>
        <v>743085</v>
      </c>
      <c r="N46" s="12">
        <f t="shared" si="9"/>
        <v>4432257</v>
      </c>
      <c r="O46" s="29"/>
    </row>
    <row r="47" spans="1:16">
      <c r="B47" s="7"/>
      <c r="C47" s="7"/>
      <c r="D47" s="7"/>
      <c r="E47" s="7"/>
      <c r="F47" s="7"/>
      <c r="G47" s="7"/>
      <c r="H47" s="7"/>
      <c r="I47" s="7"/>
      <c r="J47" s="7"/>
      <c r="K47" s="6"/>
      <c r="L47" s="6"/>
      <c r="M47" s="6"/>
      <c r="N47" s="6"/>
      <c r="O47" s="6"/>
    </row>
    <row r="48" spans="1:16">
      <c r="A48" s="13" t="s">
        <v>52</v>
      </c>
      <c r="B48" s="19">
        <f t="shared" ref="B48:N48" si="10">+B20+B34+B42+B46</f>
        <v>2352916</v>
      </c>
      <c r="C48" s="19">
        <f t="shared" si="10"/>
        <v>4206862</v>
      </c>
      <c r="D48" s="19">
        <f t="shared" si="10"/>
        <v>3452854</v>
      </c>
      <c r="E48" s="19">
        <f t="shared" si="10"/>
        <v>3320425</v>
      </c>
      <c r="F48" s="19">
        <f t="shared" si="10"/>
        <v>2648664</v>
      </c>
      <c r="G48" s="19">
        <f t="shared" si="10"/>
        <v>2415926</v>
      </c>
      <c r="H48" s="19">
        <f t="shared" si="10"/>
        <v>4052190</v>
      </c>
      <c r="I48" s="19">
        <f t="shared" si="10"/>
        <v>3535648</v>
      </c>
      <c r="J48" s="19">
        <f t="shared" si="10"/>
        <v>2970730</v>
      </c>
      <c r="K48" s="19">
        <f t="shared" si="10"/>
        <v>3290954</v>
      </c>
      <c r="L48" s="19">
        <f t="shared" si="10"/>
        <v>2704675</v>
      </c>
      <c r="M48" s="19">
        <f t="shared" si="10"/>
        <v>2556604</v>
      </c>
      <c r="N48" s="19">
        <f t="shared" si="10"/>
        <v>37508448</v>
      </c>
      <c r="O48" s="29"/>
    </row>
    <row r="49" spans="1:26">
      <c r="B49" s="7"/>
      <c r="C49" s="7"/>
      <c r="D49" s="7"/>
      <c r="E49" s="7"/>
      <c r="F49" s="7"/>
      <c r="G49" s="7"/>
      <c r="H49" s="7"/>
      <c r="I49" s="7"/>
      <c r="J49" s="7"/>
      <c r="K49" s="6"/>
      <c r="L49" s="6"/>
      <c r="M49" s="6"/>
      <c r="N49" s="6"/>
      <c r="O49" s="6"/>
    </row>
    <row r="50" spans="1:26">
      <c r="A50" s="1" t="s">
        <v>53</v>
      </c>
      <c r="B50" s="12">
        <f t="shared" ref="B50:M50" si="11">+B13-B48</f>
        <v>-588491</v>
      </c>
      <c r="C50" s="12">
        <f t="shared" si="11"/>
        <v>220222</v>
      </c>
      <c r="D50" s="12">
        <f t="shared" si="11"/>
        <v>906888</v>
      </c>
      <c r="E50" s="12">
        <f t="shared" si="11"/>
        <v>531272</v>
      </c>
      <c r="F50" s="12">
        <f t="shared" si="11"/>
        <v>-300822</v>
      </c>
      <c r="G50" s="12">
        <f t="shared" si="11"/>
        <v>62222</v>
      </c>
      <c r="H50" s="12">
        <f t="shared" si="11"/>
        <v>65669</v>
      </c>
      <c r="I50" s="12">
        <f t="shared" si="11"/>
        <v>812418</v>
      </c>
      <c r="J50" s="12">
        <f t="shared" si="11"/>
        <v>335342</v>
      </c>
      <c r="K50" s="12">
        <f t="shared" si="11"/>
        <v>333443</v>
      </c>
      <c r="L50" s="12">
        <f t="shared" si="11"/>
        <v>75221</v>
      </c>
      <c r="M50" s="12">
        <f t="shared" si="11"/>
        <v>-843855</v>
      </c>
      <c r="N50" s="12">
        <f>SUM(B50:M50)</f>
        <v>1609529</v>
      </c>
      <c r="O50" s="7">
        <f>+N50+N39+N41</f>
        <v>842465</v>
      </c>
    </row>
    <row r="51" spans="1:26" ht="7.5" customHeight="1">
      <c r="B51" s="7"/>
      <c r="C51" s="7"/>
      <c r="D51" s="7"/>
      <c r="E51" s="7"/>
      <c r="F51" s="7"/>
      <c r="G51" s="7"/>
      <c r="H51" s="7"/>
      <c r="I51" s="7"/>
      <c r="J51" s="7"/>
      <c r="K51" s="6"/>
      <c r="L51" s="6"/>
      <c r="M51" s="6"/>
      <c r="N51" s="6"/>
      <c r="O51" s="6"/>
    </row>
    <row r="52" spans="1:26">
      <c r="A52" s="1" t="s">
        <v>54</v>
      </c>
      <c r="B52" s="7"/>
      <c r="C52" s="7"/>
      <c r="D52" s="7"/>
      <c r="E52" s="7"/>
      <c r="F52" s="7"/>
      <c r="G52" s="7"/>
      <c r="H52" s="7"/>
      <c r="I52" s="7"/>
      <c r="J52" s="7"/>
      <c r="K52" s="6"/>
      <c r="L52" s="6"/>
      <c r="M52" s="6"/>
      <c r="N52" s="6"/>
      <c r="O52" s="6"/>
    </row>
    <row r="53" spans="1:26" s="6" customFormat="1">
      <c r="A53" s="6" t="s">
        <v>55</v>
      </c>
      <c r="B53" s="10">
        <v>21640</v>
      </c>
      <c r="C53" s="10">
        <v>45767</v>
      </c>
      <c r="D53" s="10">
        <v>849</v>
      </c>
      <c r="E53" s="10">
        <v>0</v>
      </c>
      <c r="F53" s="10">
        <v>6800</v>
      </c>
      <c r="G53" s="10">
        <v>30969</v>
      </c>
      <c r="H53" s="23">
        <v>10000</v>
      </c>
      <c r="I53" s="10">
        <v>75000</v>
      </c>
      <c r="J53" s="10">
        <v>50000</v>
      </c>
      <c r="K53" s="10">
        <v>10000</v>
      </c>
      <c r="L53" s="10">
        <v>10000</v>
      </c>
      <c r="M53" s="10">
        <v>265725</v>
      </c>
      <c r="N53" s="10">
        <f>SUM(B53:M53)</f>
        <v>526750</v>
      </c>
      <c r="O53" s="10">
        <v>930725</v>
      </c>
      <c r="P53" s="40">
        <f>+O53-N53</f>
        <v>403975</v>
      </c>
      <c r="Z53" s="40">
        <f>N53-P53+O53-N53</f>
        <v>526750</v>
      </c>
    </row>
    <row r="54" spans="1:26" s="6" customFormat="1">
      <c r="A54" s="6" t="s">
        <v>96</v>
      </c>
      <c r="B54" s="10"/>
      <c r="C54" s="10"/>
      <c r="D54" s="10"/>
      <c r="E54" s="10"/>
      <c r="F54" s="10">
        <v>90000</v>
      </c>
      <c r="G54" s="10"/>
      <c r="H54" s="10"/>
      <c r="I54" s="10"/>
      <c r="J54" s="10"/>
      <c r="K54" s="10"/>
      <c r="L54" s="10"/>
      <c r="M54" s="10"/>
      <c r="N54" s="10">
        <f>SUM(B54:M54)</f>
        <v>90000</v>
      </c>
    </row>
    <row r="55" spans="1:26" s="6" customFormat="1">
      <c r="A55" s="6" t="s">
        <v>111</v>
      </c>
      <c r="B55" s="10">
        <v>348240</v>
      </c>
      <c r="C55" s="10"/>
      <c r="D55" s="10"/>
      <c r="E55" s="10"/>
      <c r="F55" s="10"/>
      <c r="G55" s="10"/>
      <c r="H55" s="10"/>
      <c r="I55" s="10"/>
      <c r="J55" s="10"/>
      <c r="K55" s="10"/>
      <c r="L55" s="10">
        <v>0</v>
      </c>
      <c r="M55" s="56"/>
      <c r="N55" s="10">
        <f>SUM(B55:M55)</f>
        <v>348240</v>
      </c>
    </row>
    <row r="56" spans="1:26" s="6" customFormat="1">
      <c r="A56" s="37" t="s">
        <v>58</v>
      </c>
      <c r="B56" s="7">
        <v>-15538.11</v>
      </c>
      <c r="C56" s="7">
        <v>-13830</v>
      </c>
      <c r="D56" s="7">
        <v>-11781</v>
      </c>
      <c r="E56" s="7">
        <v>-16823</v>
      </c>
      <c r="F56" s="7">
        <v>-11637</v>
      </c>
      <c r="G56" s="7">
        <v>-235725</v>
      </c>
      <c r="H56" s="7">
        <v>-20000</v>
      </c>
      <c r="I56" s="7">
        <v>-20000</v>
      </c>
      <c r="J56" s="7">
        <v>-25000</v>
      </c>
      <c r="K56" s="7">
        <v>-20000</v>
      </c>
      <c r="L56" s="7">
        <v>-20000</v>
      </c>
      <c r="M56" s="7">
        <v>-25000</v>
      </c>
      <c r="N56" s="7">
        <f>SUM(B56:M56)</f>
        <v>-435334.11</v>
      </c>
      <c r="O56" s="7">
        <v>412620</v>
      </c>
    </row>
    <row r="57" spans="1:26" s="6" customFormat="1">
      <c r="A57" s="6" t="s">
        <v>59</v>
      </c>
      <c r="B57" s="22">
        <v>-171741</v>
      </c>
      <c r="C57" s="22">
        <v>17619</v>
      </c>
      <c r="D57" s="22">
        <v>-544</v>
      </c>
      <c r="E57" s="22">
        <v>666189</v>
      </c>
      <c r="F57" s="22">
        <v>-73191</v>
      </c>
      <c r="G57" s="22">
        <v>752472</v>
      </c>
      <c r="H57" s="22">
        <v>-25000</v>
      </c>
      <c r="I57" s="22">
        <v>-25000</v>
      </c>
      <c r="J57" s="22">
        <v>-25000</v>
      </c>
      <c r="K57" s="22">
        <v>-25000</v>
      </c>
      <c r="L57" s="22">
        <v>-25000</v>
      </c>
      <c r="M57" s="22">
        <v>-25000</v>
      </c>
      <c r="N57" s="22">
        <f>SUM(B57:M57)</f>
        <v>1040804</v>
      </c>
      <c r="O57" s="56">
        <v>306614</v>
      </c>
    </row>
    <row r="58" spans="1:26" s="6" customFormat="1">
      <c r="A58" s="13" t="s">
        <v>60</v>
      </c>
      <c r="B58" s="19">
        <f t="shared" ref="B58:N58" si="12">SUM(B53:B57)</f>
        <v>182600.89</v>
      </c>
      <c r="C58" s="19">
        <f t="shared" si="12"/>
        <v>49556</v>
      </c>
      <c r="D58" s="19">
        <f t="shared" si="12"/>
        <v>-11476</v>
      </c>
      <c r="E58" s="19">
        <f t="shared" si="12"/>
        <v>649366</v>
      </c>
      <c r="F58" s="19">
        <f t="shared" si="12"/>
        <v>11972</v>
      </c>
      <c r="G58" s="19">
        <f t="shared" si="12"/>
        <v>547716</v>
      </c>
      <c r="H58" s="19">
        <f>SUM(H53:H57)</f>
        <v>-35000</v>
      </c>
      <c r="I58" s="19">
        <f t="shared" si="12"/>
        <v>30000</v>
      </c>
      <c r="J58" s="19">
        <f t="shared" si="12"/>
        <v>0</v>
      </c>
      <c r="K58" s="19">
        <f t="shared" si="12"/>
        <v>-35000</v>
      </c>
      <c r="L58" s="19">
        <f t="shared" si="12"/>
        <v>-35000</v>
      </c>
      <c r="M58" s="19">
        <f t="shared" si="12"/>
        <v>215725</v>
      </c>
      <c r="N58" s="19">
        <f t="shared" si="12"/>
        <v>1570459.8900000001</v>
      </c>
      <c r="O58" s="29"/>
    </row>
    <row r="59" spans="1:26">
      <c r="B59" s="7"/>
      <c r="C59" s="7"/>
      <c r="D59" s="7"/>
      <c r="E59" s="7"/>
      <c r="F59" s="7"/>
      <c r="G59" s="7"/>
      <c r="H59" s="7"/>
      <c r="I59" s="7"/>
      <c r="J59" s="7"/>
      <c r="K59" s="7"/>
      <c r="L59" s="7"/>
      <c r="M59" s="7"/>
      <c r="N59" s="7"/>
      <c r="O59" s="6"/>
    </row>
    <row r="60" spans="1:26">
      <c r="A60" s="1" t="s">
        <v>61</v>
      </c>
      <c r="B60" s="12">
        <v>14357541</v>
      </c>
      <c r="C60" s="7"/>
      <c r="D60" s="7"/>
      <c r="E60" s="7"/>
      <c r="F60" s="7"/>
      <c r="G60" s="7"/>
      <c r="H60" s="7" t="s">
        <v>38</v>
      </c>
      <c r="I60" s="7"/>
      <c r="J60" s="7"/>
      <c r="K60" s="6"/>
      <c r="L60" s="6"/>
      <c r="M60" s="6"/>
      <c r="N60" s="6"/>
      <c r="O60" s="6"/>
    </row>
    <row r="61" spans="1:26">
      <c r="A61" s="13" t="s">
        <v>62</v>
      </c>
      <c r="B61" s="19">
        <f t="shared" ref="B61:N61" si="13">+B58+B48</f>
        <v>2535516.89</v>
      </c>
      <c r="C61" s="19">
        <f t="shared" si="13"/>
        <v>4256418</v>
      </c>
      <c r="D61" s="19">
        <f t="shared" si="13"/>
        <v>3441378</v>
      </c>
      <c r="E61" s="19">
        <f t="shared" si="13"/>
        <v>3969791</v>
      </c>
      <c r="F61" s="19">
        <f t="shared" si="13"/>
        <v>2660636</v>
      </c>
      <c r="G61" s="19">
        <f t="shared" si="13"/>
        <v>2963642</v>
      </c>
      <c r="H61" s="19">
        <f t="shared" si="13"/>
        <v>4017190</v>
      </c>
      <c r="I61" s="19">
        <f t="shared" si="13"/>
        <v>3565648</v>
      </c>
      <c r="J61" s="19">
        <f t="shared" si="13"/>
        <v>2970730</v>
      </c>
      <c r="K61" s="19">
        <f t="shared" si="13"/>
        <v>3255954</v>
      </c>
      <c r="L61" s="19">
        <f t="shared" si="13"/>
        <v>2669675</v>
      </c>
      <c r="M61" s="19">
        <f t="shared" si="13"/>
        <v>2772329</v>
      </c>
      <c r="N61" s="19">
        <f t="shared" si="13"/>
        <v>39078907.890000001</v>
      </c>
      <c r="O61" s="29"/>
    </row>
    <row r="62" spans="1:26" ht="13.5" thickBot="1">
      <c r="A62" s="13" t="s">
        <v>63</v>
      </c>
      <c r="B62" s="30">
        <f t="shared" ref="B62:N62" si="14">+B13-B61</f>
        <v>-771091.89000000013</v>
      </c>
      <c r="C62" s="30">
        <f t="shared" si="14"/>
        <v>170666</v>
      </c>
      <c r="D62" s="30">
        <f t="shared" si="14"/>
        <v>918364</v>
      </c>
      <c r="E62" s="30">
        <f t="shared" si="14"/>
        <v>-118094</v>
      </c>
      <c r="F62" s="30">
        <f t="shared" si="14"/>
        <v>-312794</v>
      </c>
      <c r="G62" s="30">
        <f t="shared" si="14"/>
        <v>-485494</v>
      </c>
      <c r="H62" s="14">
        <f t="shared" si="14"/>
        <v>100669</v>
      </c>
      <c r="I62" s="14">
        <f t="shared" si="14"/>
        <v>782418</v>
      </c>
      <c r="J62" s="14">
        <f t="shared" si="14"/>
        <v>335342</v>
      </c>
      <c r="K62" s="14">
        <f t="shared" si="14"/>
        <v>368443</v>
      </c>
      <c r="L62" s="14">
        <f t="shared" si="14"/>
        <v>110221</v>
      </c>
      <c r="M62" s="14">
        <f t="shared" si="14"/>
        <v>-1059580</v>
      </c>
      <c r="N62" s="14">
        <f t="shared" si="14"/>
        <v>39069.109999999404</v>
      </c>
      <c r="O62" s="29"/>
    </row>
    <row r="63" spans="1:26" s="6" customFormat="1" ht="13.5" thickTop="1">
      <c r="A63" s="13" t="s">
        <v>64</v>
      </c>
      <c r="B63" s="32">
        <f>+B62</f>
        <v>-771091.89000000013</v>
      </c>
      <c r="C63" s="32">
        <f t="shared" ref="C63:M63" si="15">B63+C62</f>
        <v>-600425.89000000013</v>
      </c>
      <c r="D63" s="32">
        <f t="shared" si="15"/>
        <v>317938.10999999987</v>
      </c>
      <c r="E63" s="32">
        <f t="shared" si="15"/>
        <v>199844.10999999987</v>
      </c>
      <c r="F63" s="32">
        <f t="shared" si="15"/>
        <v>-112949.89000000013</v>
      </c>
      <c r="G63" s="32">
        <f t="shared" si="15"/>
        <v>-598443.89000000013</v>
      </c>
      <c r="H63" s="12">
        <f t="shared" si="15"/>
        <v>-497774.89000000013</v>
      </c>
      <c r="I63" s="12">
        <f t="shared" si="15"/>
        <v>284643.10999999987</v>
      </c>
      <c r="J63" s="12">
        <f t="shared" si="15"/>
        <v>619985.10999999987</v>
      </c>
      <c r="K63" s="12">
        <f t="shared" si="15"/>
        <v>988428.10999999987</v>
      </c>
      <c r="L63" s="12">
        <f t="shared" si="15"/>
        <v>1098649.1099999999</v>
      </c>
      <c r="M63" s="12">
        <f t="shared" si="15"/>
        <v>39069.10999999987</v>
      </c>
      <c r="N63" s="12"/>
    </row>
    <row r="64" spans="1:26">
      <c r="A64" s="13" t="s">
        <v>65</v>
      </c>
      <c r="B64" s="12">
        <f t="shared" ref="B64:M64" si="16">+$B$60+B63</f>
        <v>13586449.109999999</v>
      </c>
      <c r="C64" s="12">
        <f t="shared" si="16"/>
        <v>13757115.109999999</v>
      </c>
      <c r="D64" s="12">
        <f t="shared" si="16"/>
        <v>14675479.109999999</v>
      </c>
      <c r="E64" s="12">
        <f t="shared" si="16"/>
        <v>14557385.109999999</v>
      </c>
      <c r="F64" s="12">
        <f t="shared" si="16"/>
        <v>14244591.109999999</v>
      </c>
      <c r="G64" s="12">
        <f t="shared" si="16"/>
        <v>13759097.109999999</v>
      </c>
      <c r="H64" s="12">
        <f t="shared" si="16"/>
        <v>13859766.109999999</v>
      </c>
      <c r="I64" s="12">
        <f t="shared" si="16"/>
        <v>14642184.109999999</v>
      </c>
      <c r="J64" s="12">
        <f t="shared" si="16"/>
        <v>14977526.109999999</v>
      </c>
      <c r="K64" s="12">
        <f t="shared" si="16"/>
        <v>15345969.109999999</v>
      </c>
      <c r="L64" s="12">
        <f t="shared" si="16"/>
        <v>15456190.109999999</v>
      </c>
      <c r="M64" s="12">
        <f t="shared" si="16"/>
        <v>14396610.109999999</v>
      </c>
      <c r="N64" s="12"/>
      <c r="O64" s="6"/>
    </row>
    <row r="65" spans="1:15">
      <c r="A65" s="6"/>
      <c r="B65" s="7"/>
      <c r="C65" s="7"/>
      <c r="D65" s="7"/>
      <c r="E65" s="7"/>
      <c r="F65" s="7"/>
      <c r="G65" s="7"/>
      <c r="H65" s="7"/>
      <c r="I65" s="7"/>
      <c r="J65" s="7"/>
      <c r="K65" s="6"/>
      <c r="L65" s="6"/>
      <c r="M65" s="6"/>
      <c r="N65" s="6"/>
      <c r="O65" s="6"/>
    </row>
    <row r="66" spans="1:15" s="6" customFormat="1">
      <c r="A66" s="17" t="s">
        <v>114</v>
      </c>
      <c r="B66" s="18"/>
      <c r="C66" s="18"/>
      <c r="D66" s="18"/>
      <c r="E66" s="18"/>
      <c r="F66" s="18"/>
      <c r="G66" s="18"/>
      <c r="H66" s="18"/>
      <c r="I66" s="18"/>
      <c r="J66" s="18"/>
      <c r="K66" s="18"/>
      <c r="L66" s="18"/>
      <c r="M66" s="18"/>
      <c r="N66" s="18"/>
    </row>
    <row r="67" spans="1:15" ht="13.5" thickBot="1">
      <c r="A67" s="13" t="s">
        <v>67</v>
      </c>
      <c r="B67" s="14">
        <v>-1440029</v>
      </c>
      <c r="C67" s="14">
        <v>-123812</v>
      </c>
      <c r="D67" s="14">
        <v>1148155</v>
      </c>
      <c r="E67" s="14">
        <v>583156</v>
      </c>
      <c r="F67" s="14">
        <v>-125852</v>
      </c>
      <c r="G67" s="14">
        <v>-37690</v>
      </c>
      <c r="H67" s="14">
        <v>100669</v>
      </c>
      <c r="I67" s="14">
        <v>782418</v>
      </c>
      <c r="J67" s="14">
        <v>335342</v>
      </c>
      <c r="K67" s="14">
        <v>368443</v>
      </c>
      <c r="L67" s="14">
        <v>110221</v>
      </c>
      <c r="M67" s="14">
        <v>-1059580</v>
      </c>
      <c r="N67" s="16"/>
      <c r="O67" s="6"/>
    </row>
    <row r="68" spans="1:15" ht="13.5" thickTop="1">
      <c r="A68" s="13" t="s">
        <v>64</v>
      </c>
      <c r="B68" s="12">
        <f>+B67</f>
        <v>-1440029</v>
      </c>
      <c r="C68" s="12">
        <f>+B68+C67</f>
        <v>-1563841</v>
      </c>
      <c r="D68" s="12">
        <f t="shared" ref="D68:M68" si="17">+C68+D67</f>
        <v>-415686</v>
      </c>
      <c r="E68" s="12">
        <f t="shared" si="17"/>
        <v>167470</v>
      </c>
      <c r="F68" s="12">
        <f t="shared" si="17"/>
        <v>41618</v>
      </c>
      <c r="G68" s="12">
        <f t="shared" si="17"/>
        <v>3928</v>
      </c>
      <c r="H68" s="12">
        <f t="shared" si="17"/>
        <v>104597</v>
      </c>
      <c r="I68" s="12">
        <f t="shared" si="17"/>
        <v>887015</v>
      </c>
      <c r="J68" s="12">
        <f t="shared" si="17"/>
        <v>1222357</v>
      </c>
      <c r="K68" s="12">
        <f t="shared" si="17"/>
        <v>1590800</v>
      </c>
      <c r="L68" s="12">
        <f t="shared" si="17"/>
        <v>1701021</v>
      </c>
      <c r="M68" s="12">
        <f t="shared" si="17"/>
        <v>641441</v>
      </c>
      <c r="N68" s="16"/>
      <c r="O68" s="6"/>
    </row>
    <row r="69" spans="1:15">
      <c r="A69" s="13" t="s">
        <v>65</v>
      </c>
      <c r="B69" s="12">
        <v>12917512</v>
      </c>
      <c r="C69" s="12">
        <v>12793700</v>
      </c>
      <c r="D69" s="12">
        <v>13941855</v>
      </c>
      <c r="E69" s="12">
        <v>14525011</v>
      </c>
      <c r="F69" s="12">
        <v>14399159</v>
      </c>
      <c r="G69" s="12">
        <v>14361469</v>
      </c>
      <c r="H69" s="12">
        <v>14462138</v>
      </c>
      <c r="I69" s="12">
        <v>15244556</v>
      </c>
      <c r="J69" s="12">
        <v>15579898</v>
      </c>
      <c r="K69" s="12">
        <v>15948341</v>
      </c>
      <c r="L69" s="12">
        <v>16058562</v>
      </c>
      <c r="M69" s="12">
        <v>14998982</v>
      </c>
      <c r="N69" s="12"/>
      <c r="O69" s="6"/>
    </row>
    <row r="70" spans="1:15">
      <c r="A70" s="6"/>
      <c r="B70" s="6"/>
      <c r="C70" s="6"/>
      <c r="D70" s="6"/>
      <c r="E70" s="6"/>
      <c r="F70" s="6"/>
      <c r="H70" s="6"/>
      <c r="I70" s="6"/>
      <c r="J70" s="6"/>
      <c r="K70" s="6"/>
      <c r="L70" s="6"/>
      <c r="M70" s="6"/>
      <c r="N70" s="6"/>
      <c r="O70" s="6"/>
    </row>
    <row r="71" spans="1:15">
      <c r="A71" s="24" t="s">
        <v>68</v>
      </c>
      <c r="B71" s="18"/>
      <c r="C71" s="18"/>
      <c r="D71" s="18"/>
      <c r="E71" s="18"/>
      <c r="F71" s="18"/>
      <c r="G71" s="18"/>
      <c r="H71" s="18"/>
      <c r="I71" s="18"/>
      <c r="J71" s="18"/>
      <c r="K71" s="18"/>
      <c r="L71" s="18"/>
      <c r="M71" s="18"/>
      <c r="N71" s="18"/>
      <c r="O71" s="6"/>
    </row>
    <row r="72" spans="1:15">
      <c r="A72" s="13" t="s">
        <v>63</v>
      </c>
      <c r="B72" s="31">
        <f t="shared" ref="B72:N74" si="18">+B62-B67</f>
        <v>668937.10999999987</v>
      </c>
      <c r="C72" s="31">
        <f t="shared" si="18"/>
        <v>294478</v>
      </c>
      <c r="D72" s="31">
        <f t="shared" si="18"/>
        <v>-229791</v>
      </c>
      <c r="E72" s="31">
        <f t="shared" si="18"/>
        <v>-701250</v>
      </c>
      <c r="F72" s="31">
        <f t="shared" si="18"/>
        <v>-186942</v>
      </c>
      <c r="G72" s="31">
        <f t="shared" si="18"/>
        <v>-447804</v>
      </c>
      <c r="H72" s="31">
        <f t="shared" si="18"/>
        <v>0</v>
      </c>
      <c r="I72" s="31">
        <f t="shared" si="18"/>
        <v>0</v>
      </c>
      <c r="J72" s="31">
        <f t="shared" si="18"/>
        <v>0</v>
      </c>
      <c r="K72" s="31">
        <f t="shared" si="18"/>
        <v>0</v>
      </c>
      <c r="L72" s="31">
        <f t="shared" si="18"/>
        <v>0</v>
      </c>
      <c r="M72" s="31">
        <f t="shared" si="18"/>
        <v>0</v>
      </c>
      <c r="N72" s="6"/>
      <c r="O72" s="6"/>
    </row>
    <row r="73" spans="1:15" s="6" customFormat="1">
      <c r="A73" s="13" t="s">
        <v>64</v>
      </c>
      <c r="B73" s="31">
        <f t="shared" si="18"/>
        <v>668937.10999999987</v>
      </c>
      <c r="C73" s="31">
        <f t="shared" si="18"/>
        <v>963415.10999999987</v>
      </c>
      <c r="D73" s="31">
        <f t="shared" si="18"/>
        <v>733624.10999999987</v>
      </c>
      <c r="E73" s="31">
        <f t="shared" si="18"/>
        <v>32374.10999999987</v>
      </c>
      <c r="F73" s="31">
        <f t="shared" si="18"/>
        <v>-154567.89000000013</v>
      </c>
      <c r="G73" s="31">
        <f t="shared" si="18"/>
        <v>-602371.89000000013</v>
      </c>
      <c r="H73" s="31">
        <f t="shared" si="18"/>
        <v>-602371.89000000013</v>
      </c>
      <c r="I73" s="31">
        <f t="shared" si="18"/>
        <v>-602371.89000000013</v>
      </c>
      <c r="J73" s="31">
        <f t="shared" si="18"/>
        <v>-602371.89000000013</v>
      </c>
      <c r="K73" s="31">
        <f t="shared" si="18"/>
        <v>-602371.89000000013</v>
      </c>
      <c r="L73" s="31">
        <f t="shared" si="18"/>
        <v>-602371.89000000013</v>
      </c>
      <c r="M73" s="31">
        <f t="shared" si="18"/>
        <v>-602371.89000000013</v>
      </c>
      <c r="N73" s="16">
        <f t="shared" si="18"/>
        <v>0</v>
      </c>
    </row>
    <row r="74" spans="1:15">
      <c r="A74" s="1" t="s">
        <v>65</v>
      </c>
      <c r="B74" s="16">
        <f t="shared" si="18"/>
        <v>668937.1099999994</v>
      </c>
      <c r="C74" s="16">
        <f t="shared" si="18"/>
        <v>963415.1099999994</v>
      </c>
      <c r="D74" s="16">
        <f t="shared" si="18"/>
        <v>733624.1099999994</v>
      </c>
      <c r="E74" s="16">
        <f t="shared" si="18"/>
        <v>32374.109999999404</v>
      </c>
      <c r="F74" s="16">
        <f t="shared" si="18"/>
        <v>-154567.8900000006</v>
      </c>
      <c r="G74" s="16">
        <f t="shared" si="18"/>
        <v>-602371.8900000006</v>
      </c>
      <c r="H74" s="16">
        <f t="shared" si="18"/>
        <v>-602371.8900000006</v>
      </c>
      <c r="I74" s="16">
        <f t="shared" si="18"/>
        <v>-602371.8900000006</v>
      </c>
      <c r="J74" s="16">
        <f t="shared" si="18"/>
        <v>-602371.8900000006</v>
      </c>
      <c r="K74" s="16">
        <f t="shared" si="18"/>
        <v>-602371.8900000006</v>
      </c>
      <c r="L74" s="16">
        <f t="shared" si="18"/>
        <v>-602371.8900000006</v>
      </c>
      <c r="M74" s="16">
        <f t="shared" si="18"/>
        <v>-602371.8900000006</v>
      </c>
      <c r="N74" s="16"/>
      <c r="O74" s="6"/>
    </row>
    <row r="75" spans="1:15">
      <c r="B75" s="6"/>
      <c r="C75" s="6"/>
      <c r="D75" s="6"/>
      <c r="E75" s="6"/>
      <c r="F75" s="6"/>
      <c r="H75" s="6"/>
      <c r="I75" s="6"/>
      <c r="J75" s="6"/>
      <c r="K75" s="6"/>
      <c r="L75" s="6"/>
      <c r="M75" s="6"/>
      <c r="N75" s="6"/>
    </row>
    <row r="76" spans="1:15">
      <c r="A76" s="1"/>
      <c r="B76" s="4"/>
      <c r="C76" s="8"/>
      <c r="D76" s="8"/>
      <c r="E76" s="8"/>
      <c r="F76" s="8"/>
      <c r="H76" s="20"/>
      <c r="J76" s="6"/>
      <c r="K76" s="6"/>
    </row>
    <row r="77" spans="1:15">
      <c r="A77" s="1"/>
      <c r="B77" s="4"/>
      <c r="C77" s="8"/>
      <c r="D77" s="8"/>
      <c r="E77" s="8"/>
      <c r="F77" s="8"/>
      <c r="H77" s="20"/>
      <c r="J77" s="6"/>
    </row>
    <row r="78" spans="1:15">
      <c r="A78" s="1"/>
      <c r="B78" s="4"/>
      <c r="D78" s="8"/>
      <c r="E78" s="8"/>
      <c r="F78" s="8"/>
      <c r="H78" s="61"/>
      <c r="J78" s="6"/>
    </row>
    <row r="79" spans="1:15">
      <c r="E79" s="6"/>
      <c r="H79" s="20"/>
      <c r="J79" s="6"/>
      <c r="N79" s="25"/>
    </row>
    <row r="80" spans="1:15">
      <c r="A80" t="s">
        <v>69</v>
      </c>
      <c r="B80" t="s">
        <v>69</v>
      </c>
      <c r="C80" t="s">
        <v>69</v>
      </c>
      <c r="D80" t="s">
        <v>69</v>
      </c>
      <c r="E80" s="6" t="s">
        <v>69</v>
      </c>
      <c r="F80" t="s">
        <v>69</v>
      </c>
      <c r="G80" s="6" t="s">
        <v>69</v>
      </c>
      <c r="H80" t="s">
        <v>69</v>
      </c>
      <c r="I80" t="s">
        <v>69</v>
      </c>
      <c r="J80" s="6" t="s">
        <v>69</v>
      </c>
      <c r="K80" t="s">
        <v>69</v>
      </c>
      <c r="L80" t="s">
        <v>69</v>
      </c>
      <c r="M80" t="s">
        <v>69</v>
      </c>
      <c r="N80" t="s">
        <v>69</v>
      </c>
    </row>
    <row r="82" spans="6:8">
      <c r="F82">
        <v>11636.78</v>
      </c>
      <c r="H82">
        <v>73191.26999999999</v>
      </c>
    </row>
    <row r="84" spans="6:8">
      <c r="F84" s="2">
        <f>SUM(B56:F56)</f>
        <v>-69609.11</v>
      </c>
    </row>
    <row r="85" spans="6:8">
      <c r="F85" s="2">
        <f>SUM(B57:F57)</f>
        <v>438332</v>
      </c>
    </row>
  </sheetData>
  <pageMargins left="0.28000000000000003" right="0.25" top="0.99" bottom="0.75" header="0.63" footer="0.23"/>
  <pageSetup scale="60" orientation="landscape" r:id="rId1"/>
  <headerFooter alignWithMargins="0">
    <oddHeader xml:space="preserve">&amp;C&amp;"Arial,Bold"&amp;11 49ER SHOPS, INC.
&amp;UFY2017/2018 OPERATIONAL CASH FLOW </oddHeader>
    <oddFooter xml:space="preserve">&amp;CCash Flow - FY2018/2019
December 2018
</oddFooter>
  </headerFooter>
  <legacyDrawing r:id="rId2"/>
</worksheet>
</file>

<file path=xl/worksheets/sheet3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92D050"/>
    <pageSetUpPr fitToPage="1"/>
  </sheetPr>
  <dimension ref="A1:Z85"/>
  <sheetViews>
    <sheetView showGridLines="0" topLeftCell="A34" zoomScale="80" zoomScaleNormal="80" workbookViewId="0">
      <selection activeCell="D52" sqref="D52"/>
    </sheetView>
  </sheetViews>
  <sheetFormatPr defaultRowHeight="12.75"/>
  <cols>
    <col min="1" max="1" width="35.42578125" customWidth="1"/>
    <col min="2" max="2" width="14" customWidth="1"/>
    <col min="3" max="3" width="14.5703125" customWidth="1"/>
    <col min="4" max="4" width="14" customWidth="1"/>
    <col min="5" max="6" width="13.5703125" customWidth="1"/>
    <col min="7" max="7" width="16.5703125" style="6" customWidth="1"/>
    <col min="8" max="8" width="14.140625" customWidth="1"/>
    <col min="9" max="9" width="14.42578125" customWidth="1"/>
    <col min="10" max="10" width="13.85546875" customWidth="1"/>
    <col min="11" max="11" width="15.140625" customWidth="1"/>
    <col min="12" max="12" width="13.5703125" customWidth="1"/>
    <col min="13" max="13" width="14.42578125" customWidth="1"/>
    <col min="14" max="14" width="16.5703125" customWidth="1"/>
    <col min="15" max="15" width="12.42578125" bestFit="1" customWidth="1"/>
    <col min="16" max="16" width="14.140625" customWidth="1"/>
  </cols>
  <sheetData>
    <row r="1" spans="1:15" ht="13.5" thickBot="1">
      <c r="A1" s="46" t="s">
        <v>118</v>
      </c>
      <c r="E1" s="6"/>
      <c r="F1" s="6"/>
      <c r="J1" s="6"/>
      <c r="K1" s="6"/>
      <c r="N1" s="3"/>
    </row>
    <row r="2" spans="1:15">
      <c r="B2" s="45" t="s">
        <v>24</v>
      </c>
      <c r="C2" s="45" t="s">
        <v>24</v>
      </c>
      <c r="D2" s="45" t="s">
        <v>24</v>
      </c>
      <c r="E2" s="45" t="s">
        <v>24</v>
      </c>
      <c r="F2" s="45" t="s">
        <v>24</v>
      </c>
      <c r="G2" s="45" t="s">
        <v>24</v>
      </c>
      <c r="H2" s="45" t="s">
        <v>24</v>
      </c>
      <c r="I2" s="45" t="s">
        <v>24</v>
      </c>
      <c r="J2" s="45" t="s">
        <v>76</v>
      </c>
      <c r="K2" s="45" t="s">
        <v>76</v>
      </c>
      <c r="L2" s="45" t="s">
        <v>76</v>
      </c>
      <c r="M2" s="45" t="s">
        <v>76</v>
      </c>
      <c r="N2" s="28" t="s">
        <v>25</v>
      </c>
    </row>
    <row r="3" spans="1:15" s="5" customFormat="1">
      <c r="B3" s="11">
        <v>43283</v>
      </c>
      <c r="C3" s="11">
        <v>43314</v>
      </c>
      <c r="D3" s="11">
        <v>43345</v>
      </c>
      <c r="E3" s="11">
        <v>43375</v>
      </c>
      <c r="F3" s="11">
        <v>43406</v>
      </c>
      <c r="G3" s="11">
        <v>43436</v>
      </c>
      <c r="H3" s="11">
        <v>43467</v>
      </c>
      <c r="I3" s="11">
        <v>43498</v>
      </c>
      <c r="J3" s="11">
        <v>43526</v>
      </c>
      <c r="K3" s="11">
        <v>43557</v>
      </c>
      <c r="L3" s="11">
        <v>43587</v>
      </c>
      <c r="M3" s="11">
        <v>43618</v>
      </c>
      <c r="N3" s="57" t="s">
        <v>113</v>
      </c>
    </row>
    <row r="4" spans="1:15" hidden="1">
      <c r="A4" s="1" t="s">
        <v>27</v>
      </c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>
        <f>SUM(B4:M4)</f>
        <v>0</v>
      </c>
      <c r="O4" s="29"/>
    </row>
    <row r="5" spans="1:15" s="6" customFormat="1" hidden="1">
      <c r="A5" s="6" t="s">
        <v>28</v>
      </c>
      <c r="B5" s="53">
        <v>1664716</v>
      </c>
      <c r="C5" s="53">
        <v>4334056</v>
      </c>
      <c r="D5" s="53">
        <v>4037246</v>
      </c>
      <c r="E5" s="53">
        <v>3697436</v>
      </c>
      <c r="F5" s="53">
        <v>2202637</v>
      </c>
      <c r="G5" s="53">
        <v>2399169</v>
      </c>
      <c r="H5" s="53">
        <v>4093574</v>
      </c>
      <c r="I5" s="53">
        <v>3274668</v>
      </c>
      <c r="J5" s="53">
        <v>3199134</v>
      </c>
      <c r="K5" s="53">
        <v>3507287</v>
      </c>
      <c r="L5" s="53">
        <v>2668320</v>
      </c>
      <c r="M5" s="53">
        <v>1617618</v>
      </c>
      <c r="N5" s="12">
        <f>SUM(B5:M5)</f>
        <v>36695861</v>
      </c>
      <c r="O5" s="29"/>
    </row>
    <row r="6" spans="1:15" s="6" customFormat="1" hidden="1">
      <c r="A6" s="6" t="s">
        <v>29</v>
      </c>
      <c r="B6" s="53">
        <v>98799</v>
      </c>
      <c r="C6" s="53">
        <v>92990</v>
      </c>
      <c r="D6" s="53">
        <v>321611</v>
      </c>
      <c r="E6" s="53">
        <v>154261</v>
      </c>
      <c r="F6" s="53">
        <v>145205</v>
      </c>
      <c r="G6" s="53">
        <v>58506</v>
      </c>
      <c r="H6" s="53">
        <v>100712</v>
      </c>
      <c r="I6" s="53">
        <v>72668</v>
      </c>
      <c r="J6" s="53">
        <v>106938</v>
      </c>
      <c r="K6" s="53">
        <v>117110</v>
      </c>
      <c r="L6" s="53">
        <v>111576</v>
      </c>
      <c r="M6" s="53">
        <v>95131</v>
      </c>
      <c r="N6" s="7">
        <f>SUM(B6:M6)</f>
        <v>1475507</v>
      </c>
      <c r="O6" s="29"/>
    </row>
    <row r="7" spans="1:15" s="6" customFormat="1" hidden="1">
      <c r="B7" s="7"/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7">
        <f>SUM(B7:M7)</f>
        <v>0</v>
      </c>
      <c r="O7" s="29"/>
    </row>
    <row r="8" spans="1:15" s="6" customFormat="1" hidden="1">
      <c r="B8" s="15"/>
      <c r="C8" s="15"/>
      <c r="D8" s="15"/>
      <c r="E8" s="15"/>
      <c r="F8" s="15"/>
      <c r="G8" s="15"/>
      <c r="H8" s="15"/>
      <c r="I8" s="15"/>
      <c r="J8" s="15"/>
      <c r="K8" s="15"/>
      <c r="L8" s="15"/>
      <c r="M8" s="15"/>
      <c r="N8" s="15">
        <f>SUM(B8:M8)</f>
        <v>0</v>
      </c>
      <c r="O8" s="29"/>
    </row>
    <row r="9" spans="1:15" s="6" customFormat="1">
      <c r="A9" s="13" t="s">
        <v>30</v>
      </c>
      <c r="B9" s="12">
        <f t="shared" ref="B9:N9" si="0">SUM(B5:B8)</f>
        <v>1763515</v>
      </c>
      <c r="C9" s="12">
        <f t="shared" si="0"/>
        <v>4427046</v>
      </c>
      <c r="D9" s="12">
        <f t="shared" si="0"/>
        <v>4358857</v>
      </c>
      <c r="E9" s="12">
        <f t="shared" si="0"/>
        <v>3851697</v>
      </c>
      <c r="F9" s="12">
        <f t="shared" si="0"/>
        <v>2347842</v>
      </c>
      <c r="G9" s="12">
        <f t="shared" si="0"/>
        <v>2457675</v>
      </c>
      <c r="H9" s="12">
        <f t="shared" si="0"/>
        <v>4194286</v>
      </c>
      <c r="I9" s="12">
        <f t="shared" si="0"/>
        <v>3347336</v>
      </c>
      <c r="J9" s="12">
        <f t="shared" si="0"/>
        <v>3306072</v>
      </c>
      <c r="K9" s="12">
        <f t="shared" si="0"/>
        <v>3624397</v>
      </c>
      <c r="L9" s="12">
        <f t="shared" si="0"/>
        <v>2779896</v>
      </c>
      <c r="M9" s="12">
        <f t="shared" si="0"/>
        <v>1712749</v>
      </c>
      <c r="N9" s="12">
        <f t="shared" si="0"/>
        <v>38171368</v>
      </c>
      <c r="O9" s="29"/>
    </row>
    <row r="10" spans="1:15" s="6" customFormat="1" ht="6.75" customHeight="1"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29"/>
    </row>
    <row r="11" spans="1:15" s="6" customFormat="1">
      <c r="A11" s="13" t="s">
        <v>31</v>
      </c>
      <c r="B11" s="7">
        <v>910</v>
      </c>
      <c r="C11" s="7">
        <v>38</v>
      </c>
      <c r="D11" s="7">
        <v>885</v>
      </c>
      <c r="E11" s="7">
        <v>0</v>
      </c>
      <c r="F11" s="7">
        <v>0</v>
      </c>
      <c r="G11" s="7">
        <v>20473</v>
      </c>
      <c r="H11" s="7">
        <v>4352</v>
      </c>
      <c r="I11" s="7">
        <v>10</v>
      </c>
      <c r="J11" s="7">
        <v>0</v>
      </c>
      <c r="K11" s="7">
        <v>0</v>
      </c>
      <c r="L11" s="7">
        <v>0</v>
      </c>
      <c r="M11" s="7">
        <v>0</v>
      </c>
      <c r="N11" s="7">
        <f>SUM(B11:M11)</f>
        <v>26668</v>
      </c>
      <c r="O11" s="29"/>
    </row>
    <row r="12" spans="1:15" s="6" customFormat="1" ht="7.5" customHeight="1">
      <c r="B12" s="7"/>
      <c r="C12" s="7"/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  <c r="O12" s="29"/>
    </row>
    <row r="13" spans="1:15" s="6" customFormat="1" ht="13.5" thickBot="1">
      <c r="A13" s="13" t="s">
        <v>32</v>
      </c>
      <c r="B13" s="14">
        <f t="shared" ref="B13:N13" si="1">B9+B11</f>
        <v>1764425</v>
      </c>
      <c r="C13" s="14">
        <f>C9+C11</f>
        <v>4427084</v>
      </c>
      <c r="D13" s="14">
        <f t="shared" si="1"/>
        <v>4359742</v>
      </c>
      <c r="E13" s="14">
        <f t="shared" si="1"/>
        <v>3851697</v>
      </c>
      <c r="F13" s="14">
        <f t="shared" si="1"/>
        <v>2347842</v>
      </c>
      <c r="G13" s="14">
        <f t="shared" si="1"/>
        <v>2478148</v>
      </c>
      <c r="H13" s="14">
        <f t="shared" si="1"/>
        <v>4198638</v>
      </c>
      <c r="I13" s="14">
        <f t="shared" si="1"/>
        <v>3347346</v>
      </c>
      <c r="J13" s="14">
        <f t="shared" si="1"/>
        <v>3306072</v>
      </c>
      <c r="K13" s="14">
        <f t="shared" si="1"/>
        <v>3624397</v>
      </c>
      <c r="L13" s="14">
        <f t="shared" si="1"/>
        <v>2779896</v>
      </c>
      <c r="M13" s="14">
        <f t="shared" si="1"/>
        <v>1712749</v>
      </c>
      <c r="N13" s="14">
        <f t="shared" si="1"/>
        <v>38198036</v>
      </c>
      <c r="O13" s="29"/>
    </row>
    <row r="14" spans="1:15" s="6" customFormat="1" ht="13.5" thickTop="1">
      <c r="B14" s="7"/>
      <c r="C14" s="7"/>
      <c r="D14" s="7"/>
      <c r="E14" s="7"/>
      <c r="F14" s="7"/>
      <c r="G14" s="7"/>
      <c r="H14" s="7"/>
      <c r="I14" s="7"/>
      <c r="J14" s="7"/>
      <c r="K14" s="7"/>
      <c r="L14" s="7"/>
      <c r="M14" s="7"/>
    </row>
    <row r="15" spans="1:15" s="6" customFormat="1" hidden="1">
      <c r="A15" s="13" t="s">
        <v>33</v>
      </c>
      <c r="B15" s="7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</row>
    <row r="16" spans="1:15" s="6" customFormat="1" hidden="1">
      <c r="A16" s="6" t="s">
        <v>34</v>
      </c>
      <c r="B16" s="53">
        <v>808507</v>
      </c>
      <c r="C16" s="53">
        <v>2662695</v>
      </c>
      <c r="D16" s="53">
        <v>1620992</v>
      </c>
      <c r="E16" s="53">
        <v>1274587</v>
      </c>
      <c r="F16" s="53">
        <v>814523</v>
      </c>
      <c r="G16" s="53">
        <v>866327</v>
      </c>
      <c r="H16" s="53">
        <v>2296042</v>
      </c>
      <c r="I16" s="53">
        <v>1205375</v>
      </c>
      <c r="J16" s="53">
        <v>1116694</v>
      </c>
      <c r="K16" s="53">
        <v>1332035</v>
      </c>
      <c r="L16" s="53">
        <v>1066893</v>
      </c>
      <c r="M16" s="53">
        <v>774058</v>
      </c>
      <c r="N16" s="7">
        <f>SUM(B16:M16)</f>
        <v>15838728</v>
      </c>
      <c r="O16" s="29"/>
    </row>
    <row r="17" spans="1:15" s="6" customFormat="1" hidden="1">
      <c r="B17" s="27"/>
      <c r="C17" s="27"/>
      <c r="D17" s="27"/>
      <c r="E17" s="27"/>
      <c r="F17" s="27"/>
      <c r="G17" s="27"/>
      <c r="H17" s="27"/>
      <c r="I17" s="27"/>
      <c r="J17" s="27"/>
      <c r="K17" s="27"/>
      <c r="L17" s="27"/>
      <c r="M17" s="27"/>
      <c r="N17" s="7">
        <f>SUM(B17:M17)</f>
        <v>0</v>
      </c>
    </row>
    <row r="18" spans="1:15" s="6" customFormat="1" hidden="1">
      <c r="B18" s="7"/>
      <c r="C18" s="7"/>
      <c r="D18" s="7"/>
      <c r="E18" s="7"/>
      <c r="F18" s="7"/>
      <c r="G18" s="7"/>
      <c r="H18" s="7"/>
      <c r="I18" s="7"/>
      <c r="J18" s="7"/>
      <c r="K18" s="7"/>
      <c r="L18" s="7"/>
      <c r="M18" s="7"/>
      <c r="N18" s="7">
        <v>0</v>
      </c>
    </row>
    <row r="19" spans="1:15" s="6" customFormat="1" hidden="1">
      <c r="B19" s="15"/>
      <c r="C19" s="15"/>
      <c r="D19" s="15"/>
      <c r="E19" s="15"/>
      <c r="F19" s="15"/>
      <c r="G19" s="15"/>
      <c r="H19" s="15"/>
      <c r="I19" s="15"/>
      <c r="J19" s="15"/>
      <c r="K19" s="15"/>
      <c r="L19" s="15"/>
      <c r="M19" s="15"/>
      <c r="N19" s="15">
        <f>SUM(B19:M19)</f>
        <v>0</v>
      </c>
    </row>
    <row r="20" spans="1:15" s="6" customFormat="1">
      <c r="A20" s="13" t="s">
        <v>35</v>
      </c>
      <c r="B20" s="12">
        <f t="shared" ref="B20:N20" si="2">SUM(B16:B19)</f>
        <v>808507</v>
      </c>
      <c r="C20" s="12">
        <f t="shared" si="2"/>
        <v>2662695</v>
      </c>
      <c r="D20" s="12">
        <f t="shared" si="2"/>
        <v>1620992</v>
      </c>
      <c r="E20" s="12">
        <f t="shared" si="2"/>
        <v>1274587</v>
      </c>
      <c r="F20" s="12">
        <f t="shared" si="2"/>
        <v>814523</v>
      </c>
      <c r="G20" s="12">
        <f t="shared" si="2"/>
        <v>866327</v>
      </c>
      <c r="H20" s="12">
        <f t="shared" si="2"/>
        <v>2296042</v>
      </c>
      <c r="I20" s="12">
        <f t="shared" si="2"/>
        <v>1205375</v>
      </c>
      <c r="J20" s="12">
        <f t="shared" si="2"/>
        <v>1116694</v>
      </c>
      <c r="K20" s="12">
        <f t="shared" si="2"/>
        <v>1332035</v>
      </c>
      <c r="L20" s="12">
        <f t="shared" si="2"/>
        <v>1066893</v>
      </c>
      <c r="M20" s="12">
        <f t="shared" si="2"/>
        <v>774058</v>
      </c>
      <c r="N20" s="12">
        <f t="shared" si="2"/>
        <v>15838728</v>
      </c>
      <c r="O20" s="29"/>
    </row>
    <row r="21" spans="1:15" s="6" customFormat="1">
      <c r="B21" s="7"/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</row>
    <row r="22" spans="1:15" s="6" customFormat="1" hidden="1">
      <c r="A22" s="13" t="s">
        <v>36</v>
      </c>
      <c r="B22" s="7"/>
      <c r="C22" s="7"/>
      <c r="D22" s="7"/>
      <c r="E22" s="7"/>
      <c r="F22" s="7"/>
      <c r="G22" s="7"/>
      <c r="H22" s="7"/>
      <c r="I22" s="7"/>
      <c r="J22" s="7"/>
      <c r="K22" s="7"/>
      <c r="L22" s="7"/>
      <c r="M22" s="7"/>
    </row>
    <row r="23" spans="1:15" s="6" customFormat="1" hidden="1">
      <c r="A23" s="6" t="s">
        <v>37</v>
      </c>
      <c r="B23" s="7">
        <f t="shared" ref="B23:M26" si="3">+B5-B16</f>
        <v>856209</v>
      </c>
      <c r="C23" s="7">
        <f t="shared" si="3"/>
        <v>1671361</v>
      </c>
      <c r="D23" s="7">
        <f t="shared" si="3"/>
        <v>2416254</v>
      </c>
      <c r="E23" s="7">
        <f t="shared" si="3"/>
        <v>2422849</v>
      </c>
      <c r="F23" s="7">
        <f t="shared" si="3"/>
        <v>1388114</v>
      </c>
      <c r="G23" s="7">
        <f t="shared" si="3"/>
        <v>1532842</v>
      </c>
      <c r="H23" s="7">
        <f t="shared" si="3"/>
        <v>1797532</v>
      </c>
      <c r="I23" s="7">
        <f t="shared" si="3"/>
        <v>2069293</v>
      </c>
      <c r="J23" s="7">
        <f t="shared" si="3"/>
        <v>2082440</v>
      </c>
      <c r="K23" s="7">
        <f t="shared" si="3"/>
        <v>2175252</v>
      </c>
      <c r="L23" s="7">
        <f t="shared" si="3"/>
        <v>1601427</v>
      </c>
      <c r="M23" s="7">
        <f t="shared" si="3"/>
        <v>843560</v>
      </c>
      <c r="N23" s="7">
        <f>SUM(B23:M23)</f>
        <v>20857133</v>
      </c>
      <c r="O23" s="29"/>
    </row>
    <row r="24" spans="1:15" s="6" customFormat="1" hidden="1">
      <c r="A24" s="6" t="s">
        <v>37</v>
      </c>
      <c r="B24" s="7">
        <f t="shared" si="3"/>
        <v>98799</v>
      </c>
      <c r="C24" s="7">
        <f t="shared" si="3"/>
        <v>92990</v>
      </c>
      <c r="D24" s="7">
        <f t="shared" si="3"/>
        <v>321611</v>
      </c>
      <c r="E24" s="7">
        <f t="shared" si="3"/>
        <v>154261</v>
      </c>
      <c r="F24" s="7">
        <f t="shared" si="3"/>
        <v>145205</v>
      </c>
      <c r="G24" s="7">
        <f t="shared" si="3"/>
        <v>58506</v>
      </c>
      <c r="H24" s="7">
        <f t="shared" si="3"/>
        <v>100712</v>
      </c>
      <c r="I24" s="7">
        <f t="shared" si="3"/>
        <v>72668</v>
      </c>
      <c r="J24" s="7">
        <f t="shared" si="3"/>
        <v>106938</v>
      </c>
      <c r="K24" s="7">
        <f t="shared" si="3"/>
        <v>117110</v>
      </c>
      <c r="L24" s="7">
        <f t="shared" si="3"/>
        <v>111576</v>
      </c>
      <c r="M24" s="7">
        <f t="shared" si="3"/>
        <v>95131</v>
      </c>
      <c r="N24" s="7">
        <f>SUM(B24:M24)</f>
        <v>1475507</v>
      </c>
      <c r="O24" s="29"/>
    </row>
    <row r="25" spans="1:15" s="6" customFormat="1" hidden="1">
      <c r="A25" s="6" t="s">
        <v>38</v>
      </c>
      <c r="B25" s="7">
        <f t="shared" si="3"/>
        <v>0</v>
      </c>
      <c r="C25" s="7">
        <f t="shared" si="3"/>
        <v>0</v>
      </c>
      <c r="D25" s="7">
        <f t="shared" si="3"/>
        <v>0</v>
      </c>
      <c r="E25" s="7">
        <f t="shared" si="3"/>
        <v>0</v>
      </c>
      <c r="F25" s="7">
        <f t="shared" si="3"/>
        <v>0</v>
      </c>
      <c r="G25" s="7">
        <f t="shared" si="3"/>
        <v>0</v>
      </c>
      <c r="H25" s="7">
        <f t="shared" si="3"/>
        <v>0</v>
      </c>
      <c r="I25" s="7">
        <f t="shared" si="3"/>
        <v>0</v>
      </c>
      <c r="J25" s="7">
        <f t="shared" si="3"/>
        <v>0</v>
      </c>
      <c r="K25" s="7">
        <f t="shared" si="3"/>
        <v>0</v>
      </c>
      <c r="L25" s="7">
        <f t="shared" si="3"/>
        <v>0</v>
      </c>
      <c r="M25" s="7">
        <f t="shared" si="3"/>
        <v>0</v>
      </c>
      <c r="N25" s="7">
        <f>SUM(B25:M25)</f>
        <v>0</v>
      </c>
      <c r="O25" s="29"/>
    </row>
    <row r="26" spans="1:15" s="6" customFormat="1" hidden="1">
      <c r="A26" s="6" t="s">
        <v>38</v>
      </c>
      <c r="B26" s="15">
        <f t="shared" si="3"/>
        <v>0</v>
      </c>
      <c r="C26" s="15">
        <f t="shared" si="3"/>
        <v>0</v>
      </c>
      <c r="D26" s="15">
        <f t="shared" si="3"/>
        <v>0</v>
      </c>
      <c r="E26" s="15">
        <f t="shared" si="3"/>
        <v>0</v>
      </c>
      <c r="F26" s="15">
        <f t="shared" si="3"/>
        <v>0</v>
      </c>
      <c r="G26" s="15">
        <f t="shared" si="3"/>
        <v>0</v>
      </c>
      <c r="H26" s="15">
        <f t="shared" si="3"/>
        <v>0</v>
      </c>
      <c r="I26" s="15">
        <f t="shared" si="3"/>
        <v>0</v>
      </c>
      <c r="J26" s="15">
        <f t="shared" si="3"/>
        <v>0</v>
      </c>
      <c r="K26" s="15">
        <f t="shared" si="3"/>
        <v>0</v>
      </c>
      <c r="L26" s="15">
        <f t="shared" si="3"/>
        <v>0</v>
      </c>
      <c r="M26" s="15">
        <f t="shared" si="3"/>
        <v>0</v>
      </c>
      <c r="N26" s="15">
        <f>SUM(B26:M26)</f>
        <v>0</v>
      </c>
      <c r="O26" s="29"/>
    </row>
    <row r="27" spans="1:15" s="6" customFormat="1">
      <c r="A27" s="13" t="s">
        <v>39</v>
      </c>
      <c r="B27" s="12">
        <f t="shared" ref="B27:N27" si="4">SUM(B23:B26)</f>
        <v>955008</v>
      </c>
      <c r="C27" s="12">
        <f t="shared" si="4"/>
        <v>1764351</v>
      </c>
      <c r="D27" s="12">
        <f t="shared" si="4"/>
        <v>2737865</v>
      </c>
      <c r="E27" s="12">
        <f t="shared" si="4"/>
        <v>2577110</v>
      </c>
      <c r="F27" s="12">
        <f t="shared" si="4"/>
        <v>1533319</v>
      </c>
      <c r="G27" s="12">
        <f t="shared" si="4"/>
        <v>1591348</v>
      </c>
      <c r="H27" s="12">
        <f t="shared" si="4"/>
        <v>1898244</v>
      </c>
      <c r="I27" s="12">
        <f t="shared" si="4"/>
        <v>2141961</v>
      </c>
      <c r="J27" s="12">
        <f t="shared" si="4"/>
        <v>2189378</v>
      </c>
      <c r="K27" s="12">
        <f t="shared" si="4"/>
        <v>2292362</v>
      </c>
      <c r="L27" s="12">
        <f t="shared" si="4"/>
        <v>1713003</v>
      </c>
      <c r="M27" s="12">
        <f>SUM(M23:M26)</f>
        <v>938691</v>
      </c>
      <c r="N27" s="12">
        <f t="shared" si="4"/>
        <v>22332640</v>
      </c>
      <c r="O27" s="29"/>
    </row>
    <row r="28" spans="1:15" s="6" customFormat="1" ht="14.45" customHeight="1">
      <c r="B28" s="73">
        <f>+B27/B9</f>
        <v>0.54153664698060411</v>
      </c>
      <c r="C28" s="73">
        <f t="shared" ref="C28:N28" si="5">+C27/C9</f>
        <v>0.39853911615104065</v>
      </c>
      <c r="D28" s="73">
        <f t="shared" si="5"/>
        <v>0.62811535225863113</v>
      </c>
      <c r="E28" s="73">
        <f t="shared" si="5"/>
        <v>0.66908430232180771</v>
      </c>
      <c r="F28" s="73">
        <f t="shared" si="5"/>
        <v>0.65307588841157116</v>
      </c>
      <c r="G28" s="73">
        <f t="shared" si="5"/>
        <v>0.6475013986796464</v>
      </c>
      <c r="H28" s="73">
        <f t="shared" si="5"/>
        <v>0.45257857952461994</v>
      </c>
      <c r="I28" s="73">
        <f t="shared" si="5"/>
        <v>0.63990020720955409</v>
      </c>
      <c r="J28" s="73">
        <f t="shared" si="5"/>
        <v>0.66222937673468696</v>
      </c>
      <c r="K28" s="73">
        <f t="shared" si="5"/>
        <v>0.6324809340698605</v>
      </c>
      <c r="L28" s="73">
        <f t="shared" si="5"/>
        <v>0.61621118200105329</v>
      </c>
      <c r="M28" s="73">
        <f t="shared" si="5"/>
        <v>0.54806104105154929</v>
      </c>
      <c r="N28" s="73">
        <f t="shared" si="5"/>
        <v>0.58506260503946306</v>
      </c>
    </row>
    <row r="29" spans="1:15" s="6" customFormat="1" hidden="1">
      <c r="A29" s="13" t="s">
        <v>40</v>
      </c>
      <c r="B29" s="7"/>
      <c r="C29" s="7"/>
      <c r="D29" s="7"/>
      <c r="E29" s="7"/>
      <c r="F29" s="7"/>
      <c r="G29" s="7"/>
      <c r="H29" s="7"/>
      <c r="I29" s="7"/>
      <c r="J29" s="7"/>
      <c r="K29" s="7"/>
      <c r="L29" s="7"/>
      <c r="M29" s="7"/>
    </row>
    <row r="30" spans="1:15" s="6" customFormat="1" hidden="1">
      <c r="A30" s="6" t="s">
        <v>93</v>
      </c>
      <c r="B30" s="53">
        <v>550190</v>
      </c>
      <c r="C30" s="53">
        <v>644844</v>
      </c>
      <c r="D30" s="53">
        <v>702597</v>
      </c>
      <c r="E30" s="53">
        <v>894957</v>
      </c>
      <c r="F30" s="53">
        <v>586761</v>
      </c>
      <c r="G30" s="53">
        <v>580848</v>
      </c>
      <c r="H30" s="53">
        <v>737164</v>
      </c>
      <c r="I30" s="53">
        <v>782261</v>
      </c>
      <c r="J30" s="53">
        <v>740529</v>
      </c>
      <c r="K30" s="53">
        <v>823718</v>
      </c>
      <c r="L30" s="53">
        <v>672632</v>
      </c>
      <c r="M30" s="53">
        <v>481272</v>
      </c>
      <c r="N30" s="7">
        <f>SUM(B30:M30)</f>
        <v>8197773</v>
      </c>
      <c r="O30" s="29"/>
    </row>
    <row r="31" spans="1:15" s="6" customFormat="1" hidden="1">
      <c r="A31" s="6" t="s">
        <v>42</v>
      </c>
      <c r="B31" s="53">
        <v>192847</v>
      </c>
      <c r="C31" s="53">
        <v>222888</v>
      </c>
      <c r="D31" s="53">
        <v>200354</v>
      </c>
      <c r="E31" s="53">
        <v>299177</v>
      </c>
      <c r="F31" s="53">
        <v>208586</v>
      </c>
      <c r="G31" s="53">
        <v>216521</v>
      </c>
      <c r="H31" s="53">
        <v>230074</v>
      </c>
      <c r="I31" s="53">
        <v>214469</v>
      </c>
      <c r="J31" s="53">
        <v>220622</v>
      </c>
      <c r="K31" s="53">
        <v>249552</v>
      </c>
      <c r="L31" s="53">
        <v>214590</v>
      </c>
      <c r="M31" s="53">
        <v>210384</v>
      </c>
      <c r="N31" s="7">
        <f>SUM(B31:M31)</f>
        <v>2680064</v>
      </c>
      <c r="O31" s="29"/>
    </row>
    <row r="32" spans="1:15" s="6" customFormat="1" ht="15" hidden="1">
      <c r="A32" s="6" t="s">
        <v>38</v>
      </c>
      <c r="B32" s="68"/>
      <c r="C32" s="68"/>
      <c r="D32" s="68"/>
      <c r="E32" s="68"/>
      <c r="F32" s="68"/>
      <c r="G32" s="68"/>
      <c r="H32" s="68"/>
      <c r="I32" s="68"/>
      <c r="J32" s="68"/>
      <c r="K32" s="68"/>
      <c r="L32" s="68"/>
      <c r="M32" s="68"/>
      <c r="N32" s="7">
        <f>SUM(B32:M32)</f>
        <v>0</v>
      </c>
      <c r="O32" s="29"/>
    </row>
    <row r="33" spans="1:16" s="6" customFormat="1" hidden="1">
      <c r="B33" s="15"/>
      <c r="C33" s="15"/>
      <c r="D33" s="15"/>
      <c r="E33" s="15"/>
      <c r="F33" s="15"/>
      <c r="G33" s="15"/>
      <c r="H33" s="15"/>
      <c r="I33" s="15"/>
      <c r="J33" s="15"/>
      <c r="K33" s="15"/>
      <c r="L33" s="15"/>
      <c r="M33" s="15"/>
      <c r="N33" s="15">
        <f>SUM(B33:M33)</f>
        <v>0</v>
      </c>
      <c r="O33" s="29"/>
    </row>
    <row r="34" spans="1:16" s="6" customFormat="1">
      <c r="A34" s="13" t="s">
        <v>43</v>
      </c>
      <c r="B34" s="12">
        <f t="shared" ref="B34:N34" si="6">SUM(B30:B33)</f>
        <v>743037</v>
      </c>
      <c r="C34" s="12">
        <f t="shared" si="6"/>
        <v>867732</v>
      </c>
      <c r="D34" s="12">
        <f t="shared" si="6"/>
        <v>902951</v>
      </c>
      <c r="E34" s="12">
        <f t="shared" si="6"/>
        <v>1194134</v>
      </c>
      <c r="F34" s="12">
        <f t="shared" si="6"/>
        <v>795347</v>
      </c>
      <c r="G34" s="12">
        <f t="shared" si="6"/>
        <v>797369</v>
      </c>
      <c r="H34" s="12">
        <f t="shared" si="6"/>
        <v>967238</v>
      </c>
      <c r="I34" s="12">
        <f t="shared" si="6"/>
        <v>996730</v>
      </c>
      <c r="J34" s="12">
        <f t="shared" si="6"/>
        <v>961151</v>
      </c>
      <c r="K34" s="12">
        <f t="shared" si="6"/>
        <v>1073270</v>
      </c>
      <c r="L34" s="12">
        <f t="shared" si="6"/>
        <v>887222</v>
      </c>
      <c r="M34" s="12">
        <f t="shared" si="6"/>
        <v>691656</v>
      </c>
      <c r="N34" s="12">
        <f t="shared" si="6"/>
        <v>10877837</v>
      </c>
      <c r="O34" s="29"/>
    </row>
    <row r="35" spans="1:16" s="6" customFormat="1">
      <c r="B35" s="7"/>
      <c r="C35" s="7"/>
      <c r="D35" s="7"/>
      <c r="E35" s="7"/>
      <c r="F35" s="7"/>
      <c r="G35" s="7"/>
      <c r="H35" s="7"/>
      <c r="I35" s="7"/>
      <c r="J35" s="7"/>
      <c r="K35" s="7"/>
      <c r="L35" s="7"/>
      <c r="M35" s="7"/>
    </row>
    <row r="36" spans="1:16" s="6" customFormat="1" hidden="1">
      <c r="A36" s="13" t="s">
        <v>44</v>
      </c>
      <c r="B36" s="7"/>
      <c r="C36" s="7"/>
      <c r="D36" s="7"/>
      <c r="E36" s="7"/>
      <c r="F36" s="7"/>
      <c r="G36" s="7"/>
      <c r="H36" s="7"/>
      <c r="I36" s="7"/>
      <c r="J36" s="7"/>
      <c r="K36" s="7"/>
      <c r="L36" s="7"/>
      <c r="M36" s="7"/>
    </row>
    <row r="37" spans="1:16" s="6" customFormat="1" hidden="1">
      <c r="A37" s="6" t="s">
        <v>45</v>
      </c>
      <c r="B37" s="53">
        <v>1292386</v>
      </c>
      <c r="C37" s="53">
        <v>1363232</v>
      </c>
      <c r="D37" s="53">
        <v>1482893</v>
      </c>
      <c r="E37" s="53">
        <v>1759651</v>
      </c>
      <c r="F37" s="53">
        <v>1355166</v>
      </c>
      <c r="G37" s="66">
        <v>1331199</v>
      </c>
      <c r="H37" s="66">
        <v>1469965</v>
      </c>
      <c r="I37" s="66">
        <v>1591079</v>
      </c>
      <c r="J37" s="66">
        <v>1545361</v>
      </c>
      <c r="K37" s="53">
        <v>1699036</v>
      </c>
      <c r="L37" s="53">
        <v>1429774</v>
      </c>
      <c r="M37" s="53">
        <v>1131406</v>
      </c>
      <c r="N37" s="7">
        <f>SUM(B37:M37)</f>
        <v>17451148</v>
      </c>
      <c r="O37" s="29"/>
    </row>
    <row r="38" spans="1:16" s="6" customFormat="1" hidden="1">
      <c r="A38" s="6" t="s">
        <v>46</v>
      </c>
      <c r="B38" s="7">
        <f>-B34</f>
        <v>-743037</v>
      </c>
      <c r="C38" s="7">
        <f t="shared" ref="C38:M38" si="7">-C34</f>
        <v>-867732</v>
      </c>
      <c r="D38" s="7">
        <f t="shared" si="7"/>
        <v>-902951</v>
      </c>
      <c r="E38" s="7">
        <f t="shared" si="7"/>
        <v>-1194134</v>
      </c>
      <c r="F38" s="7">
        <f t="shared" si="7"/>
        <v>-795347</v>
      </c>
      <c r="G38" s="7">
        <f t="shared" si="7"/>
        <v>-797369</v>
      </c>
      <c r="H38" s="7">
        <f t="shared" si="7"/>
        <v>-967238</v>
      </c>
      <c r="I38" s="7">
        <f t="shared" si="7"/>
        <v>-996730</v>
      </c>
      <c r="J38" s="7">
        <f t="shared" si="7"/>
        <v>-961151</v>
      </c>
      <c r="K38" s="7">
        <f t="shared" si="7"/>
        <v>-1073270</v>
      </c>
      <c r="L38" s="7">
        <f t="shared" si="7"/>
        <v>-887222</v>
      </c>
      <c r="M38" s="7">
        <f t="shared" si="7"/>
        <v>-691656</v>
      </c>
      <c r="N38" s="7">
        <f>SUM(B38:M38)</f>
        <v>-10877837</v>
      </c>
      <c r="O38" s="29"/>
    </row>
    <row r="39" spans="1:16" s="6" customFormat="1" hidden="1">
      <c r="A39" s="6" t="s">
        <v>47</v>
      </c>
      <c r="B39" s="72">
        <v>-79744</v>
      </c>
      <c r="C39" s="72">
        <v>-79744</v>
      </c>
      <c r="D39" s="72">
        <v>79744</v>
      </c>
      <c r="E39" s="72">
        <v>-73419</v>
      </c>
      <c r="F39" s="72">
        <v>73419</v>
      </c>
      <c r="G39" s="72">
        <v>-73419</v>
      </c>
      <c r="H39" s="72">
        <v>-73419</v>
      </c>
      <c r="I39" s="72">
        <v>-77993</v>
      </c>
      <c r="J39" s="72">
        <v>-81832</v>
      </c>
      <c r="K39" s="72">
        <v>-82780</v>
      </c>
      <c r="L39" s="72">
        <v>-82780</v>
      </c>
      <c r="M39" s="72">
        <v>-81945</v>
      </c>
      <c r="N39" s="7">
        <f>SUM(B39:M39)</f>
        <v>-633912</v>
      </c>
      <c r="O39" s="29"/>
    </row>
    <row r="40" spans="1:16" s="6" customFormat="1" hidden="1">
      <c r="A40" s="6" t="s">
        <v>78</v>
      </c>
      <c r="B40" s="53"/>
      <c r="C40" s="53"/>
      <c r="D40" s="53"/>
      <c r="E40" s="53"/>
      <c r="F40" s="53"/>
      <c r="G40" s="53"/>
      <c r="H40" s="53"/>
      <c r="I40" s="53"/>
      <c r="J40" s="53"/>
      <c r="K40" s="53"/>
      <c r="L40" s="53"/>
      <c r="M40" s="53"/>
      <c r="N40" s="7">
        <f>SUM(B40:M40)</f>
        <v>0</v>
      </c>
      <c r="O40" s="29"/>
    </row>
    <row r="41" spans="1:16" s="6" customFormat="1" hidden="1">
      <c r="A41" s="6" t="s">
        <v>48</v>
      </c>
      <c r="B41" s="60">
        <v>-10000</v>
      </c>
      <c r="C41" s="60">
        <v>-10000</v>
      </c>
      <c r="D41" s="60">
        <v>-10000</v>
      </c>
      <c r="E41" s="60">
        <v>-10000</v>
      </c>
      <c r="F41" s="60">
        <v>-10000</v>
      </c>
      <c r="G41" s="60">
        <v>-10000</v>
      </c>
      <c r="H41" s="60">
        <v>-10000</v>
      </c>
      <c r="I41" s="60">
        <v>-10000</v>
      </c>
      <c r="J41" s="60">
        <v>-10300</v>
      </c>
      <c r="K41" s="60">
        <v>-10300</v>
      </c>
      <c r="L41" s="60">
        <v>-10300</v>
      </c>
      <c r="M41" s="60">
        <v>-10000</v>
      </c>
      <c r="N41" s="15">
        <f>SUM(B41:M41)</f>
        <v>-120900</v>
      </c>
      <c r="O41" s="29"/>
    </row>
    <row r="42" spans="1:16" s="6" customFormat="1">
      <c r="A42" s="13" t="s">
        <v>49</v>
      </c>
      <c r="B42" s="12">
        <f t="shared" ref="B42:N42" si="8">SUM(B37:B41)</f>
        <v>459605</v>
      </c>
      <c r="C42" s="12">
        <f t="shared" si="8"/>
        <v>405756</v>
      </c>
      <c r="D42" s="12">
        <f t="shared" si="8"/>
        <v>649686</v>
      </c>
      <c r="E42" s="12">
        <f t="shared" si="8"/>
        <v>482098</v>
      </c>
      <c r="F42" s="12">
        <f t="shared" si="8"/>
        <v>623238</v>
      </c>
      <c r="G42" s="12">
        <f t="shared" si="8"/>
        <v>450411</v>
      </c>
      <c r="H42" s="12">
        <f t="shared" si="8"/>
        <v>419308</v>
      </c>
      <c r="I42" s="12">
        <f t="shared" si="8"/>
        <v>506356</v>
      </c>
      <c r="J42" s="12">
        <f t="shared" si="8"/>
        <v>492078</v>
      </c>
      <c r="K42" s="12">
        <f t="shared" si="8"/>
        <v>532686</v>
      </c>
      <c r="L42" s="12">
        <f t="shared" si="8"/>
        <v>449472</v>
      </c>
      <c r="M42" s="12">
        <f t="shared" si="8"/>
        <v>347805</v>
      </c>
      <c r="N42" s="12">
        <f t="shared" si="8"/>
        <v>5818499</v>
      </c>
      <c r="O42" s="29"/>
    </row>
    <row r="43" spans="1:16">
      <c r="A43" s="1"/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2"/>
      <c r="N43" s="12"/>
      <c r="O43" s="6"/>
    </row>
    <row r="44" spans="1:16" hidden="1">
      <c r="A44" s="13" t="s">
        <v>50</v>
      </c>
      <c r="B44" s="53">
        <v>341767</v>
      </c>
      <c r="C44" s="53">
        <v>270679</v>
      </c>
      <c r="D44" s="53">
        <v>279225</v>
      </c>
      <c r="E44" s="53">
        <v>369606</v>
      </c>
      <c r="F44" s="53">
        <v>415556</v>
      </c>
      <c r="G44" s="53">
        <v>301819</v>
      </c>
      <c r="H44" s="53">
        <v>303493</v>
      </c>
      <c r="I44" s="53">
        <v>379392</v>
      </c>
      <c r="J44" s="53">
        <v>400807</v>
      </c>
      <c r="K44" s="53">
        <v>352963</v>
      </c>
      <c r="L44" s="53">
        <v>301088</v>
      </c>
      <c r="M44" s="53">
        <f>743355-270</f>
        <v>743085</v>
      </c>
      <c r="N44" s="12">
        <f>SUM(B44:M44)</f>
        <v>4459480</v>
      </c>
      <c r="O44" s="29"/>
      <c r="P44" s="25"/>
    </row>
    <row r="45" spans="1:16" hidden="1">
      <c r="A45" s="6" t="s">
        <v>107</v>
      </c>
      <c r="B45" s="22"/>
      <c r="C45" s="22"/>
      <c r="D45" s="22"/>
      <c r="E45" s="22"/>
      <c r="F45" s="22"/>
      <c r="G45" s="22"/>
      <c r="H45" s="22"/>
      <c r="I45" s="22"/>
      <c r="J45" s="22"/>
      <c r="K45" s="22"/>
      <c r="L45" s="22"/>
      <c r="M45" s="22"/>
      <c r="N45" s="22">
        <f>SUM(B45:M45)</f>
        <v>0</v>
      </c>
      <c r="O45" s="29"/>
    </row>
    <row r="46" spans="1:16">
      <c r="A46" s="1" t="s">
        <v>50</v>
      </c>
      <c r="B46" s="12">
        <f>SUM(B44:B45)</f>
        <v>341767</v>
      </c>
      <c r="C46" s="12">
        <f>SUM(C44:C45)</f>
        <v>270679</v>
      </c>
      <c r="D46" s="12">
        <f t="shared" ref="D46:N46" si="9">SUM(D44:D45)</f>
        <v>279225</v>
      </c>
      <c r="E46" s="12">
        <f t="shared" si="9"/>
        <v>369606</v>
      </c>
      <c r="F46" s="12">
        <f t="shared" si="9"/>
        <v>415556</v>
      </c>
      <c r="G46" s="12">
        <f t="shared" si="9"/>
        <v>301819</v>
      </c>
      <c r="H46" s="12">
        <f t="shared" si="9"/>
        <v>303493</v>
      </c>
      <c r="I46" s="12">
        <f t="shared" si="9"/>
        <v>379392</v>
      </c>
      <c r="J46" s="12">
        <f t="shared" si="9"/>
        <v>400807</v>
      </c>
      <c r="K46" s="12">
        <f t="shared" si="9"/>
        <v>352963</v>
      </c>
      <c r="L46" s="12">
        <f t="shared" si="9"/>
        <v>301088</v>
      </c>
      <c r="M46" s="12">
        <f t="shared" si="9"/>
        <v>743085</v>
      </c>
      <c r="N46" s="12">
        <f t="shared" si="9"/>
        <v>4459480</v>
      </c>
      <c r="O46" s="29"/>
    </row>
    <row r="47" spans="1:16">
      <c r="B47" s="7"/>
      <c r="C47" s="7"/>
      <c r="D47" s="7"/>
      <c r="E47" s="7"/>
      <c r="F47" s="7"/>
      <c r="G47" s="7"/>
      <c r="H47" s="7"/>
      <c r="I47" s="7"/>
      <c r="J47" s="7"/>
      <c r="K47" s="6"/>
      <c r="L47" s="6"/>
      <c r="M47" s="6"/>
      <c r="N47" s="6"/>
      <c r="O47" s="6"/>
    </row>
    <row r="48" spans="1:16">
      <c r="A48" s="13" t="s">
        <v>52</v>
      </c>
      <c r="B48" s="19">
        <f t="shared" ref="B48:N48" si="10">+B20+B34+B42+B46</f>
        <v>2352916</v>
      </c>
      <c r="C48" s="19">
        <f t="shared" si="10"/>
        <v>4206862</v>
      </c>
      <c r="D48" s="19">
        <f t="shared" si="10"/>
        <v>3452854</v>
      </c>
      <c r="E48" s="19">
        <f t="shared" si="10"/>
        <v>3320425</v>
      </c>
      <c r="F48" s="19">
        <f t="shared" si="10"/>
        <v>2648664</v>
      </c>
      <c r="G48" s="19">
        <f t="shared" si="10"/>
        <v>2415926</v>
      </c>
      <c r="H48" s="19">
        <f t="shared" si="10"/>
        <v>3986081</v>
      </c>
      <c r="I48" s="19">
        <f t="shared" si="10"/>
        <v>3087853</v>
      </c>
      <c r="J48" s="19">
        <f t="shared" si="10"/>
        <v>2970730</v>
      </c>
      <c r="K48" s="19">
        <f t="shared" si="10"/>
        <v>3290954</v>
      </c>
      <c r="L48" s="19">
        <f t="shared" si="10"/>
        <v>2704675</v>
      </c>
      <c r="M48" s="19">
        <f t="shared" si="10"/>
        <v>2556604</v>
      </c>
      <c r="N48" s="19">
        <f t="shared" si="10"/>
        <v>36994544</v>
      </c>
      <c r="O48" s="29"/>
    </row>
    <row r="49" spans="1:26">
      <c r="B49" s="7"/>
      <c r="C49" s="7"/>
      <c r="D49" s="7"/>
      <c r="E49" s="7"/>
      <c r="F49" s="7"/>
      <c r="G49" s="7"/>
      <c r="H49" s="7"/>
      <c r="I49" s="7"/>
      <c r="J49" s="7"/>
      <c r="K49" s="6"/>
      <c r="L49" s="6"/>
      <c r="M49" s="6"/>
      <c r="N49" s="6"/>
      <c r="O49" s="6"/>
    </row>
    <row r="50" spans="1:26">
      <c r="A50" s="1" t="s">
        <v>53</v>
      </c>
      <c r="B50" s="12">
        <f t="shared" ref="B50:M50" si="11">+B13-B48</f>
        <v>-588491</v>
      </c>
      <c r="C50" s="12">
        <f t="shared" si="11"/>
        <v>220222</v>
      </c>
      <c r="D50" s="12">
        <f t="shared" si="11"/>
        <v>906888</v>
      </c>
      <c r="E50" s="12">
        <f t="shared" si="11"/>
        <v>531272</v>
      </c>
      <c r="F50" s="12">
        <f t="shared" si="11"/>
        <v>-300822</v>
      </c>
      <c r="G50" s="12">
        <f t="shared" si="11"/>
        <v>62222</v>
      </c>
      <c r="H50" s="12">
        <f t="shared" si="11"/>
        <v>212557</v>
      </c>
      <c r="I50" s="12">
        <f t="shared" si="11"/>
        <v>259493</v>
      </c>
      <c r="J50" s="12">
        <f t="shared" si="11"/>
        <v>335342</v>
      </c>
      <c r="K50" s="12">
        <f t="shared" si="11"/>
        <v>333443</v>
      </c>
      <c r="L50" s="12">
        <f t="shared" si="11"/>
        <v>75221</v>
      </c>
      <c r="M50" s="12">
        <f t="shared" si="11"/>
        <v>-843855</v>
      </c>
      <c r="N50" s="12">
        <f>SUM(B50:M50)</f>
        <v>1203492</v>
      </c>
      <c r="O50" s="7">
        <f>+N50+N39+N41</f>
        <v>448680</v>
      </c>
    </row>
    <row r="51" spans="1:26" ht="7.5" customHeight="1">
      <c r="B51" s="7"/>
      <c r="C51" s="7"/>
      <c r="D51" s="7"/>
      <c r="E51" s="7"/>
      <c r="F51" s="7"/>
      <c r="G51" s="7"/>
      <c r="H51" s="7"/>
      <c r="I51" s="7"/>
      <c r="J51" s="7"/>
      <c r="K51" s="6"/>
      <c r="L51" s="6"/>
      <c r="M51" s="6"/>
      <c r="N51" s="6"/>
      <c r="O51" s="6"/>
    </row>
    <row r="52" spans="1:26">
      <c r="A52" s="1" t="s">
        <v>54</v>
      </c>
      <c r="B52" s="7"/>
      <c r="C52" s="7"/>
      <c r="D52" s="7"/>
      <c r="E52" s="7"/>
      <c r="F52" s="7"/>
      <c r="G52" s="7"/>
      <c r="H52" s="7"/>
      <c r="I52" s="7"/>
      <c r="J52" s="7"/>
      <c r="K52" s="6"/>
      <c r="L52" s="6"/>
      <c r="M52" s="6"/>
      <c r="N52" s="6"/>
      <c r="O52" s="6"/>
    </row>
    <row r="53" spans="1:26" s="6" customFormat="1">
      <c r="A53" s="6" t="s">
        <v>55</v>
      </c>
      <c r="B53" s="10">
        <v>21640</v>
      </c>
      <c r="C53" s="10">
        <v>45767</v>
      </c>
      <c r="D53" s="10">
        <v>849</v>
      </c>
      <c r="E53" s="10">
        <v>0</v>
      </c>
      <c r="F53" s="10">
        <v>6800</v>
      </c>
      <c r="G53" s="10">
        <v>30969</v>
      </c>
      <c r="H53" s="23">
        <v>110259</v>
      </c>
      <c r="I53" s="10">
        <v>168478</v>
      </c>
      <c r="J53" s="10">
        <v>50000</v>
      </c>
      <c r="K53" s="10">
        <v>10000</v>
      </c>
      <c r="L53" s="10">
        <v>10000</v>
      </c>
      <c r="M53" s="10">
        <v>265725</v>
      </c>
      <c r="N53" s="10">
        <f>SUM(B53:M53)</f>
        <v>720487</v>
      </c>
      <c r="O53" s="10">
        <v>930725</v>
      </c>
      <c r="P53" s="40">
        <f>+O53-N53</f>
        <v>210238</v>
      </c>
      <c r="Z53" s="40">
        <f>N53-P53+O53-N53</f>
        <v>720487</v>
      </c>
    </row>
    <row r="54" spans="1:26" s="6" customFormat="1">
      <c r="A54" s="6" t="s">
        <v>96</v>
      </c>
      <c r="B54" s="10"/>
      <c r="C54" s="10"/>
      <c r="D54" s="10"/>
      <c r="E54" s="10"/>
      <c r="F54" s="10">
        <v>90000</v>
      </c>
      <c r="G54" s="10"/>
      <c r="H54" s="10"/>
      <c r="I54" s="10"/>
      <c r="J54" s="10"/>
      <c r="K54" s="10"/>
      <c r="L54" s="10"/>
      <c r="M54" s="10"/>
      <c r="N54" s="10">
        <f>SUM(B54:M54)</f>
        <v>90000</v>
      </c>
    </row>
    <row r="55" spans="1:26" s="6" customFormat="1">
      <c r="A55" s="6" t="s">
        <v>111</v>
      </c>
      <c r="B55" s="10">
        <v>348240</v>
      </c>
      <c r="C55" s="10"/>
      <c r="D55" s="10"/>
      <c r="E55" s="10"/>
      <c r="F55" s="10"/>
      <c r="G55" s="10"/>
      <c r="H55" s="10"/>
      <c r="I55" s="10"/>
      <c r="J55" s="10"/>
      <c r="K55" s="10"/>
      <c r="L55" s="10">
        <v>0</v>
      </c>
      <c r="M55" s="56"/>
      <c r="N55" s="10">
        <f>SUM(B55:M55)</f>
        <v>348240</v>
      </c>
    </row>
    <row r="56" spans="1:26" s="6" customFormat="1">
      <c r="A56" s="37" t="s">
        <v>58</v>
      </c>
      <c r="B56" s="7">
        <v>-15538.11</v>
      </c>
      <c r="C56" s="7">
        <v>-13830</v>
      </c>
      <c r="D56" s="7">
        <v>-11781</v>
      </c>
      <c r="E56" s="7">
        <v>-16823</v>
      </c>
      <c r="F56" s="7">
        <v>-11637</v>
      </c>
      <c r="G56" s="7">
        <v>-235725</v>
      </c>
      <c r="H56" s="7">
        <v>-12112</v>
      </c>
      <c r="I56" s="7">
        <v>-10838</v>
      </c>
      <c r="J56" s="7">
        <v>-25000</v>
      </c>
      <c r="K56" s="7">
        <v>-20000</v>
      </c>
      <c r="L56" s="7">
        <v>-20000</v>
      </c>
      <c r="M56" s="7">
        <v>-25000</v>
      </c>
      <c r="N56" s="7">
        <f>SUM(B56:M56)</f>
        <v>-418284.11</v>
      </c>
      <c r="O56" s="7">
        <v>412620</v>
      </c>
    </row>
    <row r="57" spans="1:26" s="6" customFormat="1">
      <c r="A57" s="6" t="s">
        <v>59</v>
      </c>
      <c r="B57" s="22">
        <v>-171741</v>
      </c>
      <c r="C57" s="22">
        <v>17619</v>
      </c>
      <c r="D57" s="22">
        <v>-544</v>
      </c>
      <c r="E57" s="22">
        <v>666189</v>
      </c>
      <c r="F57" s="22">
        <v>-73191</v>
      </c>
      <c r="G57" s="22">
        <v>752472</v>
      </c>
      <c r="H57" s="22">
        <v>-562011</v>
      </c>
      <c r="I57" s="22">
        <v>-225136</v>
      </c>
      <c r="J57" s="22">
        <v>-25000</v>
      </c>
      <c r="K57" s="22">
        <v>-25000</v>
      </c>
      <c r="L57" s="22">
        <v>-25000</v>
      </c>
      <c r="M57" s="22">
        <v>-25000</v>
      </c>
      <c r="N57" s="22">
        <f>SUM(B57:M57)</f>
        <v>303657</v>
      </c>
      <c r="O57" s="56">
        <v>306614</v>
      </c>
    </row>
    <row r="58" spans="1:26" s="6" customFormat="1">
      <c r="A58" s="13" t="s">
        <v>60</v>
      </c>
      <c r="B58" s="19">
        <f t="shared" ref="B58:N58" si="12">SUM(B53:B57)</f>
        <v>182600.89</v>
      </c>
      <c r="C58" s="19">
        <f t="shared" si="12"/>
        <v>49556</v>
      </c>
      <c r="D58" s="19">
        <f t="shared" si="12"/>
        <v>-11476</v>
      </c>
      <c r="E58" s="19">
        <f t="shared" si="12"/>
        <v>649366</v>
      </c>
      <c r="F58" s="19">
        <f t="shared" si="12"/>
        <v>11972</v>
      </c>
      <c r="G58" s="19">
        <f t="shared" si="12"/>
        <v>547716</v>
      </c>
      <c r="H58" s="19">
        <f>SUM(H53:H57)</f>
        <v>-463864</v>
      </c>
      <c r="I58" s="19">
        <f t="shared" si="12"/>
        <v>-67496</v>
      </c>
      <c r="J58" s="19">
        <f t="shared" si="12"/>
        <v>0</v>
      </c>
      <c r="K58" s="19">
        <f t="shared" si="12"/>
        <v>-35000</v>
      </c>
      <c r="L58" s="19">
        <f t="shared" si="12"/>
        <v>-35000</v>
      </c>
      <c r="M58" s="19">
        <f t="shared" si="12"/>
        <v>215725</v>
      </c>
      <c r="N58" s="19">
        <f t="shared" si="12"/>
        <v>1044099.89</v>
      </c>
      <c r="O58" s="29"/>
    </row>
    <row r="59" spans="1:26">
      <c r="B59" s="7"/>
      <c r="C59" s="7"/>
      <c r="D59" s="7"/>
      <c r="E59" s="7"/>
      <c r="F59" s="7"/>
      <c r="G59" s="7"/>
      <c r="H59" s="7"/>
      <c r="I59" s="7"/>
      <c r="J59" s="7"/>
      <c r="K59" s="7"/>
      <c r="L59" s="7"/>
      <c r="M59" s="7"/>
      <c r="N59" s="7"/>
      <c r="O59" s="6"/>
    </row>
    <row r="60" spans="1:26">
      <c r="A60" s="1" t="s">
        <v>61</v>
      </c>
      <c r="B60" s="12">
        <v>14357541</v>
      </c>
      <c r="C60" s="7"/>
      <c r="D60" s="7"/>
      <c r="E60" s="7"/>
      <c r="F60" s="7"/>
      <c r="G60" s="7"/>
      <c r="H60" s="7" t="s">
        <v>38</v>
      </c>
      <c r="I60" s="7"/>
      <c r="J60" s="7"/>
      <c r="K60" s="6"/>
      <c r="L60" s="6"/>
      <c r="M60" s="6"/>
      <c r="N60" s="6"/>
      <c r="O60" s="6"/>
    </row>
    <row r="61" spans="1:26">
      <c r="A61" s="13" t="s">
        <v>62</v>
      </c>
      <c r="B61" s="19">
        <f t="shared" ref="B61:N61" si="13">+B58+B48</f>
        <v>2535516.89</v>
      </c>
      <c r="C61" s="19">
        <f t="shared" si="13"/>
        <v>4256418</v>
      </c>
      <c r="D61" s="19">
        <f t="shared" si="13"/>
        <v>3441378</v>
      </c>
      <c r="E61" s="19">
        <f t="shared" si="13"/>
        <v>3969791</v>
      </c>
      <c r="F61" s="19">
        <f t="shared" si="13"/>
        <v>2660636</v>
      </c>
      <c r="G61" s="19">
        <f t="shared" si="13"/>
        <v>2963642</v>
      </c>
      <c r="H61" s="19">
        <f t="shared" si="13"/>
        <v>3522217</v>
      </c>
      <c r="I61" s="19">
        <f t="shared" si="13"/>
        <v>3020357</v>
      </c>
      <c r="J61" s="19">
        <f t="shared" si="13"/>
        <v>2970730</v>
      </c>
      <c r="K61" s="19">
        <f t="shared" si="13"/>
        <v>3255954</v>
      </c>
      <c r="L61" s="19">
        <f t="shared" si="13"/>
        <v>2669675</v>
      </c>
      <c r="M61" s="19">
        <f t="shared" si="13"/>
        <v>2772329</v>
      </c>
      <c r="N61" s="19">
        <f t="shared" si="13"/>
        <v>38038643.890000001</v>
      </c>
      <c r="O61" s="29"/>
    </row>
    <row r="62" spans="1:26" ht="13.5" thickBot="1">
      <c r="A62" s="13" t="s">
        <v>63</v>
      </c>
      <c r="B62" s="30">
        <f t="shared" ref="B62:N62" si="14">+B13-B61</f>
        <v>-771091.89000000013</v>
      </c>
      <c r="C62" s="30">
        <f t="shared" si="14"/>
        <v>170666</v>
      </c>
      <c r="D62" s="30">
        <f t="shared" si="14"/>
        <v>918364</v>
      </c>
      <c r="E62" s="30">
        <f t="shared" si="14"/>
        <v>-118094</v>
      </c>
      <c r="F62" s="30">
        <f t="shared" si="14"/>
        <v>-312794</v>
      </c>
      <c r="G62" s="30">
        <f t="shared" si="14"/>
        <v>-485494</v>
      </c>
      <c r="H62" s="30">
        <f t="shared" si="14"/>
        <v>676421</v>
      </c>
      <c r="I62" s="30">
        <f t="shared" si="14"/>
        <v>326989</v>
      </c>
      <c r="J62" s="14">
        <f t="shared" si="14"/>
        <v>335342</v>
      </c>
      <c r="K62" s="14">
        <f t="shared" si="14"/>
        <v>368443</v>
      </c>
      <c r="L62" s="14">
        <f t="shared" si="14"/>
        <v>110221</v>
      </c>
      <c r="M62" s="14">
        <f t="shared" si="14"/>
        <v>-1059580</v>
      </c>
      <c r="N62" s="14">
        <f t="shared" si="14"/>
        <v>159392.1099999994</v>
      </c>
      <c r="O62" s="29"/>
    </row>
    <row r="63" spans="1:26" s="6" customFormat="1" ht="13.5" thickTop="1">
      <c r="A63" s="13" t="s">
        <v>64</v>
      </c>
      <c r="B63" s="32">
        <f>+B62</f>
        <v>-771091.89000000013</v>
      </c>
      <c r="C63" s="32">
        <f t="shared" ref="C63:M63" si="15">B63+C62</f>
        <v>-600425.89000000013</v>
      </c>
      <c r="D63" s="32">
        <f t="shared" si="15"/>
        <v>317938.10999999987</v>
      </c>
      <c r="E63" s="32">
        <f t="shared" si="15"/>
        <v>199844.10999999987</v>
      </c>
      <c r="F63" s="32">
        <f t="shared" si="15"/>
        <v>-112949.89000000013</v>
      </c>
      <c r="G63" s="32">
        <f t="shared" si="15"/>
        <v>-598443.89000000013</v>
      </c>
      <c r="H63" s="32">
        <f t="shared" si="15"/>
        <v>77977.10999999987</v>
      </c>
      <c r="I63" s="32">
        <f t="shared" si="15"/>
        <v>404966.10999999987</v>
      </c>
      <c r="J63" s="12">
        <f t="shared" si="15"/>
        <v>740308.10999999987</v>
      </c>
      <c r="K63" s="12">
        <f t="shared" si="15"/>
        <v>1108751.1099999999</v>
      </c>
      <c r="L63" s="12">
        <f t="shared" si="15"/>
        <v>1218972.1099999999</v>
      </c>
      <c r="M63" s="12">
        <f t="shared" si="15"/>
        <v>159392.10999999987</v>
      </c>
      <c r="N63" s="12"/>
    </row>
    <row r="64" spans="1:26">
      <c r="A64" s="13" t="s">
        <v>65</v>
      </c>
      <c r="B64" s="12">
        <f t="shared" ref="B64:M64" si="16">+$B$60+B63</f>
        <v>13586449.109999999</v>
      </c>
      <c r="C64" s="12">
        <f t="shared" si="16"/>
        <v>13757115.109999999</v>
      </c>
      <c r="D64" s="12">
        <f t="shared" si="16"/>
        <v>14675479.109999999</v>
      </c>
      <c r="E64" s="12">
        <f t="shared" si="16"/>
        <v>14557385.109999999</v>
      </c>
      <c r="F64" s="12">
        <f t="shared" si="16"/>
        <v>14244591.109999999</v>
      </c>
      <c r="G64" s="12">
        <f t="shared" si="16"/>
        <v>13759097.109999999</v>
      </c>
      <c r="H64" s="12">
        <f t="shared" si="16"/>
        <v>14435518.109999999</v>
      </c>
      <c r="I64" s="12">
        <f t="shared" si="16"/>
        <v>14762507.109999999</v>
      </c>
      <c r="J64" s="12">
        <f t="shared" si="16"/>
        <v>15097849.109999999</v>
      </c>
      <c r="K64" s="12">
        <f t="shared" si="16"/>
        <v>15466292.109999999</v>
      </c>
      <c r="L64" s="12">
        <f t="shared" si="16"/>
        <v>15576513.109999999</v>
      </c>
      <c r="M64" s="12">
        <f t="shared" si="16"/>
        <v>14516933.109999999</v>
      </c>
      <c r="N64" s="12"/>
      <c r="O64" s="6"/>
    </row>
    <row r="65" spans="1:15">
      <c r="A65" s="6"/>
      <c r="B65" s="7"/>
      <c r="C65" s="7"/>
      <c r="D65" s="7"/>
      <c r="E65" s="7"/>
      <c r="F65" s="7"/>
      <c r="G65" s="7"/>
      <c r="H65" s="7"/>
      <c r="I65" s="7"/>
      <c r="J65" s="7"/>
      <c r="K65" s="6"/>
      <c r="L65" s="6"/>
      <c r="M65" s="6"/>
      <c r="N65" s="6"/>
      <c r="O65" s="6"/>
    </row>
    <row r="66" spans="1:15" s="6" customFormat="1">
      <c r="A66" s="17" t="s">
        <v>114</v>
      </c>
      <c r="B66" s="18"/>
      <c r="C66" s="18"/>
      <c r="D66" s="18"/>
      <c r="E66" s="18"/>
      <c r="F66" s="18"/>
      <c r="G66" s="18"/>
      <c r="H66" s="18"/>
      <c r="I66" s="18"/>
      <c r="J66" s="18"/>
      <c r="K66" s="18"/>
      <c r="L66" s="18"/>
      <c r="M66" s="18"/>
      <c r="N66" s="18"/>
    </row>
    <row r="67" spans="1:15" ht="13.5" thickBot="1">
      <c r="A67" s="13" t="s">
        <v>67</v>
      </c>
      <c r="B67" s="14">
        <v>-1440029</v>
      </c>
      <c r="C67" s="14">
        <v>-123812</v>
      </c>
      <c r="D67" s="14">
        <v>1148155</v>
      </c>
      <c r="E67" s="14">
        <v>583156</v>
      </c>
      <c r="F67" s="14">
        <v>-125852</v>
      </c>
      <c r="G67" s="14">
        <v>-37690</v>
      </c>
      <c r="H67" s="14">
        <v>100669</v>
      </c>
      <c r="I67" s="14">
        <v>782418</v>
      </c>
      <c r="J67" s="14">
        <v>335342</v>
      </c>
      <c r="K67" s="14">
        <v>368443</v>
      </c>
      <c r="L67" s="14">
        <v>110221</v>
      </c>
      <c r="M67" s="14">
        <v>-1059580</v>
      </c>
      <c r="N67" s="16"/>
      <c r="O67" s="6"/>
    </row>
    <row r="68" spans="1:15" ht="13.5" thickTop="1">
      <c r="A68" s="13" t="s">
        <v>64</v>
      </c>
      <c r="B68" s="12">
        <f>+B67</f>
        <v>-1440029</v>
      </c>
      <c r="C68" s="12">
        <f>+B68+C67</f>
        <v>-1563841</v>
      </c>
      <c r="D68" s="12">
        <f t="shared" ref="D68:M68" si="17">+C68+D67</f>
        <v>-415686</v>
      </c>
      <c r="E68" s="12">
        <f t="shared" si="17"/>
        <v>167470</v>
      </c>
      <c r="F68" s="12">
        <f t="shared" si="17"/>
        <v>41618</v>
      </c>
      <c r="G68" s="12">
        <f t="shared" si="17"/>
        <v>3928</v>
      </c>
      <c r="H68" s="12">
        <f t="shared" si="17"/>
        <v>104597</v>
      </c>
      <c r="I68" s="12">
        <f t="shared" si="17"/>
        <v>887015</v>
      </c>
      <c r="J68" s="12">
        <f t="shared" si="17"/>
        <v>1222357</v>
      </c>
      <c r="K68" s="12">
        <f t="shared" si="17"/>
        <v>1590800</v>
      </c>
      <c r="L68" s="12">
        <f t="shared" si="17"/>
        <v>1701021</v>
      </c>
      <c r="M68" s="12">
        <f t="shared" si="17"/>
        <v>641441</v>
      </c>
      <c r="N68" s="16"/>
      <c r="O68" s="6"/>
    </row>
    <row r="69" spans="1:15">
      <c r="A69" s="13" t="s">
        <v>65</v>
      </c>
      <c r="B69" s="12">
        <v>12917512</v>
      </c>
      <c r="C69" s="12">
        <v>12793700</v>
      </c>
      <c r="D69" s="12">
        <v>13941855</v>
      </c>
      <c r="E69" s="12">
        <v>14525011</v>
      </c>
      <c r="F69" s="12">
        <v>14399159</v>
      </c>
      <c r="G69" s="12">
        <v>14361469</v>
      </c>
      <c r="H69" s="12">
        <v>14462138</v>
      </c>
      <c r="I69" s="12">
        <v>15244556</v>
      </c>
      <c r="J69" s="12">
        <v>15579898</v>
      </c>
      <c r="K69" s="12">
        <v>15948341</v>
      </c>
      <c r="L69" s="12">
        <v>16058562</v>
      </c>
      <c r="M69" s="12">
        <v>14998982</v>
      </c>
      <c r="N69" s="12"/>
      <c r="O69" s="6"/>
    </row>
    <row r="70" spans="1:15">
      <c r="A70" s="6"/>
      <c r="B70" s="6"/>
      <c r="C70" s="6"/>
      <c r="D70" s="6"/>
      <c r="E70" s="6"/>
      <c r="F70" s="6"/>
      <c r="H70" s="6"/>
      <c r="I70" s="6"/>
      <c r="J70" s="6"/>
      <c r="K70" s="6"/>
      <c r="L70" s="6"/>
      <c r="M70" s="6"/>
      <c r="N70" s="6"/>
      <c r="O70" s="6"/>
    </row>
    <row r="71" spans="1:15">
      <c r="A71" s="24" t="s">
        <v>68</v>
      </c>
      <c r="B71" s="18"/>
      <c r="C71" s="18"/>
      <c r="D71" s="18"/>
      <c r="E71" s="18"/>
      <c r="F71" s="18"/>
      <c r="G71" s="18"/>
      <c r="H71" s="18"/>
      <c r="I71" s="18"/>
      <c r="J71" s="18"/>
      <c r="K71" s="18"/>
      <c r="L71" s="18"/>
      <c r="M71" s="18"/>
      <c r="N71" s="18"/>
      <c r="O71" s="6"/>
    </row>
    <row r="72" spans="1:15">
      <c r="A72" s="13" t="s">
        <v>63</v>
      </c>
      <c r="B72" s="31">
        <f t="shared" ref="B72:N74" si="18">+B62-B67</f>
        <v>668937.10999999987</v>
      </c>
      <c r="C72" s="31">
        <f t="shared" si="18"/>
        <v>294478</v>
      </c>
      <c r="D72" s="31">
        <f t="shared" si="18"/>
        <v>-229791</v>
      </c>
      <c r="E72" s="31">
        <f t="shared" si="18"/>
        <v>-701250</v>
      </c>
      <c r="F72" s="31">
        <f t="shared" si="18"/>
        <v>-186942</v>
      </c>
      <c r="G72" s="31">
        <f t="shared" si="18"/>
        <v>-447804</v>
      </c>
      <c r="H72" s="31">
        <f t="shared" si="18"/>
        <v>575752</v>
      </c>
      <c r="I72" s="31">
        <f t="shared" si="18"/>
        <v>-455429</v>
      </c>
      <c r="J72" s="31">
        <f t="shared" si="18"/>
        <v>0</v>
      </c>
      <c r="K72" s="31">
        <f t="shared" si="18"/>
        <v>0</v>
      </c>
      <c r="L72" s="31">
        <f t="shared" si="18"/>
        <v>0</v>
      </c>
      <c r="M72" s="31">
        <f t="shared" si="18"/>
        <v>0</v>
      </c>
      <c r="N72" s="6"/>
      <c r="O72" s="6"/>
    </row>
    <row r="73" spans="1:15" s="6" customFormat="1">
      <c r="A73" s="13" t="s">
        <v>64</v>
      </c>
      <c r="B73" s="31">
        <f t="shared" si="18"/>
        <v>668937.10999999987</v>
      </c>
      <c r="C73" s="31">
        <f t="shared" si="18"/>
        <v>963415.10999999987</v>
      </c>
      <c r="D73" s="31">
        <f t="shared" si="18"/>
        <v>733624.10999999987</v>
      </c>
      <c r="E73" s="31">
        <f t="shared" si="18"/>
        <v>32374.10999999987</v>
      </c>
      <c r="F73" s="31">
        <f t="shared" si="18"/>
        <v>-154567.89000000013</v>
      </c>
      <c r="G73" s="31">
        <f t="shared" si="18"/>
        <v>-602371.89000000013</v>
      </c>
      <c r="H73" s="31">
        <f t="shared" si="18"/>
        <v>-26619.89000000013</v>
      </c>
      <c r="I73" s="31">
        <f t="shared" si="18"/>
        <v>-482048.89000000013</v>
      </c>
      <c r="J73" s="31">
        <f t="shared" si="18"/>
        <v>-482048.89000000013</v>
      </c>
      <c r="K73" s="31">
        <f t="shared" si="18"/>
        <v>-482048.89000000013</v>
      </c>
      <c r="L73" s="31">
        <f t="shared" si="18"/>
        <v>-482048.89000000013</v>
      </c>
      <c r="M73" s="31">
        <f t="shared" si="18"/>
        <v>-482048.89000000013</v>
      </c>
      <c r="N73" s="16">
        <f t="shared" si="18"/>
        <v>0</v>
      </c>
    </row>
    <row r="74" spans="1:15">
      <c r="A74" s="1" t="s">
        <v>65</v>
      </c>
      <c r="B74" s="16">
        <f t="shared" si="18"/>
        <v>668937.1099999994</v>
      </c>
      <c r="C74" s="16">
        <f t="shared" si="18"/>
        <v>963415.1099999994</v>
      </c>
      <c r="D74" s="16">
        <f t="shared" si="18"/>
        <v>733624.1099999994</v>
      </c>
      <c r="E74" s="16">
        <f t="shared" si="18"/>
        <v>32374.109999999404</v>
      </c>
      <c r="F74" s="16">
        <f t="shared" si="18"/>
        <v>-154567.8900000006</v>
      </c>
      <c r="G74" s="16">
        <f t="shared" si="18"/>
        <v>-602371.8900000006</v>
      </c>
      <c r="H74" s="16">
        <f t="shared" si="18"/>
        <v>-26619.890000000596</v>
      </c>
      <c r="I74" s="16">
        <f t="shared" si="18"/>
        <v>-482048.8900000006</v>
      </c>
      <c r="J74" s="16">
        <f t="shared" si="18"/>
        <v>-482048.8900000006</v>
      </c>
      <c r="K74" s="16">
        <f t="shared" si="18"/>
        <v>-482048.8900000006</v>
      </c>
      <c r="L74" s="16">
        <f t="shared" si="18"/>
        <v>-482048.8900000006</v>
      </c>
      <c r="M74" s="16">
        <f t="shared" si="18"/>
        <v>-482048.8900000006</v>
      </c>
      <c r="N74" s="16"/>
      <c r="O74" s="6"/>
    </row>
    <row r="75" spans="1:15">
      <c r="B75" s="6"/>
      <c r="C75" s="6"/>
      <c r="D75" s="6"/>
      <c r="E75" s="6"/>
      <c r="F75" s="6"/>
      <c r="H75" s="6"/>
      <c r="I75" s="6"/>
      <c r="J75" s="6"/>
      <c r="K75" s="6"/>
      <c r="L75" s="6"/>
      <c r="M75" s="6"/>
      <c r="N75" s="6"/>
    </row>
    <row r="76" spans="1:15">
      <c r="A76" s="1"/>
      <c r="B76" s="4"/>
      <c r="C76" s="8"/>
      <c r="D76" s="8"/>
      <c r="E76" s="8"/>
      <c r="F76" s="8"/>
      <c r="H76" s="20"/>
      <c r="J76" s="6"/>
      <c r="K76" s="6"/>
    </row>
    <row r="77" spans="1:15">
      <c r="A77" s="1"/>
      <c r="B77" s="4"/>
      <c r="C77" s="8"/>
      <c r="D77" s="8"/>
      <c r="E77" s="8"/>
      <c r="F77" s="8"/>
      <c r="H77" s="85">
        <v>12112.349999999999</v>
      </c>
      <c r="I77" s="86"/>
      <c r="J77" s="85">
        <v>562010.51</v>
      </c>
    </row>
    <row r="78" spans="1:15">
      <c r="A78" s="1"/>
      <c r="B78" s="4"/>
      <c r="D78" s="8"/>
      <c r="E78" s="8"/>
      <c r="F78" s="8"/>
      <c r="H78" s="61"/>
      <c r="J78" s="6"/>
    </row>
    <row r="79" spans="1:15">
      <c r="E79" s="6"/>
      <c r="H79" s="20"/>
      <c r="J79" s="6"/>
      <c r="N79" s="25"/>
    </row>
    <row r="80" spans="1:15">
      <c r="A80" t="s">
        <v>69</v>
      </c>
      <c r="B80" t="s">
        <v>69</v>
      </c>
      <c r="C80" t="s">
        <v>69</v>
      </c>
      <c r="D80" t="s">
        <v>69</v>
      </c>
      <c r="E80" s="6" t="s">
        <v>69</v>
      </c>
      <c r="F80" t="s">
        <v>69</v>
      </c>
      <c r="G80" s="6" t="s">
        <v>69</v>
      </c>
      <c r="H80" t="s">
        <v>69</v>
      </c>
      <c r="I80" t="s">
        <v>69</v>
      </c>
      <c r="J80" s="6" t="s">
        <v>69</v>
      </c>
      <c r="K80" t="s">
        <v>69</v>
      </c>
      <c r="L80" t="s">
        <v>69</v>
      </c>
      <c r="M80" t="s">
        <v>69</v>
      </c>
      <c r="N80" t="s">
        <v>69</v>
      </c>
    </row>
    <row r="82" spans="6:8">
      <c r="F82">
        <v>11636.78</v>
      </c>
      <c r="H82">
        <v>73191.26999999999</v>
      </c>
    </row>
    <row r="84" spans="6:8">
      <c r="F84" s="2">
        <f>SUM(B56:F56)</f>
        <v>-69609.11</v>
      </c>
    </row>
    <row r="85" spans="6:8">
      <c r="F85" s="2">
        <f>SUM(B57:F57)</f>
        <v>438332</v>
      </c>
    </row>
  </sheetData>
  <pageMargins left="0.28000000000000003" right="0.25" top="0.99" bottom="0.75" header="0.63" footer="0.23"/>
  <pageSetup scale="60" orientation="landscape" r:id="rId1"/>
  <headerFooter alignWithMargins="0">
    <oddHeader xml:space="preserve">&amp;C&amp;"Arial,Bold"&amp;11 49ER SHOPS, INC.
&amp;UFY2017/2018 OPERATIONAL CASH FLOW </oddHeader>
    <oddFooter xml:space="preserve">&amp;CCash Flow - FY2018/2019
January 2019
</oddFooter>
  </headerFooter>
  <legacyDrawing r:id="rId2"/>
</worksheet>
</file>

<file path=xl/worksheets/sheet3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92D050"/>
    <pageSetUpPr fitToPage="1"/>
  </sheetPr>
  <dimension ref="A1:Z85"/>
  <sheetViews>
    <sheetView showGridLines="0" topLeftCell="A3" zoomScale="80" zoomScaleNormal="80" workbookViewId="0">
      <selection activeCell="A35" sqref="A35:XFD48"/>
    </sheetView>
  </sheetViews>
  <sheetFormatPr defaultRowHeight="12.75"/>
  <cols>
    <col min="1" max="1" width="35.42578125" customWidth="1"/>
    <col min="2" max="2" width="14" customWidth="1"/>
    <col min="3" max="3" width="14.5703125" customWidth="1"/>
    <col min="4" max="4" width="14" customWidth="1"/>
    <col min="5" max="6" width="13.5703125" customWidth="1"/>
    <col min="7" max="7" width="16.5703125" style="6" customWidth="1"/>
    <col min="8" max="8" width="14.140625" customWidth="1"/>
    <col min="9" max="9" width="14.42578125" customWidth="1"/>
    <col min="10" max="10" width="13.85546875" customWidth="1"/>
    <col min="11" max="11" width="15.140625" customWidth="1"/>
    <col min="12" max="12" width="13.5703125" customWidth="1"/>
    <col min="13" max="13" width="14.42578125" customWidth="1"/>
    <col min="14" max="14" width="16.5703125" customWidth="1"/>
    <col min="15" max="15" width="12.42578125" bestFit="1" customWidth="1"/>
    <col min="16" max="16" width="14.140625" customWidth="1"/>
  </cols>
  <sheetData>
    <row r="1" spans="1:15" ht="13.5" thickBot="1">
      <c r="A1" s="46" t="s">
        <v>120</v>
      </c>
      <c r="E1" s="6"/>
      <c r="F1" s="6"/>
      <c r="J1" s="6"/>
      <c r="K1" s="6"/>
      <c r="N1" s="3"/>
    </row>
    <row r="2" spans="1:15">
      <c r="B2" s="45" t="s">
        <v>24</v>
      </c>
      <c r="C2" s="45" t="s">
        <v>24</v>
      </c>
      <c r="D2" s="45" t="s">
        <v>24</v>
      </c>
      <c r="E2" s="45" t="s">
        <v>24</v>
      </c>
      <c r="F2" s="45" t="s">
        <v>24</v>
      </c>
      <c r="G2" s="45" t="s">
        <v>24</v>
      </c>
      <c r="H2" s="45" t="s">
        <v>24</v>
      </c>
      <c r="I2" s="45" t="s">
        <v>24</v>
      </c>
      <c r="J2" s="45" t="s">
        <v>24</v>
      </c>
      <c r="K2" s="45" t="s">
        <v>76</v>
      </c>
      <c r="L2" s="45" t="s">
        <v>76</v>
      </c>
      <c r="M2" s="45" t="s">
        <v>76</v>
      </c>
      <c r="N2" s="28" t="s">
        <v>25</v>
      </c>
    </row>
    <row r="3" spans="1:15" s="5" customFormat="1">
      <c r="B3" s="11">
        <v>43283</v>
      </c>
      <c r="C3" s="11">
        <v>43314</v>
      </c>
      <c r="D3" s="11">
        <v>43345</v>
      </c>
      <c r="E3" s="11">
        <v>43375</v>
      </c>
      <c r="F3" s="11">
        <v>43406</v>
      </c>
      <c r="G3" s="11">
        <v>43436</v>
      </c>
      <c r="H3" s="11">
        <v>43467</v>
      </c>
      <c r="I3" s="11">
        <v>43498</v>
      </c>
      <c r="J3" s="11">
        <v>43526</v>
      </c>
      <c r="K3" s="11">
        <v>43557</v>
      </c>
      <c r="L3" s="11">
        <v>43587</v>
      </c>
      <c r="M3" s="11">
        <v>43618</v>
      </c>
      <c r="N3" s="57" t="s">
        <v>113</v>
      </c>
    </row>
    <row r="4" spans="1:15" hidden="1">
      <c r="A4" s="1" t="s">
        <v>27</v>
      </c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>
        <f>SUM(B4:M4)</f>
        <v>0</v>
      </c>
      <c r="O4" s="29"/>
    </row>
    <row r="5" spans="1:15" s="6" customFormat="1" hidden="1">
      <c r="A5" s="6" t="s">
        <v>28</v>
      </c>
      <c r="B5" s="53">
        <v>1664716</v>
      </c>
      <c r="C5" s="53">
        <v>4334056</v>
      </c>
      <c r="D5" s="53">
        <v>4037246</v>
      </c>
      <c r="E5" s="53">
        <v>3697436</v>
      </c>
      <c r="F5" s="53">
        <v>2202637</v>
      </c>
      <c r="G5" s="53">
        <v>2399169</v>
      </c>
      <c r="H5" s="53">
        <v>4093574</v>
      </c>
      <c r="I5" s="53">
        <v>3274668</v>
      </c>
      <c r="J5" s="53">
        <v>3150136</v>
      </c>
      <c r="K5" s="53">
        <v>3507287</v>
      </c>
      <c r="L5" s="53">
        <v>2668320</v>
      </c>
      <c r="M5" s="53">
        <v>1617618</v>
      </c>
      <c r="N5" s="12">
        <f>SUM(B5:M5)</f>
        <v>36646863</v>
      </c>
      <c r="O5" s="29"/>
    </row>
    <row r="6" spans="1:15" s="6" customFormat="1" hidden="1">
      <c r="A6" s="6" t="s">
        <v>29</v>
      </c>
      <c r="B6" s="53">
        <v>98799</v>
      </c>
      <c r="C6" s="53">
        <v>92990</v>
      </c>
      <c r="D6" s="53">
        <v>321611</v>
      </c>
      <c r="E6" s="53">
        <v>154261</v>
      </c>
      <c r="F6" s="53">
        <v>145205</v>
      </c>
      <c r="G6" s="53">
        <v>58506</v>
      </c>
      <c r="H6" s="53">
        <v>100712</v>
      </c>
      <c r="I6" s="53">
        <v>72668</v>
      </c>
      <c r="J6" s="53">
        <v>472170</v>
      </c>
      <c r="K6" s="53">
        <v>117110</v>
      </c>
      <c r="L6" s="53">
        <v>111576</v>
      </c>
      <c r="M6" s="53">
        <v>95131</v>
      </c>
      <c r="N6" s="7">
        <f>SUM(B6:M6)</f>
        <v>1840739</v>
      </c>
      <c r="O6" s="29"/>
    </row>
    <row r="7" spans="1:15" s="6" customFormat="1" hidden="1">
      <c r="B7" s="7"/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7">
        <f>SUM(B7:M7)</f>
        <v>0</v>
      </c>
      <c r="O7" s="29"/>
    </row>
    <row r="8" spans="1:15" s="6" customFormat="1" hidden="1">
      <c r="B8" s="15"/>
      <c r="C8" s="15"/>
      <c r="D8" s="15"/>
      <c r="E8" s="15"/>
      <c r="F8" s="15"/>
      <c r="G8" s="15"/>
      <c r="H8" s="15"/>
      <c r="I8" s="15"/>
      <c r="J8" s="15"/>
      <c r="K8" s="15"/>
      <c r="L8" s="15"/>
      <c r="M8" s="15"/>
      <c r="N8" s="15">
        <f>SUM(B8:M8)</f>
        <v>0</v>
      </c>
      <c r="O8" s="29"/>
    </row>
    <row r="9" spans="1:15" s="6" customFormat="1">
      <c r="A9" s="13" t="s">
        <v>30</v>
      </c>
      <c r="B9" s="12">
        <f t="shared" ref="B9:N9" si="0">SUM(B5:B8)</f>
        <v>1763515</v>
      </c>
      <c r="C9" s="12">
        <f t="shared" si="0"/>
        <v>4427046</v>
      </c>
      <c r="D9" s="12">
        <f t="shared" si="0"/>
        <v>4358857</v>
      </c>
      <c r="E9" s="12">
        <f t="shared" si="0"/>
        <v>3851697</v>
      </c>
      <c r="F9" s="12">
        <f t="shared" si="0"/>
        <v>2347842</v>
      </c>
      <c r="G9" s="12">
        <f t="shared" si="0"/>
        <v>2457675</v>
      </c>
      <c r="H9" s="12">
        <f t="shared" si="0"/>
        <v>4194286</v>
      </c>
      <c r="I9" s="12">
        <f t="shared" si="0"/>
        <v>3347336</v>
      </c>
      <c r="J9" s="12">
        <f t="shared" si="0"/>
        <v>3622306</v>
      </c>
      <c r="K9" s="12">
        <f t="shared" si="0"/>
        <v>3624397</v>
      </c>
      <c r="L9" s="12">
        <f t="shared" si="0"/>
        <v>2779896</v>
      </c>
      <c r="M9" s="12">
        <f t="shared" si="0"/>
        <v>1712749</v>
      </c>
      <c r="N9" s="12">
        <f t="shared" si="0"/>
        <v>38487602</v>
      </c>
      <c r="O9" s="29"/>
    </row>
    <row r="10" spans="1:15" s="6" customFormat="1" ht="6.75" customHeight="1"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29"/>
    </row>
    <row r="11" spans="1:15" s="6" customFormat="1">
      <c r="A11" s="13" t="s">
        <v>31</v>
      </c>
      <c r="B11" s="7">
        <v>910</v>
      </c>
      <c r="C11" s="7">
        <v>38</v>
      </c>
      <c r="D11" s="7">
        <v>885</v>
      </c>
      <c r="E11" s="7">
        <v>0</v>
      </c>
      <c r="F11" s="7">
        <v>0</v>
      </c>
      <c r="G11" s="7">
        <v>20473</v>
      </c>
      <c r="H11" s="7">
        <v>4352</v>
      </c>
      <c r="I11" s="7">
        <v>10</v>
      </c>
      <c r="J11" s="7">
        <v>-222</v>
      </c>
      <c r="K11" s="7">
        <v>0</v>
      </c>
      <c r="L11" s="7">
        <v>0</v>
      </c>
      <c r="M11" s="7">
        <v>0</v>
      </c>
      <c r="N11" s="7">
        <f>SUM(B11:M11)</f>
        <v>26446</v>
      </c>
      <c r="O11" s="29"/>
    </row>
    <row r="12" spans="1:15" s="6" customFormat="1" ht="7.5" customHeight="1">
      <c r="B12" s="7"/>
      <c r="C12" s="7"/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  <c r="O12" s="29"/>
    </row>
    <row r="13" spans="1:15" s="6" customFormat="1" ht="13.5" thickBot="1">
      <c r="A13" s="13" t="s">
        <v>32</v>
      </c>
      <c r="B13" s="14">
        <f t="shared" ref="B13:N13" si="1">B9+B11</f>
        <v>1764425</v>
      </c>
      <c r="C13" s="14">
        <f>C9+C11</f>
        <v>4427084</v>
      </c>
      <c r="D13" s="14">
        <f t="shared" si="1"/>
        <v>4359742</v>
      </c>
      <c r="E13" s="14">
        <f t="shared" si="1"/>
        <v>3851697</v>
      </c>
      <c r="F13" s="14">
        <f t="shared" si="1"/>
        <v>2347842</v>
      </c>
      <c r="G13" s="14">
        <f t="shared" si="1"/>
        <v>2478148</v>
      </c>
      <c r="H13" s="14">
        <f t="shared" si="1"/>
        <v>4198638</v>
      </c>
      <c r="I13" s="14">
        <f t="shared" si="1"/>
        <v>3347346</v>
      </c>
      <c r="J13" s="14">
        <f t="shared" si="1"/>
        <v>3622084</v>
      </c>
      <c r="K13" s="14">
        <f t="shared" si="1"/>
        <v>3624397</v>
      </c>
      <c r="L13" s="14">
        <f t="shared" si="1"/>
        <v>2779896</v>
      </c>
      <c r="M13" s="14">
        <f t="shared" si="1"/>
        <v>1712749</v>
      </c>
      <c r="N13" s="14">
        <f t="shared" si="1"/>
        <v>38514048</v>
      </c>
      <c r="O13" s="29"/>
    </row>
    <row r="14" spans="1:15" s="6" customFormat="1" ht="13.5" thickTop="1">
      <c r="B14" s="7"/>
      <c r="C14" s="7"/>
      <c r="D14" s="7"/>
      <c r="E14" s="7"/>
      <c r="F14" s="7"/>
      <c r="G14" s="7"/>
      <c r="H14" s="7"/>
      <c r="I14" s="7"/>
      <c r="J14" s="7"/>
      <c r="K14" s="7"/>
      <c r="L14" s="7"/>
      <c r="M14" s="7"/>
    </row>
    <row r="15" spans="1:15" s="6" customFormat="1" hidden="1">
      <c r="A15" s="13" t="s">
        <v>33</v>
      </c>
      <c r="B15" s="7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</row>
    <row r="16" spans="1:15" s="6" customFormat="1" hidden="1">
      <c r="A16" s="6" t="s">
        <v>34</v>
      </c>
      <c r="B16" s="53">
        <v>808507</v>
      </c>
      <c r="C16" s="53">
        <v>2662695</v>
      </c>
      <c r="D16" s="53">
        <v>1620992</v>
      </c>
      <c r="E16" s="53">
        <v>1274587</v>
      </c>
      <c r="F16" s="53">
        <v>814523</v>
      </c>
      <c r="G16" s="53">
        <v>866327</v>
      </c>
      <c r="H16" s="53">
        <v>2296042</v>
      </c>
      <c r="I16" s="53">
        <v>1205375</v>
      </c>
      <c r="J16" s="53">
        <v>1101253</v>
      </c>
      <c r="K16" s="53">
        <v>1332035</v>
      </c>
      <c r="L16" s="53">
        <v>1066893</v>
      </c>
      <c r="M16" s="53">
        <v>774058</v>
      </c>
      <c r="N16" s="7">
        <f>SUM(B16:M16)</f>
        <v>15823287</v>
      </c>
      <c r="O16" s="29"/>
    </row>
    <row r="17" spans="1:15" s="6" customFormat="1" hidden="1">
      <c r="B17" s="27"/>
      <c r="C17" s="27"/>
      <c r="D17" s="27"/>
      <c r="E17" s="27"/>
      <c r="F17" s="27"/>
      <c r="G17" s="27"/>
      <c r="H17" s="27"/>
      <c r="I17" s="27"/>
      <c r="J17" s="27"/>
      <c r="K17" s="27"/>
      <c r="L17" s="27"/>
      <c r="M17" s="27"/>
      <c r="N17" s="7">
        <f>SUM(B17:M17)</f>
        <v>0</v>
      </c>
    </row>
    <row r="18" spans="1:15" s="6" customFormat="1" hidden="1">
      <c r="B18" s="7"/>
      <c r="C18" s="7"/>
      <c r="D18" s="7"/>
      <c r="E18" s="7"/>
      <c r="F18" s="7"/>
      <c r="G18" s="7"/>
      <c r="H18" s="7"/>
      <c r="I18" s="7"/>
      <c r="J18" s="7"/>
      <c r="K18" s="7"/>
      <c r="L18" s="7"/>
      <c r="M18" s="7"/>
      <c r="N18" s="7">
        <v>0</v>
      </c>
    </row>
    <row r="19" spans="1:15" s="6" customFormat="1" hidden="1">
      <c r="B19" s="15"/>
      <c r="C19" s="15"/>
      <c r="D19" s="15"/>
      <c r="E19" s="15"/>
      <c r="F19" s="15"/>
      <c r="G19" s="15"/>
      <c r="H19" s="15"/>
      <c r="I19" s="15"/>
      <c r="J19" s="15"/>
      <c r="K19" s="15"/>
      <c r="L19" s="15"/>
      <c r="M19" s="15"/>
      <c r="N19" s="15">
        <f>SUM(B19:M19)</f>
        <v>0</v>
      </c>
    </row>
    <row r="20" spans="1:15" s="6" customFormat="1">
      <c r="A20" s="13" t="s">
        <v>35</v>
      </c>
      <c r="B20" s="12">
        <f t="shared" ref="B20:N20" si="2">SUM(B16:B19)</f>
        <v>808507</v>
      </c>
      <c r="C20" s="12">
        <f t="shared" si="2"/>
        <v>2662695</v>
      </c>
      <c r="D20" s="12">
        <f t="shared" si="2"/>
        <v>1620992</v>
      </c>
      <c r="E20" s="12">
        <f t="shared" si="2"/>
        <v>1274587</v>
      </c>
      <c r="F20" s="12">
        <f t="shared" si="2"/>
        <v>814523</v>
      </c>
      <c r="G20" s="12">
        <f t="shared" si="2"/>
        <v>866327</v>
      </c>
      <c r="H20" s="12">
        <f t="shared" si="2"/>
        <v>2296042</v>
      </c>
      <c r="I20" s="12">
        <f t="shared" si="2"/>
        <v>1205375</v>
      </c>
      <c r="J20" s="12">
        <f t="shared" si="2"/>
        <v>1101253</v>
      </c>
      <c r="K20" s="12">
        <f t="shared" si="2"/>
        <v>1332035</v>
      </c>
      <c r="L20" s="12">
        <f t="shared" si="2"/>
        <v>1066893</v>
      </c>
      <c r="M20" s="12">
        <f t="shared" si="2"/>
        <v>774058</v>
      </c>
      <c r="N20" s="12">
        <f t="shared" si="2"/>
        <v>15823287</v>
      </c>
      <c r="O20" s="29"/>
    </row>
    <row r="21" spans="1:15" s="6" customFormat="1">
      <c r="B21" s="7"/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</row>
    <row r="22" spans="1:15" s="6" customFormat="1" hidden="1">
      <c r="A22" s="13" t="s">
        <v>36</v>
      </c>
      <c r="B22" s="7"/>
      <c r="C22" s="7"/>
      <c r="D22" s="7"/>
      <c r="E22" s="7"/>
      <c r="F22" s="7"/>
      <c r="G22" s="7"/>
      <c r="H22" s="7"/>
      <c r="I22" s="7"/>
      <c r="J22" s="7"/>
      <c r="K22" s="7"/>
      <c r="L22" s="7"/>
      <c r="M22" s="7"/>
    </row>
    <row r="23" spans="1:15" s="6" customFormat="1" hidden="1">
      <c r="A23" s="6" t="s">
        <v>37</v>
      </c>
      <c r="B23" s="7">
        <f t="shared" ref="B23:M26" si="3">+B5-B16</f>
        <v>856209</v>
      </c>
      <c r="C23" s="7">
        <f t="shared" si="3"/>
        <v>1671361</v>
      </c>
      <c r="D23" s="7">
        <f t="shared" si="3"/>
        <v>2416254</v>
      </c>
      <c r="E23" s="7">
        <f t="shared" si="3"/>
        <v>2422849</v>
      </c>
      <c r="F23" s="7">
        <f t="shared" si="3"/>
        <v>1388114</v>
      </c>
      <c r="G23" s="7">
        <f t="shared" si="3"/>
        <v>1532842</v>
      </c>
      <c r="H23" s="7">
        <f t="shared" si="3"/>
        <v>1797532</v>
      </c>
      <c r="I23" s="7">
        <f t="shared" si="3"/>
        <v>2069293</v>
      </c>
      <c r="J23" s="7">
        <f t="shared" si="3"/>
        <v>2048883</v>
      </c>
      <c r="K23" s="7">
        <f t="shared" si="3"/>
        <v>2175252</v>
      </c>
      <c r="L23" s="7">
        <f t="shared" si="3"/>
        <v>1601427</v>
      </c>
      <c r="M23" s="7">
        <f t="shared" si="3"/>
        <v>843560</v>
      </c>
      <c r="N23" s="7">
        <f>SUM(B23:M23)</f>
        <v>20823576</v>
      </c>
      <c r="O23" s="29"/>
    </row>
    <row r="24" spans="1:15" s="6" customFormat="1" hidden="1">
      <c r="A24" s="6" t="s">
        <v>37</v>
      </c>
      <c r="B24" s="7">
        <f t="shared" si="3"/>
        <v>98799</v>
      </c>
      <c r="C24" s="7">
        <f t="shared" si="3"/>
        <v>92990</v>
      </c>
      <c r="D24" s="7">
        <f t="shared" si="3"/>
        <v>321611</v>
      </c>
      <c r="E24" s="7">
        <f t="shared" si="3"/>
        <v>154261</v>
      </c>
      <c r="F24" s="7">
        <f t="shared" si="3"/>
        <v>145205</v>
      </c>
      <c r="G24" s="7">
        <f t="shared" si="3"/>
        <v>58506</v>
      </c>
      <c r="H24" s="7">
        <f t="shared" si="3"/>
        <v>100712</v>
      </c>
      <c r="I24" s="7">
        <f t="shared" si="3"/>
        <v>72668</v>
      </c>
      <c r="J24" s="7">
        <f t="shared" si="3"/>
        <v>472170</v>
      </c>
      <c r="K24" s="7">
        <f t="shared" si="3"/>
        <v>117110</v>
      </c>
      <c r="L24" s="7">
        <f t="shared" si="3"/>
        <v>111576</v>
      </c>
      <c r="M24" s="7">
        <f t="shared" si="3"/>
        <v>95131</v>
      </c>
      <c r="N24" s="7">
        <f>SUM(B24:M24)</f>
        <v>1840739</v>
      </c>
      <c r="O24" s="29"/>
    </row>
    <row r="25" spans="1:15" s="6" customFormat="1" hidden="1">
      <c r="A25" s="6" t="s">
        <v>38</v>
      </c>
      <c r="B25" s="7">
        <f t="shared" si="3"/>
        <v>0</v>
      </c>
      <c r="C25" s="7">
        <f t="shared" si="3"/>
        <v>0</v>
      </c>
      <c r="D25" s="7">
        <f t="shared" si="3"/>
        <v>0</v>
      </c>
      <c r="E25" s="7">
        <f t="shared" si="3"/>
        <v>0</v>
      </c>
      <c r="F25" s="7">
        <f t="shared" si="3"/>
        <v>0</v>
      </c>
      <c r="G25" s="7">
        <f t="shared" si="3"/>
        <v>0</v>
      </c>
      <c r="H25" s="7">
        <f t="shared" si="3"/>
        <v>0</v>
      </c>
      <c r="I25" s="7">
        <f t="shared" si="3"/>
        <v>0</v>
      </c>
      <c r="J25" s="7">
        <f t="shared" si="3"/>
        <v>0</v>
      </c>
      <c r="K25" s="7">
        <f t="shared" si="3"/>
        <v>0</v>
      </c>
      <c r="L25" s="7">
        <f t="shared" si="3"/>
        <v>0</v>
      </c>
      <c r="M25" s="7">
        <f t="shared" si="3"/>
        <v>0</v>
      </c>
      <c r="N25" s="7">
        <f>SUM(B25:M25)</f>
        <v>0</v>
      </c>
      <c r="O25" s="29"/>
    </row>
    <row r="26" spans="1:15" s="6" customFormat="1" hidden="1">
      <c r="A26" s="6" t="s">
        <v>38</v>
      </c>
      <c r="B26" s="15">
        <f t="shared" si="3"/>
        <v>0</v>
      </c>
      <c r="C26" s="15">
        <f t="shared" si="3"/>
        <v>0</v>
      </c>
      <c r="D26" s="15">
        <f t="shared" si="3"/>
        <v>0</v>
      </c>
      <c r="E26" s="15">
        <f t="shared" si="3"/>
        <v>0</v>
      </c>
      <c r="F26" s="15">
        <f t="shared" si="3"/>
        <v>0</v>
      </c>
      <c r="G26" s="15">
        <f t="shared" si="3"/>
        <v>0</v>
      </c>
      <c r="H26" s="15">
        <f t="shared" si="3"/>
        <v>0</v>
      </c>
      <c r="I26" s="15">
        <f t="shared" si="3"/>
        <v>0</v>
      </c>
      <c r="J26" s="15">
        <f t="shared" si="3"/>
        <v>0</v>
      </c>
      <c r="K26" s="15">
        <f t="shared" si="3"/>
        <v>0</v>
      </c>
      <c r="L26" s="15">
        <f t="shared" si="3"/>
        <v>0</v>
      </c>
      <c r="M26" s="15">
        <f t="shared" si="3"/>
        <v>0</v>
      </c>
      <c r="N26" s="15">
        <f>SUM(B26:M26)</f>
        <v>0</v>
      </c>
      <c r="O26" s="29"/>
    </row>
    <row r="27" spans="1:15" s="6" customFormat="1">
      <c r="A27" s="13" t="s">
        <v>39</v>
      </c>
      <c r="B27" s="12">
        <f t="shared" ref="B27:N27" si="4">SUM(B23:B26)</f>
        <v>955008</v>
      </c>
      <c r="C27" s="12">
        <f t="shared" si="4"/>
        <v>1764351</v>
      </c>
      <c r="D27" s="12">
        <f t="shared" si="4"/>
        <v>2737865</v>
      </c>
      <c r="E27" s="12">
        <f t="shared" si="4"/>
        <v>2577110</v>
      </c>
      <c r="F27" s="12">
        <f t="shared" si="4"/>
        <v>1533319</v>
      </c>
      <c r="G27" s="12">
        <f t="shared" si="4"/>
        <v>1591348</v>
      </c>
      <c r="H27" s="12">
        <f t="shared" si="4"/>
        <v>1898244</v>
      </c>
      <c r="I27" s="12">
        <f t="shared" si="4"/>
        <v>2141961</v>
      </c>
      <c r="J27" s="12">
        <f t="shared" si="4"/>
        <v>2521053</v>
      </c>
      <c r="K27" s="12">
        <f t="shared" si="4"/>
        <v>2292362</v>
      </c>
      <c r="L27" s="12">
        <f t="shared" si="4"/>
        <v>1713003</v>
      </c>
      <c r="M27" s="12">
        <f>SUM(M23:M26)</f>
        <v>938691</v>
      </c>
      <c r="N27" s="12">
        <f t="shared" si="4"/>
        <v>22664315</v>
      </c>
      <c r="O27" s="29"/>
    </row>
    <row r="28" spans="1:15" s="6" customFormat="1" ht="14.45" customHeight="1">
      <c r="B28" s="73">
        <f>+B27/B9</f>
        <v>0.54153664698060411</v>
      </c>
      <c r="C28" s="73">
        <f t="shared" ref="C28:N28" si="5">+C27/C9</f>
        <v>0.39853911615104065</v>
      </c>
      <c r="D28" s="73">
        <f t="shared" si="5"/>
        <v>0.62811535225863113</v>
      </c>
      <c r="E28" s="73">
        <f t="shared" si="5"/>
        <v>0.66908430232180771</v>
      </c>
      <c r="F28" s="73">
        <f t="shared" si="5"/>
        <v>0.65307588841157116</v>
      </c>
      <c r="G28" s="73">
        <f t="shared" si="5"/>
        <v>0.6475013986796464</v>
      </c>
      <c r="H28" s="73">
        <f t="shared" si="5"/>
        <v>0.45257857952461994</v>
      </c>
      <c r="I28" s="73">
        <f t="shared" si="5"/>
        <v>0.63990020720955409</v>
      </c>
      <c r="J28" s="73">
        <f t="shared" si="5"/>
        <v>0.69598012978472834</v>
      </c>
      <c r="K28" s="73">
        <f t="shared" si="5"/>
        <v>0.6324809340698605</v>
      </c>
      <c r="L28" s="73">
        <f t="shared" si="5"/>
        <v>0.61621118200105329</v>
      </c>
      <c r="M28" s="73">
        <f t="shared" si="5"/>
        <v>0.54806104105154929</v>
      </c>
      <c r="N28" s="73">
        <f t="shared" si="5"/>
        <v>0.58887313893965132</v>
      </c>
    </row>
    <row r="29" spans="1:15" s="6" customFormat="1" hidden="1">
      <c r="A29" s="13" t="s">
        <v>40</v>
      </c>
      <c r="B29" s="7"/>
      <c r="C29" s="7"/>
      <c r="D29" s="7"/>
      <c r="E29" s="7"/>
      <c r="F29" s="7"/>
      <c r="G29" s="7"/>
      <c r="H29" s="7"/>
      <c r="I29" s="7"/>
      <c r="J29" s="7"/>
      <c r="K29" s="7"/>
      <c r="L29" s="7"/>
      <c r="M29" s="7"/>
    </row>
    <row r="30" spans="1:15" s="6" customFormat="1" hidden="1">
      <c r="A30" s="6" t="s">
        <v>93</v>
      </c>
      <c r="B30" s="53">
        <v>550190</v>
      </c>
      <c r="C30" s="53">
        <v>644844</v>
      </c>
      <c r="D30" s="53">
        <v>702597</v>
      </c>
      <c r="E30" s="53">
        <v>894957</v>
      </c>
      <c r="F30" s="53">
        <v>586761</v>
      </c>
      <c r="G30" s="53">
        <v>580848</v>
      </c>
      <c r="H30" s="53">
        <v>737164</v>
      </c>
      <c r="I30" s="53">
        <v>782261</v>
      </c>
      <c r="J30" s="53">
        <v>748788</v>
      </c>
      <c r="K30" s="53">
        <v>823718</v>
      </c>
      <c r="L30" s="53">
        <v>672632</v>
      </c>
      <c r="M30" s="53">
        <v>481272</v>
      </c>
      <c r="N30" s="7">
        <f>SUM(B30:M30)</f>
        <v>8206032</v>
      </c>
      <c r="O30" s="29"/>
    </row>
    <row r="31" spans="1:15" s="6" customFormat="1" hidden="1">
      <c r="A31" s="6" t="s">
        <v>42</v>
      </c>
      <c r="B31" s="53">
        <v>192847</v>
      </c>
      <c r="C31" s="53">
        <v>222888</v>
      </c>
      <c r="D31" s="53">
        <v>200354</v>
      </c>
      <c r="E31" s="53">
        <v>299177</v>
      </c>
      <c r="F31" s="53">
        <v>208586</v>
      </c>
      <c r="G31" s="53">
        <v>216521</v>
      </c>
      <c r="H31" s="53">
        <v>230074</v>
      </c>
      <c r="I31" s="53">
        <v>214469</v>
      </c>
      <c r="J31" s="53">
        <v>191874</v>
      </c>
      <c r="K31" s="53">
        <v>249552</v>
      </c>
      <c r="L31" s="53">
        <v>214590</v>
      </c>
      <c r="M31" s="53">
        <v>210384</v>
      </c>
      <c r="N31" s="7">
        <f>SUM(B31:M31)</f>
        <v>2651316</v>
      </c>
      <c r="O31" s="29"/>
    </row>
    <row r="32" spans="1:15" s="6" customFormat="1" ht="15" hidden="1">
      <c r="A32" s="6" t="s">
        <v>38</v>
      </c>
      <c r="B32" s="68"/>
      <c r="C32" s="68"/>
      <c r="D32" s="68"/>
      <c r="E32" s="68"/>
      <c r="F32" s="68"/>
      <c r="G32" s="68"/>
      <c r="H32" s="68"/>
      <c r="I32" s="68"/>
      <c r="J32" s="68"/>
      <c r="K32" s="68"/>
      <c r="L32" s="68"/>
      <c r="M32" s="68"/>
      <c r="N32" s="7">
        <f>SUM(B32:M32)</f>
        <v>0</v>
      </c>
      <c r="O32" s="29"/>
    </row>
    <row r="33" spans="1:16" s="6" customFormat="1" hidden="1">
      <c r="B33" s="15"/>
      <c r="C33" s="15"/>
      <c r="D33" s="15"/>
      <c r="E33" s="15"/>
      <c r="F33" s="15"/>
      <c r="G33" s="15"/>
      <c r="H33" s="15"/>
      <c r="I33" s="15"/>
      <c r="J33" s="15"/>
      <c r="K33" s="15"/>
      <c r="L33" s="15"/>
      <c r="M33" s="15"/>
      <c r="N33" s="15">
        <f>SUM(B33:M33)</f>
        <v>0</v>
      </c>
      <c r="O33" s="29"/>
    </row>
    <row r="34" spans="1:16" s="6" customFormat="1">
      <c r="A34" s="13" t="s">
        <v>43</v>
      </c>
      <c r="B34" s="12">
        <f t="shared" ref="B34:N34" si="6">SUM(B30:B33)</f>
        <v>743037</v>
      </c>
      <c r="C34" s="12">
        <f t="shared" si="6"/>
        <v>867732</v>
      </c>
      <c r="D34" s="12">
        <f t="shared" si="6"/>
        <v>902951</v>
      </c>
      <c r="E34" s="12">
        <f t="shared" si="6"/>
        <v>1194134</v>
      </c>
      <c r="F34" s="12">
        <f t="shared" si="6"/>
        <v>795347</v>
      </c>
      <c r="G34" s="12">
        <f t="shared" si="6"/>
        <v>797369</v>
      </c>
      <c r="H34" s="12">
        <f t="shared" si="6"/>
        <v>967238</v>
      </c>
      <c r="I34" s="12">
        <f t="shared" si="6"/>
        <v>996730</v>
      </c>
      <c r="J34" s="12">
        <f t="shared" si="6"/>
        <v>940662</v>
      </c>
      <c r="K34" s="12">
        <f t="shared" si="6"/>
        <v>1073270</v>
      </c>
      <c r="L34" s="12">
        <f t="shared" si="6"/>
        <v>887222</v>
      </c>
      <c r="M34" s="12">
        <f t="shared" si="6"/>
        <v>691656</v>
      </c>
      <c r="N34" s="12">
        <f t="shared" si="6"/>
        <v>10857348</v>
      </c>
      <c r="O34" s="29"/>
    </row>
    <row r="35" spans="1:16" s="6" customFormat="1">
      <c r="B35" s="7"/>
      <c r="C35" s="7"/>
      <c r="D35" s="7"/>
      <c r="E35" s="7"/>
      <c r="F35" s="7"/>
      <c r="G35" s="7"/>
      <c r="H35" s="7"/>
      <c r="I35" s="7"/>
      <c r="J35" s="7"/>
      <c r="K35" s="7"/>
      <c r="L35" s="7"/>
      <c r="M35" s="7"/>
    </row>
    <row r="36" spans="1:16" s="6" customFormat="1">
      <c r="A36" s="13" t="s">
        <v>44</v>
      </c>
      <c r="B36" s="7"/>
      <c r="C36" s="7"/>
      <c r="D36" s="7"/>
      <c r="E36" s="7"/>
      <c r="F36" s="7"/>
      <c r="G36" s="7"/>
      <c r="H36" s="7"/>
      <c r="I36" s="7"/>
      <c r="J36" s="7"/>
      <c r="K36" s="7"/>
      <c r="L36" s="7"/>
      <c r="M36" s="7"/>
    </row>
    <row r="37" spans="1:16" s="6" customFormat="1">
      <c r="A37" s="6" t="s">
        <v>45</v>
      </c>
      <c r="B37" s="53">
        <v>1292386</v>
      </c>
      <c r="C37" s="53">
        <v>1363232</v>
      </c>
      <c r="D37" s="53">
        <v>1482893</v>
      </c>
      <c r="E37" s="53">
        <v>1759651</v>
      </c>
      <c r="F37" s="53">
        <v>1355166</v>
      </c>
      <c r="G37" s="66">
        <v>1331199</v>
      </c>
      <c r="H37" s="66">
        <v>1469965</v>
      </c>
      <c r="I37" s="66">
        <v>1591079</v>
      </c>
      <c r="J37" s="66">
        <v>1526722</v>
      </c>
      <c r="K37" s="53">
        <v>1699036</v>
      </c>
      <c r="L37" s="53">
        <v>1429774</v>
      </c>
      <c r="M37" s="53">
        <v>1131406</v>
      </c>
      <c r="N37" s="7">
        <f>SUM(B37:M37)</f>
        <v>17432509</v>
      </c>
      <c r="O37" s="29"/>
    </row>
    <row r="38" spans="1:16" s="6" customFormat="1">
      <c r="A38" s="6" t="s">
        <v>46</v>
      </c>
      <c r="B38" s="7">
        <f>-B34</f>
        <v>-743037</v>
      </c>
      <c r="C38" s="7">
        <f t="shared" ref="C38:M38" si="7">-C34</f>
        <v>-867732</v>
      </c>
      <c r="D38" s="7">
        <f t="shared" si="7"/>
        <v>-902951</v>
      </c>
      <c r="E38" s="7">
        <f t="shared" si="7"/>
        <v>-1194134</v>
      </c>
      <c r="F38" s="7">
        <f t="shared" si="7"/>
        <v>-795347</v>
      </c>
      <c r="G38" s="7">
        <f t="shared" si="7"/>
        <v>-797369</v>
      </c>
      <c r="H38" s="7">
        <f t="shared" si="7"/>
        <v>-967238</v>
      </c>
      <c r="I38" s="7">
        <f t="shared" si="7"/>
        <v>-996730</v>
      </c>
      <c r="J38" s="7">
        <f t="shared" si="7"/>
        <v>-940662</v>
      </c>
      <c r="K38" s="7">
        <f t="shared" si="7"/>
        <v>-1073270</v>
      </c>
      <c r="L38" s="7">
        <f t="shared" si="7"/>
        <v>-887222</v>
      </c>
      <c r="M38" s="7">
        <f t="shared" si="7"/>
        <v>-691656</v>
      </c>
      <c r="N38" s="7">
        <f>SUM(B38:M38)</f>
        <v>-10857348</v>
      </c>
      <c r="O38" s="29"/>
    </row>
    <row r="39" spans="1:16" s="6" customFormat="1">
      <c r="A39" s="6" t="s">
        <v>47</v>
      </c>
      <c r="B39" s="72">
        <v>-79744</v>
      </c>
      <c r="C39" s="72">
        <v>-79744</v>
      </c>
      <c r="D39" s="72">
        <v>79744</v>
      </c>
      <c r="E39" s="72">
        <v>-73419</v>
      </c>
      <c r="F39" s="72">
        <v>73419</v>
      </c>
      <c r="G39" s="72">
        <v>-73419</v>
      </c>
      <c r="H39" s="72">
        <v>-73419</v>
      </c>
      <c r="I39" s="72">
        <v>-77993</v>
      </c>
      <c r="J39" s="72">
        <v>-80621</v>
      </c>
      <c r="K39" s="72">
        <v>-82780</v>
      </c>
      <c r="L39" s="72">
        <v>-82780</v>
      </c>
      <c r="M39" s="72">
        <v>-81945</v>
      </c>
      <c r="N39" s="7">
        <f>SUM(B39:M39)</f>
        <v>-632701</v>
      </c>
      <c r="O39" s="29"/>
    </row>
    <row r="40" spans="1:16" s="6" customFormat="1">
      <c r="A40" s="6" t="s">
        <v>78</v>
      </c>
      <c r="B40" s="53"/>
      <c r="C40" s="53"/>
      <c r="D40" s="53"/>
      <c r="E40" s="53"/>
      <c r="F40" s="53"/>
      <c r="G40" s="53"/>
      <c r="H40" s="53"/>
      <c r="I40" s="53"/>
      <c r="J40" s="53"/>
      <c r="K40" s="53"/>
      <c r="L40" s="53"/>
      <c r="M40" s="53"/>
      <c r="N40" s="7">
        <f>SUM(B40:M40)</f>
        <v>0</v>
      </c>
      <c r="O40" s="29"/>
    </row>
    <row r="41" spans="1:16" s="6" customFormat="1">
      <c r="A41" s="6" t="s">
        <v>48</v>
      </c>
      <c r="B41" s="60">
        <v>-10000</v>
      </c>
      <c r="C41" s="60">
        <v>-10000</v>
      </c>
      <c r="D41" s="60">
        <v>-10000</v>
      </c>
      <c r="E41" s="60">
        <v>-10000</v>
      </c>
      <c r="F41" s="60">
        <v>-10000</v>
      </c>
      <c r="G41" s="60">
        <v>-10000</v>
      </c>
      <c r="H41" s="60">
        <v>-10000</v>
      </c>
      <c r="I41" s="60">
        <v>-10000</v>
      </c>
      <c r="J41" s="60">
        <v>-10300</v>
      </c>
      <c r="K41" s="60">
        <v>-10300</v>
      </c>
      <c r="L41" s="60">
        <v>-10300</v>
      </c>
      <c r="M41" s="60">
        <v>-10000</v>
      </c>
      <c r="N41" s="15">
        <f>SUM(B41:M41)</f>
        <v>-120900</v>
      </c>
      <c r="O41" s="29"/>
    </row>
    <row r="42" spans="1:16" s="6" customFormat="1">
      <c r="A42" s="13" t="s">
        <v>49</v>
      </c>
      <c r="B42" s="12">
        <f t="shared" ref="B42:N42" si="8">SUM(B37:B41)</f>
        <v>459605</v>
      </c>
      <c r="C42" s="12">
        <f t="shared" si="8"/>
        <v>405756</v>
      </c>
      <c r="D42" s="12">
        <f t="shared" si="8"/>
        <v>649686</v>
      </c>
      <c r="E42" s="12">
        <f t="shared" si="8"/>
        <v>482098</v>
      </c>
      <c r="F42" s="12">
        <f t="shared" si="8"/>
        <v>623238</v>
      </c>
      <c r="G42" s="12">
        <f t="shared" si="8"/>
        <v>450411</v>
      </c>
      <c r="H42" s="12">
        <f t="shared" si="8"/>
        <v>419308</v>
      </c>
      <c r="I42" s="12">
        <f t="shared" si="8"/>
        <v>506356</v>
      </c>
      <c r="J42" s="12">
        <f t="shared" si="8"/>
        <v>495139</v>
      </c>
      <c r="K42" s="12">
        <f t="shared" si="8"/>
        <v>532686</v>
      </c>
      <c r="L42" s="12">
        <f t="shared" si="8"/>
        <v>449472</v>
      </c>
      <c r="M42" s="12">
        <f t="shared" si="8"/>
        <v>347805</v>
      </c>
      <c r="N42" s="12">
        <f t="shared" si="8"/>
        <v>5821560</v>
      </c>
      <c r="O42" s="29"/>
    </row>
    <row r="43" spans="1:16">
      <c r="A43" s="1"/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2"/>
      <c r="N43" s="12"/>
      <c r="O43" s="6"/>
    </row>
    <row r="44" spans="1:16">
      <c r="A44" s="13" t="s">
        <v>50</v>
      </c>
      <c r="B44" s="53">
        <v>341767</v>
      </c>
      <c r="C44" s="53">
        <v>270679</v>
      </c>
      <c r="D44" s="53">
        <v>279225</v>
      </c>
      <c r="E44" s="53">
        <v>369606</v>
      </c>
      <c r="F44" s="53">
        <v>415556</v>
      </c>
      <c r="G44" s="53">
        <v>301819</v>
      </c>
      <c r="H44" s="53">
        <v>303493</v>
      </c>
      <c r="I44" s="53">
        <v>379392</v>
      </c>
      <c r="J44" s="53">
        <v>328730</v>
      </c>
      <c r="K44" s="53">
        <v>352963</v>
      </c>
      <c r="L44" s="53">
        <v>301088</v>
      </c>
      <c r="M44" s="53">
        <f>743355-270</f>
        <v>743085</v>
      </c>
      <c r="N44" s="12">
        <f>SUM(B44:M44)</f>
        <v>4387403</v>
      </c>
      <c r="O44" s="29"/>
      <c r="P44" s="25"/>
    </row>
    <row r="45" spans="1:16">
      <c r="A45" s="6" t="s">
        <v>107</v>
      </c>
      <c r="B45" s="22"/>
      <c r="C45" s="22"/>
      <c r="D45" s="22"/>
      <c r="E45" s="22"/>
      <c r="F45" s="22"/>
      <c r="G45" s="22"/>
      <c r="H45" s="22"/>
      <c r="I45" s="22"/>
      <c r="J45" s="22"/>
      <c r="K45" s="22"/>
      <c r="L45" s="22"/>
      <c r="M45" s="22"/>
      <c r="N45" s="22">
        <f>SUM(B45:M45)</f>
        <v>0</v>
      </c>
      <c r="O45" s="29"/>
    </row>
    <row r="46" spans="1:16">
      <c r="A46" s="1" t="s">
        <v>50</v>
      </c>
      <c r="B46" s="12">
        <f>SUM(B44:B45)</f>
        <v>341767</v>
      </c>
      <c r="C46" s="12">
        <f>SUM(C44:C45)</f>
        <v>270679</v>
      </c>
      <c r="D46" s="12">
        <f t="shared" ref="D46:N46" si="9">SUM(D44:D45)</f>
        <v>279225</v>
      </c>
      <c r="E46" s="12">
        <f t="shared" si="9"/>
        <v>369606</v>
      </c>
      <c r="F46" s="12">
        <f t="shared" si="9"/>
        <v>415556</v>
      </c>
      <c r="G46" s="12">
        <f t="shared" si="9"/>
        <v>301819</v>
      </c>
      <c r="H46" s="12">
        <f t="shared" si="9"/>
        <v>303493</v>
      </c>
      <c r="I46" s="12">
        <f t="shared" si="9"/>
        <v>379392</v>
      </c>
      <c r="J46" s="12">
        <f t="shared" si="9"/>
        <v>328730</v>
      </c>
      <c r="K46" s="12">
        <f t="shared" si="9"/>
        <v>352963</v>
      </c>
      <c r="L46" s="12">
        <f t="shared" si="9"/>
        <v>301088</v>
      </c>
      <c r="M46" s="12">
        <f t="shared" si="9"/>
        <v>743085</v>
      </c>
      <c r="N46" s="12">
        <f t="shared" si="9"/>
        <v>4387403</v>
      </c>
      <c r="O46" s="29"/>
    </row>
    <row r="47" spans="1:16">
      <c r="B47" s="7"/>
      <c r="C47" s="7"/>
      <c r="D47" s="7"/>
      <c r="E47" s="7"/>
      <c r="F47" s="7"/>
      <c r="G47" s="7"/>
      <c r="H47" s="7"/>
      <c r="I47" s="7"/>
      <c r="J47" s="7"/>
      <c r="K47" s="6"/>
      <c r="L47" s="6"/>
      <c r="M47" s="6"/>
      <c r="N47" s="6"/>
      <c r="O47" s="6"/>
    </row>
    <row r="48" spans="1:16">
      <c r="A48" s="13" t="s">
        <v>52</v>
      </c>
      <c r="B48" s="19">
        <f t="shared" ref="B48:N48" si="10">+B20+B34+B42+B46</f>
        <v>2352916</v>
      </c>
      <c r="C48" s="19">
        <f t="shared" si="10"/>
        <v>4206862</v>
      </c>
      <c r="D48" s="19">
        <f t="shared" si="10"/>
        <v>3452854</v>
      </c>
      <c r="E48" s="19">
        <f t="shared" si="10"/>
        <v>3320425</v>
      </c>
      <c r="F48" s="19">
        <f t="shared" si="10"/>
        <v>2648664</v>
      </c>
      <c r="G48" s="19">
        <f t="shared" si="10"/>
        <v>2415926</v>
      </c>
      <c r="H48" s="19">
        <f t="shared" si="10"/>
        <v>3986081</v>
      </c>
      <c r="I48" s="19">
        <f t="shared" si="10"/>
        <v>3087853</v>
      </c>
      <c r="J48" s="19">
        <f t="shared" si="10"/>
        <v>2865784</v>
      </c>
      <c r="K48" s="19">
        <f t="shared" si="10"/>
        <v>3290954</v>
      </c>
      <c r="L48" s="19">
        <f t="shared" si="10"/>
        <v>2704675</v>
      </c>
      <c r="M48" s="19">
        <f t="shared" si="10"/>
        <v>2556604</v>
      </c>
      <c r="N48" s="19">
        <f t="shared" si="10"/>
        <v>36889598</v>
      </c>
      <c r="O48" s="29"/>
    </row>
    <row r="49" spans="1:26">
      <c r="B49" s="7"/>
      <c r="C49" s="7"/>
      <c r="D49" s="7"/>
      <c r="E49" s="7"/>
      <c r="F49" s="7"/>
      <c r="G49" s="7"/>
      <c r="H49" s="7"/>
      <c r="I49" s="7"/>
      <c r="J49" s="7"/>
      <c r="K49" s="6"/>
      <c r="L49" s="6"/>
      <c r="M49" s="6"/>
      <c r="N49" s="6"/>
      <c r="O49" s="6"/>
    </row>
    <row r="50" spans="1:26">
      <c r="A50" s="1" t="s">
        <v>53</v>
      </c>
      <c r="B50" s="12">
        <f t="shared" ref="B50:M50" si="11">+B13-B48</f>
        <v>-588491</v>
      </c>
      <c r="C50" s="12">
        <f t="shared" si="11"/>
        <v>220222</v>
      </c>
      <c r="D50" s="12">
        <f t="shared" si="11"/>
        <v>906888</v>
      </c>
      <c r="E50" s="12">
        <f t="shared" si="11"/>
        <v>531272</v>
      </c>
      <c r="F50" s="12">
        <f t="shared" si="11"/>
        <v>-300822</v>
      </c>
      <c r="G50" s="12">
        <f t="shared" si="11"/>
        <v>62222</v>
      </c>
      <c r="H50" s="12">
        <f t="shared" si="11"/>
        <v>212557</v>
      </c>
      <c r="I50" s="12">
        <f t="shared" si="11"/>
        <v>259493</v>
      </c>
      <c r="J50" s="12">
        <f t="shared" si="11"/>
        <v>756300</v>
      </c>
      <c r="K50" s="12">
        <f t="shared" si="11"/>
        <v>333443</v>
      </c>
      <c r="L50" s="12">
        <f t="shared" si="11"/>
        <v>75221</v>
      </c>
      <c r="M50" s="12">
        <f t="shared" si="11"/>
        <v>-843855</v>
      </c>
      <c r="N50" s="12">
        <f>SUM(B50:M50)</f>
        <v>1624450</v>
      </c>
      <c r="O50" s="7">
        <f>+N50+N39+N41</f>
        <v>870849</v>
      </c>
    </row>
    <row r="51" spans="1:26" ht="7.5" customHeight="1">
      <c r="B51" s="7"/>
      <c r="C51" s="7"/>
      <c r="D51" s="7"/>
      <c r="E51" s="7"/>
      <c r="F51" s="7"/>
      <c r="G51" s="7"/>
      <c r="H51" s="7"/>
      <c r="I51" s="7"/>
      <c r="J51" s="7"/>
      <c r="K51" s="6"/>
      <c r="L51" s="6"/>
      <c r="M51" s="6"/>
      <c r="N51" s="6"/>
      <c r="O51" s="6"/>
    </row>
    <row r="52" spans="1:26">
      <c r="A52" s="1" t="s">
        <v>54</v>
      </c>
      <c r="B52" s="7"/>
      <c r="C52" s="7"/>
      <c r="D52" s="7"/>
      <c r="E52" s="7"/>
      <c r="F52" s="7"/>
      <c r="G52" s="7"/>
      <c r="H52" s="7"/>
      <c r="I52" s="7"/>
      <c r="J52" s="7"/>
      <c r="K52" s="6"/>
      <c r="L52" s="6"/>
      <c r="M52" s="6"/>
      <c r="N52" s="6"/>
      <c r="O52" s="6"/>
    </row>
    <row r="53" spans="1:26" s="6" customFormat="1">
      <c r="A53" s="6" t="s">
        <v>55</v>
      </c>
      <c r="B53" s="10">
        <v>21640</v>
      </c>
      <c r="C53" s="10">
        <v>45767</v>
      </c>
      <c r="D53" s="10">
        <v>849</v>
      </c>
      <c r="E53" s="10">
        <v>0</v>
      </c>
      <c r="F53" s="10">
        <v>6800</v>
      </c>
      <c r="G53" s="10">
        <v>30969</v>
      </c>
      <c r="H53" s="23">
        <v>110259</v>
      </c>
      <c r="I53" s="10">
        <v>168478</v>
      </c>
      <c r="J53" s="10">
        <v>31915</v>
      </c>
      <c r="K53" s="10">
        <v>10000</v>
      </c>
      <c r="L53" s="10">
        <v>10000</v>
      </c>
      <c r="M53" s="10">
        <v>265725</v>
      </c>
      <c r="N53" s="10">
        <f>SUM(B53:M53)</f>
        <v>702402</v>
      </c>
      <c r="O53" s="10">
        <v>930725</v>
      </c>
      <c r="P53" s="40">
        <f>+O53-N53</f>
        <v>228323</v>
      </c>
      <c r="Z53" s="40">
        <f>N53-P53+O53-N53</f>
        <v>702402</v>
      </c>
    </row>
    <row r="54" spans="1:26" s="6" customFormat="1">
      <c r="A54" s="6" t="s">
        <v>96</v>
      </c>
      <c r="B54" s="10"/>
      <c r="C54" s="10"/>
      <c r="D54" s="10"/>
      <c r="E54" s="10"/>
      <c r="F54" s="10">
        <v>90000</v>
      </c>
      <c r="G54" s="10"/>
      <c r="H54" s="10"/>
      <c r="I54" s="10"/>
      <c r="J54" s="10"/>
      <c r="K54" s="10"/>
      <c r="L54" s="10"/>
      <c r="M54" s="10"/>
      <c r="N54" s="10">
        <f>SUM(B54:M54)</f>
        <v>90000</v>
      </c>
    </row>
    <row r="55" spans="1:26" s="6" customFormat="1">
      <c r="A55" s="6" t="s">
        <v>111</v>
      </c>
      <c r="B55" s="10">
        <v>348240</v>
      </c>
      <c r="C55" s="10"/>
      <c r="D55" s="10"/>
      <c r="E55" s="10"/>
      <c r="F55" s="10"/>
      <c r="G55" s="10"/>
      <c r="H55" s="10"/>
      <c r="I55" s="10"/>
      <c r="J55" s="10"/>
      <c r="K55" s="10"/>
      <c r="L55" s="10">
        <v>0</v>
      </c>
      <c r="M55" s="56"/>
      <c r="N55" s="10">
        <f>SUM(B55:M55)</f>
        <v>348240</v>
      </c>
    </row>
    <row r="56" spans="1:26" s="6" customFormat="1">
      <c r="A56" s="37" t="s">
        <v>58</v>
      </c>
      <c r="B56" s="7">
        <v>-15538.11</v>
      </c>
      <c r="C56" s="7">
        <v>-13830</v>
      </c>
      <c r="D56" s="7">
        <v>-11781</v>
      </c>
      <c r="E56" s="7">
        <v>-16823</v>
      </c>
      <c r="F56" s="7">
        <v>-11637</v>
      </c>
      <c r="G56" s="7">
        <v>-235725</v>
      </c>
      <c r="H56" s="7">
        <v>-12112</v>
      </c>
      <c r="I56" s="7">
        <v>-10838</v>
      </c>
      <c r="J56" s="7">
        <v>-20083</v>
      </c>
      <c r="K56" s="7">
        <v>-20000</v>
      </c>
      <c r="L56" s="7">
        <v>-20000</v>
      </c>
      <c r="M56" s="7">
        <v>-25000</v>
      </c>
      <c r="N56" s="7">
        <f>SUM(B56:M56)</f>
        <v>-413367.11</v>
      </c>
      <c r="O56" s="7">
        <v>412620</v>
      </c>
    </row>
    <row r="57" spans="1:26" s="6" customFormat="1">
      <c r="A57" s="6" t="s">
        <v>59</v>
      </c>
      <c r="B57" s="22">
        <v>-171741</v>
      </c>
      <c r="C57" s="22">
        <v>17619</v>
      </c>
      <c r="D57" s="22">
        <v>-544</v>
      </c>
      <c r="E57" s="22">
        <v>666189</v>
      </c>
      <c r="F57" s="22">
        <v>-73191</v>
      </c>
      <c r="G57" s="22">
        <v>752472</v>
      </c>
      <c r="H57" s="22">
        <v>-562011</v>
      </c>
      <c r="I57" s="22">
        <v>-225136</v>
      </c>
      <c r="J57" s="22">
        <v>-46312</v>
      </c>
      <c r="K57" s="22">
        <v>-25000</v>
      </c>
      <c r="L57" s="22">
        <v>-25000</v>
      </c>
      <c r="M57" s="22">
        <v>-25000</v>
      </c>
      <c r="N57" s="22">
        <f>SUM(B57:M57)</f>
        <v>282345</v>
      </c>
      <c r="O57" s="56">
        <v>306614</v>
      </c>
    </row>
    <row r="58" spans="1:26" s="6" customFormat="1">
      <c r="A58" s="13" t="s">
        <v>60</v>
      </c>
      <c r="B58" s="19">
        <f t="shared" ref="B58:N58" si="12">SUM(B53:B57)</f>
        <v>182600.89</v>
      </c>
      <c r="C58" s="19">
        <f t="shared" si="12"/>
        <v>49556</v>
      </c>
      <c r="D58" s="19">
        <f t="shared" si="12"/>
        <v>-11476</v>
      </c>
      <c r="E58" s="19">
        <f t="shared" si="12"/>
        <v>649366</v>
      </c>
      <c r="F58" s="19">
        <f t="shared" si="12"/>
        <v>11972</v>
      </c>
      <c r="G58" s="19">
        <f t="shared" si="12"/>
        <v>547716</v>
      </c>
      <c r="H58" s="19">
        <f>SUM(H53:H57)</f>
        <v>-463864</v>
      </c>
      <c r="I58" s="19">
        <f t="shared" si="12"/>
        <v>-67496</v>
      </c>
      <c r="J58" s="19">
        <f t="shared" si="12"/>
        <v>-34480</v>
      </c>
      <c r="K58" s="19">
        <f t="shared" si="12"/>
        <v>-35000</v>
      </c>
      <c r="L58" s="19">
        <f t="shared" si="12"/>
        <v>-35000</v>
      </c>
      <c r="M58" s="19">
        <f t="shared" si="12"/>
        <v>215725</v>
      </c>
      <c r="N58" s="19">
        <f t="shared" si="12"/>
        <v>1009619.89</v>
      </c>
      <c r="O58" s="29"/>
    </row>
    <row r="59" spans="1:26">
      <c r="B59" s="7"/>
      <c r="C59" s="7"/>
      <c r="D59" s="7"/>
      <c r="E59" s="7"/>
      <c r="F59" s="7"/>
      <c r="G59" s="7"/>
      <c r="H59" s="7"/>
      <c r="I59" s="7"/>
      <c r="J59" s="7"/>
      <c r="K59" s="7"/>
      <c r="L59" s="7"/>
      <c r="M59" s="7"/>
      <c r="N59" s="7"/>
      <c r="O59" s="6"/>
    </row>
    <row r="60" spans="1:26">
      <c r="A60" s="1" t="s">
        <v>61</v>
      </c>
      <c r="B60" s="12">
        <v>14357541</v>
      </c>
      <c r="C60" s="7"/>
      <c r="D60" s="7"/>
      <c r="E60" s="7"/>
      <c r="F60" s="7"/>
      <c r="G60" s="7"/>
      <c r="H60" s="7" t="s">
        <v>38</v>
      </c>
      <c r="I60" s="7"/>
      <c r="J60" s="7"/>
      <c r="K60" s="6"/>
      <c r="L60" s="6"/>
      <c r="M60" s="6"/>
      <c r="N60" s="6"/>
      <c r="O60" s="6"/>
    </row>
    <row r="61" spans="1:26">
      <c r="A61" s="13" t="s">
        <v>62</v>
      </c>
      <c r="B61" s="19">
        <f t="shared" ref="B61:N61" si="13">+B58+B48</f>
        <v>2535516.89</v>
      </c>
      <c r="C61" s="19">
        <f t="shared" si="13"/>
        <v>4256418</v>
      </c>
      <c r="D61" s="19">
        <f t="shared" si="13"/>
        <v>3441378</v>
      </c>
      <c r="E61" s="19">
        <f t="shared" si="13"/>
        <v>3969791</v>
      </c>
      <c r="F61" s="19">
        <f t="shared" si="13"/>
        <v>2660636</v>
      </c>
      <c r="G61" s="19">
        <f t="shared" si="13"/>
        <v>2963642</v>
      </c>
      <c r="H61" s="19">
        <f t="shared" si="13"/>
        <v>3522217</v>
      </c>
      <c r="I61" s="19">
        <f t="shared" si="13"/>
        <v>3020357</v>
      </c>
      <c r="J61" s="19">
        <f t="shared" si="13"/>
        <v>2831304</v>
      </c>
      <c r="K61" s="19">
        <f t="shared" si="13"/>
        <v>3255954</v>
      </c>
      <c r="L61" s="19">
        <f t="shared" si="13"/>
        <v>2669675</v>
      </c>
      <c r="M61" s="19">
        <f t="shared" si="13"/>
        <v>2772329</v>
      </c>
      <c r="N61" s="19">
        <f t="shared" si="13"/>
        <v>37899217.890000001</v>
      </c>
      <c r="O61" s="29"/>
    </row>
    <row r="62" spans="1:26" ht="13.5" thickBot="1">
      <c r="A62" s="13" t="s">
        <v>63</v>
      </c>
      <c r="B62" s="30">
        <f t="shared" ref="B62:N62" si="14">+B13-B61</f>
        <v>-771091.89000000013</v>
      </c>
      <c r="C62" s="30">
        <f t="shared" si="14"/>
        <v>170666</v>
      </c>
      <c r="D62" s="30">
        <f t="shared" si="14"/>
        <v>918364</v>
      </c>
      <c r="E62" s="30">
        <f t="shared" si="14"/>
        <v>-118094</v>
      </c>
      <c r="F62" s="30">
        <f t="shared" si="14"/>
        <v>-312794</v>
      </c>
      <c r="G62" s="30">
        <f t="shared" si="14"/>
        <v>-485494</v>
      </c>
      <c r="H62" s="30">
        <f t="shared" si="14"/>
        <v>676421</v>
      </c>
      <c r="I62" s="30">
        <f t="shared" si="14"/>
        <v>326989</v>
      </c>
      <c r="J62" s="30">
        <f t="shared" si="14"/>
        <v>790780</v>
      </c>
      <c r="K62" s="14">
        <f t="shared" si="14"/>
        <v>368443</v>
      </c>
      <c r="L62" s="14">
        <f t="shared" si="14"/>
        <v>110221</v>
      </c>
      <c r="M62" s="14">
        <f t="shared" si="14"/>
        <v>-1059580</v>
      </c>
      <c r="N62" s="14">
        <f t="shared" si="14"/>
        <v>614830.1099999994</v>
      </c>
      <c r="O62" s="29"/>
    </row>
    <row r="63" spans="1:26" s="6" customFormat="1" ht="13.5" thickTop="1">
      <c r="A63" s="13" t="s">
        <v>64</v>
      </c>
      <c r="B63" s="32">
        <f>+B62</f>
        <v>-771091.89000000013</v>
      </c>
      <c r="C63" s="32">
        <f t="shared" ref="C63:M63" si="15">B63+C62</f>
        <v>-600425.89000000013</v>
      </c>
      <c r="D63" s="32">
        <f t="shared" si="15"/>
        <v>317938.10999999987</v>
      </c>
      <c r="E63" s="32">
        <f t="shared" si="15"/>
        <v>199844.10999999987</v>
      </c>
      <c r="F63" s="32">
        <f t="shared" si="15"/>
        <v>-112949.89000000013</v>
      </c>
      <c r="G63" s="32">
        <f t="shared" si="15"/>
        <v>-598443.89000000013</v>
      </c>
      <c r="H63" s="32">
        <f t="shared" si="15"/>
        <v>77977.10999999987</v>
      </c>
      <c r="I63" s="32">
        <f t="shared" si="15"/>
        <v>404966.10999999987</v>
      </c>
      <c r="J63" s="32">
        <f t="shared" si="15"/>
        <v>1195746.1099999999</v>
      </c>
      <c r="K63" s="12">
        <f t="shared" si="15"/>
        <v>1564189.1099999999</v>
      </c>
      <c r="L63" s="12">
        <f t="shared" si="15"/>
        <v>1674410.1099999999</v>
      </c>
      <c r="M63" s="12">
        <f t="shared" si="15"/>
        <v>614830.10999999987</v>
      </c>
      <c r="N63" s="12"/>
    </row>
    <row r="64" spans="1:26">
      <c r="A64" s="13" t="s">
        <v>65</v>
      </c>
      <c r="B64" s="12">
        <f t="shared" ref="B64:M64" si="16">+$B$60+B63</f>
        <v>13586449.109999999</v>
      </c>
      <c r="C64" s="12">
        <f t="shared" si="16"/>
        <v>13757115.109999999</v>
      </c>
      <c r="D64" s="12">
        <f t="shared" si="16"/>
        <v>14675479.109999999</v>
      </c>
      <c r="E64" s="12">
        <f t="shared" si="16"/>
        <v>14557385.109999999</v>
      </c>
      <c r="F64" s="12">
        <f t="shared" si="16"/>
        <v>14244591.109999999</v>
      </c>
      <c r="G64" s="12">
        <f t="shared" si="16"/>
        <v>13759097.109999999</v>
      </c>
      <c r="H64" s="12">
        <f t="shared" si="16"/>
        <v>14435518.109999999</v>
      </c>
      <c r="I64" s="12">
        <f t="shared" si="16"/>
        <v>14762507.109999999</v>
      </c>
      <c r="J64" s="12">
        <f t="shared" si="16"/>
        <v>15553287.109999999</v>
      </c>
      <c r="K64" s="12">
        <f t="shared" si="16"/>
        <v>15921730.109999999</v>
      </c>
      <c r="L64" s="12">
        <f t="shared" si="16"/>
        <v>16031951.109999999</v>
      </c>
      <c r="M64" s="12">
        <f t="shared" si="16"/>
        <v>14972371.109999999</v>
      </c>
      <c r="N64" s="12"/>
      <c r="O64" s="6"/>
    </row>
    <row r="65" spans="1:15">
      <c r="A65" s="6"/>
      <c r="B65" s="7"/>
      <c r="C65" s="7"/>
      <c r="D65" s="7"/>
      <c r="E65" s="7"/>
      <c r="F65" s="7"/>
      <c r="G65" s="7"/>
      <c r="H65" s="7"/>
      <c r="I65" s="7"/>
      <c r="J65" s="7"/>
      <c r="K65" s="6"/>
      <c r="L65" s="6"/>
      <c r="M65" s="6"/>
      <c r="N65" s="6"/>
      <c r="O65" s="6"/>
    </row>
    <row r="66" spans="1:15" s="6" customFormat="1">
      <c r="A66" s="17" t="s">
        <v>114</v>
      </c>
      <c r="B66" s="18"/>
      <c r="C66" s="18"/>
      <c r="D66" s="18"/>
      <c r="E66" s="18"/>
      <c r="F66" s="18"/>
      <c r="G66" s="18"/>
      <c r="H66" s="18"/>
      <c r="I66" s="18"/>
      <c r="J66" s="18"/>
      <c r="K66" s="18"/>
      <c r="L66" s="18"/>
      <c r="M66" s="18"/>
      <c r="N66" s="18"/>
    </row>
    <row r="67" spans="1:15" ht="13.5" thickBot="1">
      <c r="A67" s="13" t="s">
        <v>67</v>
      </c>
      <c r="B67" s="14">
        <v>-1440029</v>
      </c>
      <c r="C67" s="14">
        <v>-123812</v>
      </c>
      <c r="D67" s="14">
        <v>1148155</v>
      </c>
      <c r="E67" s="14">
        <v>583156</v>
      </c>
      <c r="F67" s="14">
        <v>-125852</v>
      </c>
      <c r="G67" s="14">
        <v>-37690</v>
      </c>
      <c r="H67" s="14">
        <v>100669</v>
      </c>
      <c r="I67" s="14">
        <v>782418</v>
      </c>
      <c r="J67" s="14">
        <v>335342</v>
      </c>
      <c r="K67" s="14">
        <v>368443</v>
      </c>
      <c r="L67" s="14">
        <v>110221</v>
      </c>
      <c r="M67" s="14">
        <v>-1059580</v>
      </c>
      <c r="N67" s="16"/>
      <c r="O67" s="6"/>
    </row>
    <row r="68" spans="1:15" ht="13.5" thickTop="1">
      <c r="A68" s="13" t="s">
        <v>64</v>
      </c>
      <c r="B68" s="12">
        <f>+B67</f>
        <v>-1440029</v>
      </c>
      <c r="C68" s="12">
        <f>+B68+C67</f>
        <v>-1563841</v>
      </c>
      <c r="D68" s="12">
        <f t="shared" ref="D68:M68" si="17">+C68+D67</f>
        <v>-415686</v>
      </c>
      <c r="E68" s="12">
        <f t="shared" si="17"/>
        <v>167470</v>
      </c>
      <c r="F68" s="12">
        <f t="shared" si="17"/>
        <v>41618</v>
      </c>
      <c r="G68" s="12">
        <f t="shared" si="17"/>
        <v>3928</v>
      </c>
      <c r="H68" s="12">
        <f t="shared" si="17"/>
        <v>104597</v>
      </c>
      <c r="I68" s="12">
        <f t="shared" si="17"/>
        <v>887015</v>
      </c>
      <c r="J68" s="12">
        <f t="shared" si="17"/>
        <v>1222357</v>
      </c>
      <c r="K68" s="12">
        <f t="shared" si="17"/>
        <v>1590800</v>
      </c>
      <c r="L68" s="12">
        <f t="shared" si="17"/>
        <v>1701021</v>
      </c>
      <c r="M68" s="12">
        <f t="shared" si="17"/>
        <v>641441</v>
      </c>
      <c r="N68" s="16"/>
      <c r="O68" s="6"/>
    </row>
    <row r="69" spans="1:15">
      <c r="A69" s="13" t="s">
        <v>65</v>
      </c>
      <c r="B69" s="12">
        <v>12917512</v>
      </c>
      <c r="C69" s="12">
        <v>12793700</v>
      </c>
      <c r="D69" s="12">
        <v>13941855</v>
      </c>
      <c r="E69" s="12">
        <v>14525011</v>
      </c>
      <c r="F69" s="12">
        <v>14399159</v>
      </c>
      <c r="G69" s="12">
        <v>14361469</v>
      </c>
      <c r="H69" s="12">
        <v>14462138</v>
      </c>
      <c r="I69" s="12">
        <v>15244556</v>
      </c>
      <c r="J69" s="12">
        <v>15579898</v>
      </c>
      <c r="K69" s="12">
        <v>15948341</v>
      </c>
      <c r="L69" s="12">
        <v>16058562</v>
      </c>
      <c r="M69" s="12">
        <v>14998982</v>
      </c>
      <c r="N69" s="12"/>
      <c r="O69" s="6"/>
    </row>
    <row r="70" spans="1:15">
      <c r="A70" s="6"/>
      <c r="B70" s="6"/>
      <c r="C70" s="6"/>
      <c r="D70" s="6"/>
      <c r="E70" s="6"/>
      <c r="F70" s="6"/>
      <c r="H70" s="6"/>
      <c r="I70" s="6"/>
      <c r="J70" s="6"/>
      <c r="K70" s="6"/>
      <c r="L70" s="6"/>
      <c r="M70" s="6"/>
      <c r="N70" s="6"/>
      <c r="O70" s="6"/>
    </row>
    <row r="71" spans="1:15">
      <c r="A71" s="24" t="s">
        <v>68</v>
      </c>
      <c r="B71" s="18"/>
      <c r="C71" s="18"/>
      <c r="D71" s="18"/>
      <c r="E71" s="18"/>
      <c r="F71" s="18"/>
      <c r="G71" s="18"/>
      <c r="H71" s="18"/>
      <c r="I71" s="18"/>
      <c r="J71" s="18"/>
      <c r="K71" s="18"/>
      <c r="L71" s="18"/>
      <c r="M71" s="18"/>
      <c r="N71" s="18"/>
      <c r="O71" s="6"/>
    </row>
    <row r="72" spans="1:15">
      <c r="A72" s="13" t="s">
        <v>63</v>
      </c>
      <c r="B72" s="31">
        <f t="shared" ref="B72:N74" si="18">+B62-B67</f>
        <v>668937.10999999987</v>
      </c>
      <c r="C72" s="31">
        <f t="shared" si="18"/>
        <v>294478</v>
      </c>
      <c r="D72" s="31">
        <f t="shared" si="18"/>
        <v>-229791</v>
      </c>
      <c r="E72" s="31">
        <f t="shared" si="18"/>
        <v>-701250</v>
      </c>
      <c r="F72" s="31">
        <f t="shared" si="18"/>
        <v>-186942</v>
      </c>
      <c r="G72" s="31">
        <f t="shared" si="18"/>
        <v>-447804</v>
      </c>
      <c r="H72" s="31">
        <f t="shared" si="18"/>
        <v>575752</v>
      </c>
      <c r="I72" s="31">
        <f t="shared" si="18"/>
        <v>-455429</v>
      </c>
      <c r="J72" s="31">
        <f t="shared" si="18"/>
        <v>455438</v>
      </c>
      <c r="K72" s="31">
        <f t="shared" si="18"/>
        <v>0</v>
      </c>
      <c r="L72" s="31">
        <f t="shared" si="18"/>
        <v>0</v>
      </c>
      <c r="M72" s="31">
        <f t="shared" si="18"/>
        <v>0</v>
      </c>
      <c r="N72" s="6"/>
      <c r="O72" s="6"/>
    </row>
    <row r="73" spans="1:15" s="6" customFormat="1">
      <c r="A73" s="13" t="s">
        <v>64</v>
      </c>
      <c r="B73" s="31">
        <f t="shared" si="18"/>
        <v>668937.10999999987</v>
      </c>
      <c r="C73" s="31">
        <f t="shared" si="18"/>
        <v>963415.10999999987</v>
      </c>
      <c r="D73" s="31">
        <f t="shared" si="18"/>
        <v>733624.10999999987</v>
      </c>
      <c r="E73" s="31">
        <f t="shared" si="18"/>
        <v>32374.10999999987</v>
      </c>
      <c r="F73" s="31">
        <f t="shared" si="18"/>
        <v>-154567.89000000013</v>
      </c>
      <c r="G73" s="31">
        <f t="shared" si="18"/>
        <v>-602371.89000000013</v>
      </c>
      <c r="H73" s="31">
        <f t="shared" si="18"/>
        <v>-26619.89000000013</v>
      </c>
      <c r="I73" s="31">
        <f t="shared" si="18"/>
        <v>-482048.89000000013</v>
      </c>
      <c r="J73" s="31">
        <f t="shared" si="18"/>
        <v>-26610.89000000013</v>
      </c>
      <c r="K73" s="31">
        <f t="shared" si="18"/>
        <v>-26610.89000000013</v>
      </c>
      <c r="L73" s="31">
        <f t="shared" si="18"/>
        <v>-26610.89000000013</v>
      </c>
      <c r="M73" s="31">
        <f t="shared" si="18"/>
        <v>-26610.89000000013</v>
      </c>
      <c r="N73" s="16">
        <f t="shared" si="18"/>
        <v>0</v>
      </c>
    </row>
    <row r="74" spans="1:15">
      <c r="A74" s="1" t="s">
        <v>65</v>
      </c>
      <c r="B74" s="16">
        <f t="shared" si="18"/>
        <v>668937.1099999994</v>
      </c>
      <c r="C74" s="16">
        <f t="shared" si="18"/>
        <v>963415.1099999994</v>
      </c>
      <c r="D74" s="16">
        <f t="shared" si="18"/>
        <v>733624.1099999994</v>
      </c>
      <c r="E74" s="16">
        <f t="shared" si="18"/>
        <v>32374.109999999404</v>
      </c>
      <c r="F74" s="16">
        <f t="shared" si="18"/>
        <v>-154567.8900000006</v>
      </c>
      <c r="G74" s="16">
        <f t="shared" si="18"/>
        <v>-602371.8900000006</v>
      </c>
      <c r="H74" s="16">
        <f t="shared" si="18"/>
        <v>-26619.890000000596</v>
      </c>
      <c r="I74" s="16">
        <f t="shared" si="18"/>
        <v>-482048.8900000006</v>
      </c>
      <c r="J74" s="16">
        <f t="shared" si="18"/>
        <v>-26610.890000000596</v>
      </c>
      <c r="K74" s="16">
        <f t="shared" si="18"/>
        <v>-26610.890000000596</v>
      </c>
      <c r="L74" s="16">
        <f t="shared" si="18"/>
        <v>-26610.890000000596</v>
      </c>
      <c r="M74" s="16">
        <f t="shared" si="18"/>
        <v>-26610.890000000596</v>
      </c>
      <c r="N74" s="16"/>
      <c r="O74" s="6"/>
    </row>
    <row r="75" spans="1:15">
      <c r="B75" s="6"/>
      <c r="C75" s="6"/>
      <c r="D75" s="6"/>
      <c r="E75" s="6"/>
      <c r="F75" s="6"/>
      <c r="H75" s="6"/>
      <c r="I75" s="6"/>
      <c r="J75" s="6"/>
      <c r="K75" s="6"/>
      <c r="L75" s="6"/>
      <c r="M75" s="6"/>
      <c r="N75" s="6"/>
    </row>
    <row r="76" spans="1:15">
      <c r="A76" s="1"/>
      <c r="B76" s="4"/>
      <c r="C76" s="8"/>
      <c r="D76" s="8"/>
      <c r="E76" s="8"/>
      <c r="F76" s="8"/>
      <c r="H76" s="20"/>
      <c r="J76" s="6"/>
      <c r="K76" s="6"/>
    </row>
    <row r="77" spans="1:15">
      <c r="A77" s="1"/>
      <c r="B77" s="4"/>
      <c r="C77" s="8"/>
      <c r="D77" s="8"/>
      <c r="E77" s="8"/>
      <c r="F77" s="8"/>
      <c r="H77" s="85">
        <v>12112.349999999999</v>
      </c>
      <c r="I77" s="86"/>
      <c r="J77" s="85">
        <v>562010.51</v>
      </c>
    </row>
    <row r="78" spans="1:15">
      <c r="A78" s="1"/>
      <c r="B78" s="4"/>
      <c r="D78" s="8"/>
      <c r="E78" s="8"/>
      <c r="F78" s="8"/>
      <c r="H78" s="61"/>
      <c r="J78" s="6"/>
    </row>
    <row r="79" spans="1:15">
      <c r="E79" s="6"/>
      <c r="H79" s="20"/>
      <c r="J79" s="6"/>
      <c r="N79" s="25"/>
    </row>
    <row r="80" spans="1:15">
      <c r="A80" t="s">
        <v>69</v>
      </c>
      <c r="B80" t="s">
        <v>69</v>
      </c>
      <c r="C80" t="s">
        <v>69</v>
      </c>
      <c r="D80" t="s">
        <v>69</v>
      </c>
      <c r="E80" s="6" t="s">
        <v>69</v>
      </c>
      <c r="F80" t="s">
        <v>69</v>
      </c>
      <c r="G80" s="6" t="s">
        <v>69</v>
      </c>
      <c r="H80" t="s">
        <v>69</v>
      </c>
      <c r="I80" t="s">
        <v>69</v>
      </c>
      <c r="J80" s="6" t="s">
        <v>69</v>
      </c>
      <c r="K80" t="s">
        <v>69</v>
      </c>
      <c r="L80" t="s">
        <v>69</v>
      </c>
      <c r="M80" t="s">
        <v>69</v>
      </c>
      <c r="N80" t="s">
        <v>69</v>
      </c>
    </row>
    <row r="82" spans="6:8">
      <c r="F82">
        <v>11636.78</v>
      </c>
      <c r="H82">
        <v>73191.26999999999</v>
      </c>
    </row>
    <row r="84" spans="6:8">
      <c r="F84" s="2">
        <f>SUM(B56:F56)</f>
        <v>-69609.11</v>
      </c>
    </row>
    <row r="85" spans="6:8">
      <c r="F85" s="2">
        <f>SUM(B57:F57)</f>
        <v>438332</v>
      </c>
    </row>
  </sheetData>
  <pageMargins left="0.28000000000000003" right="0.25" top="0.99" bottom="0.75" header="0.63" footer="0.23"/>
  <pageSetup scale="60" orientation="landscape" r:id="rId1"/>
  <headerFooter alignWithMargins="0">
    <oddHeader xml:space="preserve">&amp;C&amp;"Arial,Bold"&amp;11 49ER SHOPS, INC.
&amp;UFY2017/2018 OPERATIONAL CASH FLOW </oddHeader>
    <oddFooter xml:space="preserve">&amp;CCash Flow - FY2018/2019
March 2019
</oddFooter>
  </headerFooter>
  <legacyDrawing r:id="rId2"/>
</worksheet>
</file>

<file path=xl/worksheets/sheet4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92D050"/>
    <pageSetUpPr fitToPage="1"/>
  </sheetPr>
  <dimension ref="A1:Z85"/>
  <sheetViews>
    <sheetView showGridLines="0" topLeftCell="A34" zoomScale="80" zoomScaleNormal="80" workbookViewId="0">
      <selection activeCell="K63" sqref="K63"/>
    </sheetView>
  </sheetViews>
  <sheetFormatPr defaultRowHeight="12.75"/>
  <cols>
    <col min="1" max="1" width="35.42578125" customWidth="1"/>
    <col min="2" max="2" width="14" customWidth="1"/>
    <col min="3" max="3" width="14.5703125" customWidth="1"/>
    <col min="4" max="4" width="14" customWidth="1"/>
    <col min="5" max="6" width="13.5703125" customWidth="1"/>
    <col min="7" max="7" width="16.5703125" style="6" customWidth="1"/>
    <col min="8" max="8" width="14.140625" customWidth="1"/>
    <col min="9" max="9" width="14.42578125" customWidth="1"/>
    <col min="10" max="10" width="13.85546875" customWidth="1"/>
    <col min="11" max="11" width="15.140625" customWidth="1"/>
    <col min="12" max="12" width="13.5703125" customWidth="1"/>
    <col min="13" max="13" width="14.42578125" customWidth="1"/>
    <col min="14" max="14" width="16.5703125" customWidth="1"/>
    <col min="15" max="15" width="12.42578125" bestFit="1" customWidth="1"/>
    <col min="16" max="16" width="14.140625" customWidth="1"/>
  </cols>
  <sheetData>
    <row r="1" spans="1:15" ht="13.5" thickBot="1">
      <c r="A1" s="46" t="s">
        <v>121</v>
      </c>
      <c r="E1" s="6"/>
      <c r="F1" s="6"/>
      <c r="J1" s="6"/>
      <c r="K1" s="6"/>
      <c r="N1" s="3"/>
    </row>
    <row r="2" spans="1:15">
      <c r="B2" s="45" t="s">
        <v>24</v>
      </c>
      <c r="C2" s="45" t="s">
        <v>24</v>
      </c>
      <c r="D2" s="45" t="s">
        <v>24</v>
      </c>
      <c r="E2" s="45" t="s">
        <v>24</v>
      </c>
      <c r="F2" s="45" t="s">
        <v>24</v>
      </c>
      <c r="G2" s="45" t="s">
        <v>24</v>
      </c>
      <c r="H2" s="45" t="s">
        <v>24</v>
      </c>
      <c r="I2" s="45" t="s">
        <v>24</v>
      </c>
      <c r="J2" s="45" t="s">
        <v>24</v>
      </c>
      <c r="K2" s="45" t="s">
        <v>24</v>
      </c>
      <c r="L2" s="45" t="s">
        <v>76</v>
      </c>
      <c r="M2" s="45" t="s">
        <v>76</v>
      </c>
      <c r="N2" s="28" t="s">
        <v>25</v>
      </c>
    </row>
    <row r="3" spans="1:15" s="5" customFormat="1">
      <c r="B3" s="11">
        <v>43283</v>
      </c>
      <c r="C3" s="11">
        <v>43314</v>
      </c>
      <c r="D3" s="11">
        <v>43345</v>
      </c>
      <c r="E3" s="11">
        <v>43375</v>
      </c>
      <c r="F3" s="11">
        <v>43406</v>
      </c>
      <c r="G3" s="11">
        <v>43436</v>
      </c>
      <c r="H3" s="11">
        <v>43467</v>
      </c>
      <c r="I3" s="11">
        <v>43498</v>
      </c>
      <c r="J3" s="11">
        <v>43526</v>
      </c>
      <c r="K3" s="11">
        <v>43557</v>
      </c>
      <c r="L3" s="11">
        <v>43587</v>
      </c>
      <c r="M3" s="11">
        <v>43618</v>
      </c>
      <c r="N3" s="57" t="s">
        <v>113</v>
      </c>
    </row>
    <row r="4" spans="1:15" hidden="1">
      <c r="A4" s="1" t="s">
        <v>27</v>
      </c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>
        <f>SUM(B4:M4)</f>
        <v>0</v>
      </c>
      <c r="O4" s="29"/>
    </row>
    <row r="5" spans="1:15" s="6" customFormat="1" hidden="1">
      <c r="A5" s="6" t="s">
        <v>28</v>
      </c>
      <c r="B5" s="53">
        <v>1664716</v>
      </c>
      <c r="C5" s="53">
        <v>4334056</v>
      </c>
      <c r="D5" s="53">
        <v>4037246</v>
      </c>
      <c r="E5" s="53">
        <v>3697436</v>
      </c>
      <c r="F5" s="53">
        <v>2202637</v>
      </c>
      <c r="G5" s="53">
        <v>2399169</v>
      </c>
      <c r="H5" s="53">
        <v>4093574</v>
      </c>
      <c r="I5" s="53">
        <v>3274668</v>
      </c>
      <c r="J5" s="53">
        <v>3150136</v>
      </c>
      <c r="K5" s="53">
        <v>3426789</v>
      </c>
      <c r="L5" s="53">
        <v>2668320</v>
      </c>
      <c r="M5" s="53">
        <v>1617618</v>
      </c>
      <c r="N5" s="12">
        <f>SUM(B5:M5)</f>
        <v>36566365</v>
      </c>
      <c r="O5" s="29"/>
    </row>
    <row r="6" spans="1:15" s="6" customFormat="1" hidden="1">
      <c r="A6" s="6" t="s">
        <v>29</v>
      </c>
      <c r="B6" s="53">
        <v>98799</v>
      </c>
      <c r="C6" s="53">
        <v>92990</v>
      </c>
      <c r="D6" s="53">
        <v>321611</v>
      </c>
      <c r="E6" s="53">
        <v>154261</v>
      </c>
      <c r="F6" s="53">
        <v>145205</v>
      </c>
      <c r="G6" s="53">
        <v>58506</v>
      </c>
      <c r="H6" s="53">
        <v>100712</v>
      </c>
      <c r="I6" s="53">
        <v>72668</v>
      </c>
      <c r="J6" s="53">
        <v>472170</v>
      </c>
      <c r="K6" s="53">
        <v>211527</v>
      </c>
      <c r="L6" s="53">
        <v>111576</v>
      </c>
      <c r="M6" s="53">
        <v>95131</v>
      </c>
      <c r="N6" s="7">
        <f>SUM(B6:M6)</f>
        <v>1935156</v>
      </c>
      <c r="O6" s="29"/>
    </row>
    <row r="7" spans="1:15" s="6" customFormat="1" hidden="1">
      <c r="B7" s="7"/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7">
        <f>SUM(B7:M7)</f>
        <v>0</v>
      </c>
      <c r="O7" s="29"/>
    </row>
    <row r="8" spans="1:15" s="6" customFormat="1" hidden="1">
      <c r="B8" s="15"/>
      <c r="C8" s="15"/>
      <c r="D8" s="15"/>
      <c r="E8" s="15"/>
      <c r="F8" s="15"/>
      <c r="G8" s="15"/>
      <c r="H8" s="15"/>
      <c r="I8" s="15"/>
      <c r="J8" s="15"/>
      <c r="K8" s="15"/>
      <c r="L8" s="15"/>
      <c r="M8" s="15"/>
      <c r="N8" s="15">
        <f>SUM(B8:M8)</f>
        <v>0</v>
      </c>
      <c r="O8" s="29"/>
    </row>
    <row r="9" spans="1:15" s="6" customFormat="1">
      <c r="A9" s="13" t="s">
        <v>30</v>
      </c>
      <c r="B9" s="12">
        <f t="shared" ref="B9:N9" si="0">SUM(B5:B8)</f>
        <v>1763515</v>
      </c>
      <c r="C9" s="12">
        <f t="shared" si="0"/>
        <v>4427046</v>
      </c>
      <c r="D9" s="12">
        <f t="shared" si="0"/>
        <v>4358857</v>
      </c>
      <c r="E9" s="12">
        <f t="shared" si="0"/>
        <v>3851697</v>
      </c>
      <c r="F9" s="12">
        <f t="shared" si="0"/>
        <v>2347842</v>
      </c>
      <c r="G9" s="12">
        <f t="shared" si="0"/>
        <v>2457675</v>
      </c>
      <c r="H9" s="12">
        <f t="shared" si="0"/>
        <v>4194286</v>
      </c>
      <c r="I9" s="12">
        <f t="shared" si="0"/>
        <v>3347336</v>
      </c>
      <c r="J9" s="12">
        <f t="shared" si="0"/>
        <v>3622306</v>
      </c>
      <c r="K9" s="12">
        <f t="shared" si="0"/>
        <v>3638316</v>
      </c>
      <c r="L9" s="12">
        <f t="shared" si="0"/>
        <v>2779896</v>
      </c>
      <c r="M9" s="12">
        <f t="shared" si="0"/>
        <v>1712749</v>
      </c>
      <c r="N9" s="12">
        <f t="shared" si="0"/>
        <v>38501521</v>
      </c>
      <c r="O9" s="29"/>
    </row>
    <row r="10" spans="1:15" s="6" customFormat="1" ht="6.75" customHeight="1"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29"/>
    </row>
    <row r="11" spans="1:15" s="6" customFormat="1">
      <c r="A11" s="13" t="s">
        <v>31</v>
      </c>
      <c r="B11" s="7">
        <v>910</v>
      </c>
      <c r="C11" s="7">
        <v>38</v>
      </c>
      <c r="D11" s="7">
        <v>885</v>
      </c>
      <c r="E11" s="7">
        <v>0</v>
      </c>
      <c r="F11" s="7">
        <v>0</v>
      </c>
      <c r="G11" s="7">
        <v>20473</v>
      </c>
      <c r="H11" s="7">
        <v>4352</v>
      </c>
      <c r="I11" s="7">
        <v>10</v>
      </c>
      <c r="J11" s="7">
        <v>-222</v>
      </c>
      <c r="K11" s="7">
        <v>398</v>
      </c>
      <c r="L11" s="7">
        <v>0</v>
      </c>
      <c r="M11" s="7">
        <v>0</v>
      </c>
      <c r="N11" s="7">
        <f>SUM(B11:M11)</f>
        <v>26844</v>
      </c>
      <c r="O11" s="29"/>
    </row>
    <row r="12" spans="1:15" s="6" customFormat="1" ht="7.5" customHeight="1">
      <c r="B12" s="7"/>
      <c r="C12" s="7"/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  <c r="O12" s="29"/>
    </row>
    <row r="13" spans="1:15" s="6" customFormat="1" ht="13.5" thickBot="1">
      <c r="A13" s="13" t="s">
        <v>32</v>
      </c>
      <c r="B13" s="14">
        <f t="shared" ref="B13:N13" si="1">B9+B11</f>
        <v>1764425</v>
      </c>
      <c r="C13" s="14">
        <f>C9+C11</f>
        <v>4427084</v>
      </c>
      <c r="D13" s="14">
        <f t="shared" si="1"/>
        <v>4359742</v>
      </c>
      <c r="E13" s="14">
        <f t="shared" si="1"/>
        <v>3851697</v>
      </c>
      <c r="F13" s="14">
        <f t="shared" si="1"/>
        <v>2347842</v>
      </c>
      <c r="G13" s="14">
        <f t="shared" si="1"/>
        <v>2478148</v>
      </c>
      <c r="H13" s="14">
        <f t="shared" si="1"/>
        <v>4198638</v>
      </c>
      <c r="I13" s="14">
        <f t="shared" si="1"/>
        <v>3347346</v>
      </c>
      <c r="J13" s="14">
        <f t="shared" si="1"/>
        <v>3622084</v>
      </c>
      <c r="K13" s="14">
        <f t="shared" si="1"/>
        <v>3638714</v>
      </c>
      <c r="L13" s="14">
        <f t="shared" si="1"/>
        <v>2779896</v>
      </c>
      <c r="M13" s="14">
        <f t="shared" si="1"/>
        <v>1712749</v>
      </c>
      <c r="N13" s="14">
        <f t="shared" si="1"/>
        <v>38528365</v>
      </c>
      <c r="O13" s="29"/>
    </row>
    <row r="14" spans="1:15" s="6" customFormat="1" ht="13.5" thickTop="1">
      <c r="B14" s="7"/>
      <c r="C14" s="7"/>
      <c r="D14" s="7"/>
      <c r="E14" s="7"/>
      <c r="F14" s="7"/>
      <c r="G14" s="7"/>
      <c r="H14" s="7"/>
      <c r="I14" s="7"/>
      <c r="J14" s="7"/>
      <c r="K14" s="7"/>
      <c r="L14" s="7"/>
      <c r="M14" s="7"/>
    </row>
    <row r="15" spans="1:15" s="6" customFormat="1" hidden="1">
      <c r="A15" s="13" t="s">
        <v>33</v>
      </c>
      <c r="B15" s="7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</row>
    <row r="16" spans="1:15" s="6" customFormat="1" hidden="1">
      <c r="A16" s="6" t="s">
        <v>34</v>
      </c>
      <c r="B16" s="53">
        <v>808507</v>
      </c>
      <c r="C16" s="53">
        <v>2662695</v>
      </c>
      <c r="D16" s="53">
        <v>1620992</v>
      </c>
      <c r="E16" s="53">
        <v>1274587</v>
      </c>
      <c r="F16" s="53">
        <v>814523</v>
      </c>
      <c r="G16" s="53">
        <v>866327</v>
      </c>
      <c r="H16" s="53">
        <v>2296042</v>
      </c>
      <c r="I16" s="53">
        <v>1205375</v>
      </c>
      <c r="J16" s="53">
        <v>1101253</v>
      </c>
      <c r="K16" s="53">
        <v>1171081</v>
      </c>
      <c r="L16" s="53">
        <v>1066893</v>
      </c>
      <c r="M16" s="53">
        <v>774058</v>
      </c>
      <c r="N16" s="7">
        <f>SUM(B16:M16)</f>
        <v>15662333</v>
      </c>
      <c r="O16" s="29"/>
    </row>
    <row r="17" spans="1:15" s="6" customFormat="1" hidden="1">
      <c r="B17" s="27"/>
      <c r="C17" s="27"/>
      <c r="D17" s="27"/>
      <c r="E17" s="27"/>
      <c r="F17" s="27"/>
      <c r="G17" s="27"/>
      <c r="H17" s="27"/>
      <c r="I17" s="27"/>
      <c r="J17" s="27"/>
      <c r="K17" s="27"/>
      <c r="L17" s="27"/>
      <c r="M17" s="27"/>
      <c r="N17" s="7">
        <f>SUM(B17:M17)</f>
        <v>0</v>
      </c>
    </row>
    <row r="18" spans="1:15" s="6" customFormat="1" hidden="1">
      <c r="B18" s="7"/>
      <c r="C18" s="7"/>
      <c r="D18" s="7"/>
      <c r="E18" s="7"/>
      <c r="F18" s="7"/>
      <c r="G18" s="7"/>
      <c r="H18" s="7"/>
      <c r="I18" s="7"/>
      <c r="J18" s="7"/>
      <c r="K18" s="7"/>
      <c r="L18" s="7"/>
      <c r="M18" s="7"/>
      <c r="N18" s="7">
        <v>0</v>
      </c>
    </row>
    <row r="19" spans="1:15" s="6" customFormat="1" hidden="1">
      <c r="B19" s="15"/>
      <c r="C19" s="15"/>
      <c r="D19" s="15"/>
      <c r="E19" s="15"/>
      <c r="F19" s="15"/>
      <c r="G19" s="15"/>
      <c r="H19" s="15"/>
      <c r="I19" s="15"/>
      <c r="J19" s="15"/>
      <c r="K19" s="15"/>
      <c r="L19" s="15"/>
      <c r="M19" s="15"/>
      <c r="N19" s="15">
        <f>SUM(B19:M19)</f>
        <v>0</v>
      </c>
    </row>
    <row r="20" spans="1:15" s="6" customFormat="1">
      <c r="A20" s="13" t="s">
        <v>35</v>
      </c>
      <c r="B20" s="12">
        <f t="shared" ref="B20:N20" si="2">SUM(B16:B19)</f>
        <v>808507</v>
      </c>
      <c r="C20" s="12">
        <f t="shared" si="2"/>
        <v>2662695</v>
      </c>
      <c r="D20" s="12">
        <f t="shared" si="2"/>
        <v>1620992</v>
      </c>
      <c r="E20" s="12">
        <f t="shared" si="2"/>
        <v>1274587</v>
      </c>
      <c r="F20" s="12">
        <f t="shared" si="2"/>
        <v>814523</v>
      </c>
      <c r="G20" s="12">
        <f t="shared" si="2"/>
        <v>866327</v>
      </c>
      <c r="H20" s="12">
        <f t="shared" si="2"/>
        <v>2296042</v>
      </c>
      <c r="I20" s="12">
        <f t="shared" si="2"/>
        <v>1205375</v>
      </c>
      <c r="J20" s="12">
        <f t="shared" si="2"/>
        <v>1101253</v>
      </c>
      <c r="K20" s="12">
        <f t="shared" si="2"/>
        <v>1171081</v>
      </c>
      <c r="L20" s="12">
        <f t="shared" si="2"/>
        <v>1066893</v>
      </c>
      <c r="M20" s="12">
        <f t="shared" si="2"/>
        <v>774058</v>
      </c>
      <c r="N20" s="12">
        <f t="shared" si="2"/>
        <v>15662333</v>
      </c>
      <c r="O20" s="29"/>
    </row>
    <row r="21" spans="1:15" s="6" customFormat="1">
      <c r="B21" s="7"/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</row>
    <row r="22" spans="1:15" s="6" customFormat="1" hidden="1">
      <c r="A22" s="13" t="s">
        <v>36</v>
      </c>
      <c r="B22" s="7"/>
      <c r="C22" s="7"/>
      <c r="D22" s="7"/>
      <c r="E22" s="7"/>
      <c r="F22" s="7"/>
      <c r="G22" s="7"/>
      <c r="H22" s="7"/>
      <c r="I22" s="7"/>
      <c r="J22" s="7"/>
      <c r="K22" s="7"/>
      <c r="L22" s="7"/>
      <c r="M22" s="7"/>
    </row>
    <row r="23" spans="1:15" s="6" customFormat="1" hidden="1">
      <c r="A23" s="6" t="s">
        <v>37</v>
      </c>
      <c r="B23" s="7">
        <f t="shared" ref="B23:M26" si="3">+B5-B16</f>
        <v>856209</v>
      </c>
      <c r="C23" s="7">
        <f t="shared" si="3"/>
        <v>1671361</v>
      </c>
      <c r="D23" s="7">
        <f t="shared" si="3"/>
        <v>2416254</v>
      </c>
      <c r="E23" s="7">
        <f t="shared" si="3"/>
        <v>2422849</v>
      </c>
      <c r="F23" s="7">
        <f t="shared" si="3"/>
        <v>1388114</v>
      </c>
      <c r="G23" s="7">
        <f t="shared" si="3"/>
        <v>1532842</v>
      </c>
      <c r="H23" s="7">
        <f t="shared" si="3"/>
        <v>1797532</v>
      </c>
      <c r="I23" s="7">
        <f t="shared" si="3"/>
        <v>2069293</v>
      </c>
      <c r="J23" s="7">
        <f t="shared" si="3"/>
        <v>2048883</v>
      </c>
      <c r="K23" s="7">
        <f t="shared" si="3"/>
        <v>2255708</v>
      </c>
      <c r="L23" s="7">
        <f t="shared" si="3"/>
        <v>1601427</v>
      </c>
      <c r="M23" s="7">
        <f t="shared" si="3"/>
        <v>843560</v>
      </c>
      <c r="N23" s="7">
        <f>SUM(B23:M23)</f>
        <v>20904032</v>
      </c>
      <c r="O23" s="29"/>
    </row>
    <row r="24" spans="1:15" s="6" customFormat="1" hidden="1">
      <c r="A24" s="6" t="s">
        <v>37</v>
      </c>
      <c r="B24" s="7">
        <f t="shared" si="3"/>
        <v>98799</v>
      </c>
      <c r="C24" s="7">
        <f t="shared" si="3"/>
        <v>92990</v>
      </c>
      <c r="D24" s="7">
        <f t="shared" si="3"/>
        <v>321611</v>
      </c>
      <c r="E24" s="7">
        <f t="shared" si="3"/>
        <v>154261</v>
      </c>
      <c r="F24" s="7">
        <f t="shared" si="3"/>
        <v>145205</v>
      </c>
      <c r="G24" s="7">
        <f t="shared" si="3"/>
        <v>58506</v>
      </c>
      <c r="H24" s="7">
        <f t="shared" si="3"/>
        <v>100712</v>
      </c>
      <c r="I24" s="7">
        <f t="shared" si="3"/>
        <v>72668</v>
      </c>
      <c r="J24" s="7">
        <f t="shared" si="3"/>
        <v>472170</v>
      </c>
      <c r="K24" s="7">
        <f t="shared" si="3"/>
        <v>211527</v>
      </c>
      <c r="L24" s="7">
        <f t="shared" si="3"/>
        <v>111576</v>
      </c>
      <c r="M24" s="7">
        <f t="shared" si="3"/>
        <v>95131</v>
      </c>
      <c r="N24" s="7">
        <f>SUM(B24:M24)</f>
        <v>1935156</v>
      </c>
      <c r="O24" s="29"/>
    </row>
    <row r="25" spans="1:15" s="6" customFormat="1" hidden="1">
      <c r="A25" s="6" t="s">
        <v>38</v>
      </c>
      <c r="B25" s="7">
        <f t="shared" si="3"/>
        <v>0</v>
      </c>
      <c r="C25" s="7">
        <f t="shared" si="3"/>
        <v>0</v>
      </c>
      <c r="D25" s="7">
        <f t="shared" si="3"/>
        <v>0</v>
      </c>
      <c r="E25" s="7">
        <f t="shared" si="3"/>
        <v>0</v>
      </c>
      <c r="F25" s="7">
        <f t="shared" si="3"/>
        <v>0</v>
      </c>
      <c r="G25" s="7">
        <f t="shared" si="3"/>
        <v>0</v>
      </c>
      <c r="H25" s="7">
        <f t="shared" si="3"/>
        <v>0</v>
      </c>
      <c r="I25" s="7">
        <f t="shared" si="3"/>
        <v>0</v>
      </c>
      <c r="J25" s="7">
        <f t="shared" si="3"/>
        <v>0</v>
      </c>
      <c r="K25" s="7">
        <f t="shared" si="3"/>
        <v>0</v>
      </c>
      <c r="L25" s="7">
        <f t="shared" si="3"/>
        <v>0</v>
      </c>
      <c r="M25" s="7">
        <f t="shared" si="3"/>
        <v>0</v>
      </c>
      <c r="N25" s="7">
        <f>SUM(B25:M25)</f>
        <v>0</v>
      </c>
      <c r="O25" s="29"/>
    </row>
    <row r="26" spans="1:15" s="6" customFormat="1" hidden="1">
      <c r="A26" s="6" t="s">
        <v>38</v>
      </c>
      <c r="B26" s="15">
        <f t="shared" si="3"/>
        <v>0</v>
      </c>
      <c r="C26" s="15">
        <f t="shared" si="3"/>
        <v>0</v>
      </c>
      <c r="D26" s="15">
        <f t="shared" si="3"/>
        <v>0</v>
      </c>
      <c r="E26" s="15">
        <f t="shared" si="3"/>
        <v>0</v>
      </c>
      <c r="F26" s="15">
        <f t="shared" si="3"/>
        <v>0</v>
      </c>
      <c r="G26" s="15">
        <f t="shared" si="3"/>
        <v>0</v>
      </c>
      <c r="H26" s="15">
        <f t="shared" si="3"/>
        <v>0</v>
      </c>
      <c r="I26" s="15">
        <f t="shared" si="3"/>
        <v>0</v>
      </c>
      <c r="J26" s="15">
        <f t="shared" si="3"/>
        <v>0</v>
      </c>
      <c r="K26" s="15">
        <f t="shared" si="3"/>
        <v>0</v>
      </c>
      <c r="L26" s="15">
        <f t="shared" si="3"/>
        <v>0</v>
      </c>
      <c r="M26" s="15">
        <f t="shared" si="3"/>
        <v>0</v>
      </c>
      <c r="N26" s="15">
        <f>SUM(B26:M26)</f>
        <v>0</v>
      </c>
      <c r="O26" s="29"/>
    </row>
    <row r="27" spans="1:15" s="6" customFormat="1">
      <c r="A27" s="13" t="s">
        <v>39</v>
      </c>
      <c r="B27" s="12">
        <f t="shared" ref="B27:N27" si="4">SUM(B23:B26)</f>
        <v>955008</v>
      </c>
      <c r="C27" s="12">
        <f t="shared" si="4"/>
        <v>1764351</v>
      </c>
      <c r="D27" s="12">
        <f t="shared" si="4"/>
        <v>2737865</v>
      </c>
      <c r="E27" s="12">
        <f t="shared" si="4"/>
        <v>2577110</v>
      </c>
      <c r="F27" s="12">
        <f t="shared" si="4"/>
        <v>1533319</v>
      </c>
      <c r="G27" s="12">
        <f t="shared" si="4"/>
        <v>1591348</v>
      </c>
      <c r="H27" s="12">
        <f t="shared" si="4"/>
        <v>1898244</v>
      </c>
      <c r="I27" s="12">
        <f t="shared" si="4"/>
        <v>2141961</v>
      </c>
      <c r="J27" s="12">
        <f t="shared" si="4"/>
        <v>2521053</v>
      </c>
      <c r="K27" s="12">
        <f t="shared" si="4"/>
        <v>2467235</v>
      </c>
      <c r="L27" s="12">
        <f t="shared" si="4"/>
        <v>1713003</v>
      </c>
      <c r="M27" s="12">
        <f>SUM(M23:M26)</f>
        <v>938691</v>
      </c>
      <c r="N27" s="12">
        <f t="shared" si="4"/>
        <v>22839188</v>
      </c>
      <c r="O27" s="29"/>
    </row>
    <row r="28" spans="1:15" s="6" customFormat="1" ht="14.45" customHeight="1">
      <c r="B28" s="73">
        <f>+B27/B9</f>
        <v>0.54153664698060411</v>
      </c>
      <c r="C28" s="73">
        <f t="shared" ref="C28:N28" si="5">+C27/C9</f>
        <v>0.39853911615104065</v>
      </c>
      <c r="D28" s="73">
        <f t="shared" si="5"/>
        <v>0.62811535225863113</v>
      </c>
      <c r="E28" s="73">
        <f t="shared" si="5"/>
        <v>0.66908430232180771</v>
      </c>
      <c r="F28" s="73">
        <f t="shared" si="5"/>
        <v>0.65307588841157116</v>
      </c>
      <c r="G28" s="73">
        <f t="shared" si="5"/>
        <v>0.6475013986796464</v>
      </c>
      <c r="H28" s="73">
        <f t="shared" si="5"/>
        <v>0.45257857952461994</v>
      </c>
      <c r="I28" s="73">
        <f t="shared" si="5"/>
        <v>0.63990020720955409</v>
      </c>
      <c r="J28" s="73">
        <f t="shared" si="5"/>
        <v>0.69598012978472834</v>
      </c>
      <c r="K28" s="73">
        <f t="shared" si="5"/>
        <v>0.67812553939789721</v>
      </c>
      <c r="L28" s="73">
        <f t="shared" si="5"/>
        <v>0.61621118200105329</v>
      </c>
      <c r="M28" s="73">
        <f t="shared" si="5"/>
        <v>0.54806104105154929</v>
      </c>
      <c r="N28" s="73">
        <f t="shared" si="5"/>
        <v>0.5932022269977334</v>
      </c>
    </row>
    <row r="29" spans="1:15" s="6" customFormat="1" hidden="1">
      <c r="A29" s="13" t="s">
        <v>40</v>
      </c>
      <c r="B29" s="7"/>
      <c r="C29" s="7"/>
      <c r="D29" s="7"/>
      <c r="E29" s="7"/>
      <c r="F29" s="7"/>
      <c r="G29" s="7"/>
      <c r="H29" s="7"/>
      <c r="I29" s="7"/>
      <c r="J29" s="7"/>
      <c r="K29" s="7"/>
      <c r="L29" s="7"/>
      <c r="M29" s="7"/>
    </row>
    <row r="30" spans="1:15" s="6" customFormat="1" hidden="1">
      <c r="A30" s="6" t="s">
        <v>93</v>
      </c>
      <c r="B30" s="53">
        <v>550190</v>
      </c>
      <c r="C30" s="53">
        <v>644844</v>
      </c>
      <c r="D30" s="53">
        <v>702597</v>
      </c>
      <c r="E30" s="53">
        <v>894957</v>
      </c>
      <c r="F30" s="53">
        <v>586761</v>
      </c>
      <c r="G30" s="53">
        <v>580848</v>
      </c>
      <c r="H30" s="53">
        <v>737164</v>
      </c>
      <c r="I30" s="53">
        <v>782261</v>
      </c>
      <c r="J30" s="53">
        <v>748788</v>
      </c>
      <c r="K30" s="53">
        <v>655189</v>
      </c>
      <c r="L30" s="53">
        <v>672632</v>
      </c>
      <c r="M30" s="53">
        <v>481272</v>
      </c>
      <c r="N30" s="7">
        <f>SUM(B30:M30)</f>
        <v>8037503</v>
      </c>
      <c r="O30" s="29"/>
    </row>
    <row r="31" spans="1:15" s="6" customFormat="1" hidden="1">
      <c r="A31" s="6" t="s">
        <v>42</v>
      </c>
      <c r="B31" s="53">
        <v>192847</v>
      </c>
      <c r="C31" s="53">
        <v>222888</v>
      </c>
      <c r="D31" s="53">
        <v>200354</v>
      </c>
      <c r="E31" s="53">
        <v>299177</v>
      </c>
      <c r="F31" s="53">
        <v>208586</v>
      </c>
      <c r="G31" s="53">
        <v>216521</v>
      </c>
      <c r="H31" s="53">
        <v>230074</v>
      </c>
      <c r="I31" s="53">
        <v>214469</v>
      </c>
      <c r="J31" s="53">
        <v>191874</v>
      </c>
      <c r="K31" s="53">
        <v>208287</v>
      </c>
      <c r="L31" s="53">
        <v>214590</v>
      </c>
      <c r="M31" s="53">
        <v>210384</v>
      </c>
      <c r="N31" s="7">
        <f>SUM(B31:M31)</f>
        <v>2610051</v>
      </c>
      <c r="O31" s="29"/>
    </row>
    <row r="32" spans="1:15" s="6" customFormat="1" ht="15" hidden="1">
      <c r="A32" s="6" t="s">
        <v>38</v>
      </c>
      <c r="B32" s="68"/>
      <c r="C32" s="68"/>
      <c r="D32" s="68"/>
      <c r="E32" s="68"/>
      <c r="F32" s="68"/>
      <c r="G32" s="68"/>
      <c r="H32" s="68"/>
      <c r="I32" s="68"/>
      <c r="J32" s="68"/>
      <c r="K32" s="68"/>
      <c r="L32" s="68"/>
      <c r="M32" s="68"/>
      <c r="N32" s="7">
        <f>SUM(B32:M32)</f>
        <v>0</v>
      </c>
      <c r="O32" s="29"/>
    </row>
    <row r="33" spans="1:16" s="6" customFormat="1" hidden="1">
      <c r="B33" s="15"/>
      <c r="C33" s="15"/>
      <c r="D33" s="15"/>
      <c r="E33" s="15"/>
      <c r="F33" s="15"/>
      <c r="G33" s="15"/>
      <c r="H33" s="15"/>
      <c r="I33" s="15"/>
      <c r="J33" s="15"/>
      <c r="K33" s="15"/>
      <c r="L33" s="15"/>
      <c r="M33" s="15"/>
      <c r="N33" s="15">
        <f>SUM(B33:M33)</f>
        <v>0</v>
      </c>
      <c r="O33" s="29"/>
    </row>
    <row r="34" spans="1:16" s="6" customFormat="1">
      <c r="A34" s="13" t="s">
        <v>43</v>
      </c>
      <c r="B34" s="12">
        <f t="shared" ref="B34:N34" si="6">SUM(B30:B33)</f>
        <v>743037</v>
      </c>
      <c r="C34" s="12">
        <f t="shared" si="6"/>
        <v>867732</v>
      </c>
      <c r="D34" s="12">
        <f t="shared" si="6"/>
        <v>902951</v>
      </c>
      <c r="E34" s="12">
        <f t="shared" si="6"/>
        <v>1194134</v>
      </c>
      <c r="F34" s="12">
        <f t="shared" si="6"/>
        <v>795347</v>
      </c>
      <c r="G34" s="12">
        <f t="shared" si="6"/>
        <v>797369</v>
      </c>
      <c r="H34" s="12">
        <f t="shared" si="6"/>
        <v>967238</v>
      </c>
      <c r="I34" s="12">
        <f t="shared" si="6"/>
        <v>996730</v>
      </c>
      <c r="J34" s="12">
        <f t="shared" si="6"/>
        <v>940662</v>
      </c>
      <c r="K34" s="12">
        <f t="shared" si="6"/>
        <v>863476</v>
      </c>
      <c r="L34" s="12">
        <f t="shared" si="6"/>
        <v>887222</v>
      </c>
      <c r="M34" s="12">
        <f t="shared" si="6"/>
        <v>691656</v>
      </c>
      <c r="N34" s="12">
        <f t="shared" si="6"/>
        <v>10647554</v>
      </c>
      <c r="O34" s="29"/>
    </row>
    <row r="35" spans="1:16" s="6" customFormat="1">
      <c r="B35" s="7"/>
      <c r="C35" s="7"/>
      <c r="D35" s="7"/>
      <c r="E35" s="7"/>
      <c r="F35" s="7"/>
      <c r="G35" s="7"/>
      <c r="H35" s="7"/>
      <c r="I35" s="7"/>
      <c r="J35" s="7"/>
      <c r="K35" s="7"/>
      <c r="L35" s="7"/>
      <c r="M35" s="7"/>
    </row>
    <row r="36" spans="1:16" s="6" customFormat="1">
      <c r="A36" s="13" t="s">
        <v>44</v>
      </c>
      <c r="B36" s="7"/>
      <c r="C36" s="7"/>
      <c r="D36" s="7"/>
      <c r="E36" s="7"/>
      <c r="F36" s="7"/>
      <c r="G36" s="7"/>
      <c r="H36" s="7"/>
      <c r="I36" s="7"/>
      <c r="J36" s="7"/>
      <c r="K36" s="7"/>
      <c r="L36" s="7"/>
      <c r="M36" s="7"/>
    </row>
    <row r="37" spans="1:16" s="6" customFormat="1">
      <c r="A37" s="6" t="s">
        <v>45</v>
      </c>
      <c r="B37" s="53">
        <v>1292386</v>
      </c>
      <c r="C37" s="53">
        <v>1363232</v>
      </c>
      <c r="D37" s="53">
        <v>1482893</v>
      </c>
      <c r="E37" s="53">
        <v>1759651</v>
      </c>
      <c r="F37" s="53">
        <v>1355166</v>
      </c>
      <c r="G37" s="66">
        <v>1331199</v>
      </c>
      <c r="H37" s="66">
        <v>1469965</v>
      </c>
      <c r="I37" s="66">
        <v>1591079</v>
      </c>
      <c r="J37" s="66">
        <v>1526722</v>
      </c>
      <c r="K37" s="53">
        <v>1577003</v>
      </c>
      <c r="L37" s="53">
        <v>1429774</v>
      </c>
      <c r="M37" s="53">
        <v>1131406</v>
      </c>
      <c r="N37" s="7">
        <f>SUM(B37:M37)</f>
        <v>17310476</v>
      </c>
      <c r="O37" s="29"/>
    </row>
    <row r="38" spans="1:16" s="6" customFormat="1">
      <c r="A38" s="6" t="s">
        <v>46</v>
      </c>
      <c r="B38" s="7">
        <f>-B34</f>
        <v>-743037</v>
      </c>
      <c r="C38" s="7">
        <f t="shared" ref="C38:M38" si="7">-C34</f>
        <v>-867732</v>
      </c>
      <c r="D38" s="7">
        <f t="shared" si="7"/>
        <v>-902951</v>
      </c>
      <c r="E38" s="7">
        <f t="shared" si="7"/>
        <v>-1194134</v>
      </c>
      <c r="F38" s="7">
        <f t="shared" si="7"/>
        <v>-795347</v>
      </c>
      <c r="G38" s="7">
        <f t="shared" si="7"/>
        <v>-797369</v>
      </c>
      <c r="H38" s="7">
        <f t="shared" si="7"/>
        <v>-967238</v>
      </c>
      <c r="I38" s="7">
        <f t="shared" si="7"/>
        <v>-996730</v>
      </c>
      <c r="J38" s="7">
        <f t="shared" si="7"/>
        <v>-940662</v>
      </c>
      <c r="K38" s="7">
        <f t="shared" si="7"/>
        <v>-863476</v>
      </c>
      <c r="L38" s="7">
        <f t="shared" si="7"/>
        <v>-887222</v>
      </c>
      <c r="M38" s="7">
        <f t="shared" si="7"/>
        <v>-691656</v>
      </c>
      <c r="N38" s="7">
        <f>SUM(B38:M38)</f>
        <v>-10647554</v>
      </c>
      <c r="O38" s="29"/>
    </row>
    <row r="39" spans="1:16" s="6" customFormat="1">
      <c r="A39" s="6" t="s">
        <v>47</v>
      </c>
      <c r="B39" s="72">
        <v>-79744</v>
      </c>
      <c r="C39" s="72">
        <v>-79744</v>
      </c>
      <c r="D39" s="87">
        <v>-79744</v>
      </c>
      <c r="E39" s="72">
        <v>-73419</v>
      </c>
      <c r="F39" s="87">
        <v>-73419</v>
      </c>
      <c r="G39" s="72">
        <v>-73419</v>
      </c>
      <c r="H39" s="72">
        <v>-73419</v>
      </c>
      <c r="I39" s="72">
        <v>-77993</v>
      </c>
      <c r="J39" s="72">
        <v>-80621</v>
      </c>
      <c r="K39" s="87">
        <v>-80540</v>
      </c>
      <c r="L39" s="72">
        <v>-82780</v>
      </c>
      <c r="M39" s="72">
        <v>-81945</v>
      </c>
      <c r="N39" s="7">
        <f>SUM(B39:M39)</f>
        <v>-936787</v>
      </c>
      <c r="O39" s="29"/>
    </row>
    <row r="40" spans="1:16" s="6" customFormat="1">
      <c r="A40" s="6" t="s">
        <v>78</v>
      </c>
      <c r="B40" s="53"/>
      <c r="C40" s="53"/>
      <c r="D40" s="53"/>
      <c r="E40" s="53"/>
      <c r="F40" s="53"/>
      <c r="G40" s="53"/>
      <c r="H40" s="53"/>
      <c r="I40" s="53"/>
      <c r="J40" s="53"/>
      <c r="K40" s="53"/>
      <c r="L40" s="53"/>
      <c r="M40" s="53"/>
      <c r="N40" s="7">
        <f>SUM(B40:M40)</f>
        <v>0</v>
      </c>
      <c r="O40" s="29"/>
    </row>
    <row r="41" spans="1:16" s="6" customFormat="1">
      <c r="A41" s="6" t="s">
        <v>48</v>
      </c>
      <c r="B41" s="60">
        <v>-10000</v>
      </c>
      <c r="C41" s="60">
        <v>-10000</v>
      </c>
      <c r="D41" s="60">
        <v>-10000</v>
      </c>
      <c r="E41" s="60">
        <v>-10000</v>
      </c>
      <c r="F41" s="60">
        <v>-10000</v>
      </c>
      <c r="G41" s="60">
        <v>-10000</v>
      </c>
      <c r="H41" s="60">
        <v>-10000</v>
      </c>
      <c r="I41" s="60">
        <v>-10000</v>
      </c>
      <c r="J41" s="60">
        <v>-10300</v>
      </c>
      <c r="K41" s="60">
        <v>-10300</v>
      </c>
      <c r="L41" s="60">
        <v>-10300</v>
      </c>
      <c r="M41" s="60">
        <v>-10000</v>
      </c>
      <c r="N41" s="15">
        <f>SUM(B41:M41)</f>
        <v>-120900</v>
      </c>
      <c r="O41" s="29"/>
    </row>
    <row r="42" spans="1:16" s="6" customFormat="1">
      <c r="A42" s="13" t="s">
        <v>49</v>
      </c>
      <c r="B42" s="12">
        <f t="shared" ref="B42:N42" si="8">SUM(B37:B41)</f>
        <v>459605</v>
      </c>
      <c r="C42" s="12">
        <f t="shared" si="8"/>
        <v>405756</v>
      </c>
      <c r="D42" s="12">
        <f t="shared" si="8"/>
        <v>490198</v>
      </c>
      <c r="E42" s="12">
        <f t="shared" si="8"/>
        <v>482098</v>
      </c>
      <c r="F42" s="12">
        <f t="shared" si="8"/>
        <v>476400</v>
      </c>
      <c r="G42" s="12">
        <f t="shared" si="8"/>
        <v>450411</v>
      </c>
      <c r="H42" s="12">
        <f t="shared" si="8"/>
        <v>419308</v>
      </c>
      <c r="I42" s="12">
        <f t="shared" si="8"/>
        <v>506356</v>
      </c>
      <c r="J42" s="12">
        <f t="shared" si="8"/>
        <v>495139</v>
      </c>
      <c r="K42" s="12">
        <f t="shared" si="8"/>
        <v>622687</v>
      </c>
      <c r="L42" s="12">
        <f t="shared" si="8"/>
        <v>449472</v>
      </c>
      <c r="M42" s="12">
        <f t="shared" si="8"/>
        <v>347805</v>
      </c>
      <c r="N42" s="12">
        <f t="shared" si="8"/>
        <v>5605235</v>
      </c>
      <c r="O42" s="29"/>
    </row>
    <row r="43" spans="1:16">
      <c r="A43" s="1"/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2"/>
      <c r="N43" s="12"/>
      <c r="O43" s="6"/>
    </row>
    <row r="44" spans="1:16">
      <c r="A44" s="13" t="s">
        <v>50</v>
      </c>
      <c r="B44" s="53">
        <v>341767</v>
      </c>
      <c r="C44" s="53">
        <v>270679</v>
      </c>
      <c r="D44" s="53">
        <v>279225</v>
      </c>
      <c r="E44" s="53">
        <v>369606</v>
      </c>
      <c r="F44" s="53">
        <v>415556</v>
      </c>
      <c r="G44" s="53">
        <v>301819</v>
      </c>
      <c r="H44" s="53">
        <v>303493</v>
      </c>
      <c r="I44" s="53">
        <v>379392</v>
      </c>
      <c r="J44" s="53">
        <v>328730</v>
      </c>
      <c r="K44" s="53">
        <v>384697</v>
      </c>
      <c r="L44" s="53">
        <v>301088</v>
      </c>
      <c r="M44" s="53">
        <f>743355-270</f>
        <v>743085</v>
      </c>
      <c r="N44" s="12">
        <f>SUM(B44:M44)</f>
        <v>4419137</v>
      </c>
      <c r="O44" s="29"/>
      <c r="P44" s="25"/>
    </row>
    <row r="45" spans="1:16">
      <c r="A45" s="6" t="s">
        <v>107</v>
      </c>
      <c r="B45" s="22"/>
      <c r="C45" s="22"/>
      <c r="D45" s="22"/>
      <c r="E45" s="22"/>
      <c r="F45" s="22"/>
      <c r="G45" s="22"/>
      <c r="H45" s="22"/>
      <c r="I45" s="22"/>
      <c r="J45" s="22"/>
      <c r="K45" s="22"/>
      <c r="L45" s="22"/>
      <c r="M45" s="22"/>
      <c r="N45" s="22">
        <f>SUM(B45:M45)</f>
        <v>0</v>
      </c>
      <c r="O45" s="29"/>
    </row>
    <row r="46" spans="1:16">
      <c r="A46" s="1" t="s">
        <v>50</v>
      </c>
      <c r="B46" s="12">
        <f>SUM(B44:B45)</f>
        <v>341767</v>
      </c>
      <c r="C46" s="12">
        <f>SUM(C44:C45)</f>
        <v>270679</v>
      </c>
      <c r="D46" s="12">
        <f t="shared" ref="D46:N46" si="9">SUM(D44:D45)</f>
        <v>279225</v>
      </c>
      <c r="E46" s="12">
        <f t="shared" si="9"/>
        <v>369606</v>
      </c>
      <c r="F46" s="12">
        <f t="shared" si="9"/>
        <v>415556</v>
      </c>
      <c r="G46" s="12">
        <f t="shared" si="9"/>
        <v>301819</v>
      </c>
      <c r="H46" s="12">
        <f t="shared" si="9"/>
        <v>303493</v>
      </c>
      <c r="I46" s="12">
        <f t="shared" si="9"/>
        <v>379392</v>
      </c>
      <c r="J46" s="12">
        <f t="shared" si="9"/>
        <v>328730</v>
      </c>
      <c r="K46" s="12">
        <f t="shared" si="9"/>
        <v>384697</v>
      </c>
      <c r="L46" s="12">
        <f t="shared" si="9"/>
        <v>301088</v>
      </c>
      <c r="M46" s="12">
        <f t="shared" si="9"/>
        <v>743085</v>
      </c>
      <c r="N46" s="12">
        <f t="shared" si="9"/>
        <v>4419137</v>
      </c>
      <c r="O46" s="29"/>
    </row>
    <row r="47" spans="1:16">
      <c r="B47" s="7"/>
      <c r="C47" s="7"/>
      <c r="D47" s="7"/>
      <c r="E47" s="7"/>
      <c r="F47" s="7"/>
      <c r="G47" s="7"/>
      <c r="H47" s="7"/>
      <c r="I47" s="7"/>
      <c r="J47" s="7"/>
      <c r="K47" s="6"/>
      <c r="L47" s="6"/>
      <c r="M47" s="6"/>
      <c r="N47" s="6"/>
      <c r="O47" s="6"/>
    </row>
    <row r="48" spans="1:16">
      <c r="A48" s="13" t="s">
        <v>52</v>
      </c>
      <c r="B48" s="19">
        <f t="shared" ref="B48:N48" si="10">+B20+B34+B42+B46</f>
        <v>2352916</v>
      </c>
      <c r="C48" s="19">
        <f t="shared" si="10"/>
        <v>4206862</v>
      </c>
      <c r="D48" s="19">
        <f t="shared" si="10"/>
        <v>3293366</v>
      </c>
      <c r="E48" s="19">
        <f t="shared" si="10"/>
        <v>3320425</v>
      </c>
      <c r="F48" s="19">
        <f t="shared" si="10"/>
        <v>2501826</v>
      </c>
      <c r="G48" s="19">
        <f t="shared" si="10"/>
        <v>2415926</v>
      </c>
      <c r="H48" s="19">
        <f t="shared" si="10"/>
        <v>3986081</v>
      </c>
      <c r="I48" s="19">
        <f t="shared" si="10"/>
        <v>3087853</v>
      </c>
      <c r="J48" s="19">
        <f t="shared" si="10"/>
        <v>2865784</v>
      </c>
      <c r="K48" s="19">
        <f t="shared" si="10"/>
        <v>3041941</v>
      </c>
      <c r="L48" s="19">
        <f t="shared" si="10"/>
        <v>2704675</v>
      </c>
      <c r="M48" s="19">
        <f t="shared" si="10"/>
        <v>2556604</v>
      </c>
      <c r="N48" s="19">
        <f t="shared" si="10"/>
        <v>36334259</v>
      </c>
      <c r="O48" s="29"/>
    </row>
    <row r="49" spans="1:26">
      <c r="B49" s="7"/>
      <c r="C49" s="7"/>
      <c r="D49" s="7"/>
      <c r="E49" s="7"/>
      <c r="F49" s="7"/>
      <c r="G49" s="7"/>
      <c r="H49" s="7"/>
      <c r="I49" s="7"/>
      <c r="J49" s="7"/>
      <c r="K49" s="6"/>
      <c r="L49" s="6"/>
      <c r="M49" s="6"/>
      <c r="N49" s="6"/>
      <c r="O49" s="6"/>
    </row>
    <row r="50" spans="1:26">
      <c r="A50" s="1" t="s">
        <v>53</v>
      </c>
      <c r="B50" s="12">
        <f t="shared" ref="B50:M50" si="11">+B13-B48</f>
        <v>-588491</v>
      </c>
      <c r="C50" s="12">
        <f t="shared" si="11"/>
        <v>220222</v>
      </c>
      <c r="D50" s="12">
        <f t="shared" si="11"/>
        <v>1066376</v>
      </c>
      <c r="E50" s="12">
        <f t="shared" si="11"/>
        <v>531272</v>
      </c>
      <c r="F50" s="12">
        <f t="shared" si="11"/>
        <v>-153984</v>
      </c>
      <c r="G50" s="12">
        <f t="shared" si="11"/>
        <v>62222</v>
      </c>
      <c r="H50" s="12">
        <f t="shared" si="11"/>
        <v>212557</v>
      </c>
      <c r="I50" s="12">
        <f t="shared" si="11"/>
        <v>259493</v>
      </c>
      <c r="J50" s="12">
        <f t="shared" si="11"/>
        <v>756300</v>
      </c>
      <c r="K50" s="12">
        <f t="shared" si="11"/>
        <v>596773</v>
      </c>
      <c r="L50" s="12">
        <f t="shared" si="11"/>
        <v>75221</v>
      </c>
      <c r="M50" s="12">
        <f t="shared" si="11"/>
        <v>-843855</v>
      </c>
      <c r="N50" s="12">
        <f>SUM(B50:M50)</f>
        <v>2194106</v>
      </c>
      <c r="O50" s="7">
        <f>+N50+N39+N41</f>
        <v>1136419</v>
      </c>
    </row>
    <row r="51" spans="1:26" ht="7.5" customHeight="1">
      <c r="B51" s="7"/>
      <c r="C51" s="7"/>
      <c r="D51" s="7"/>
      <c r="E51" s="7"/>
      <c r="F51" s="7"/>
      <c r="G51" s="7"/>
      <c r="H51" s="7"/>
      <c r="I51" s="7"/>
      <c r="J51" s="7"/>
      <c r="K51" s="6"/>
      <c r="L51" s="6"/>
      <c r="M51" s="6"/>
      <c r="N51" s="6"/>
      <c r="O51" s="6"/>
    </row>
    <row r="52" spans="1:26">
      <c r="A52" s="1" t="s">
        <v>54</v>
      </c>
      <c r="B52" s="7"/>
      <c r="C52" s="7"/>
      <c r="D52" s="7"/>
      <c r="E52" s="7"/>
      <c r="F52" s="7"/>
      <c r="G52" s="7"/>
      <c r="H52" s="7"/>
      <c r="I52" s="7"/>
      <c r="J52" s="7"/>
      <c r="K52" s="6"/>
      <c r="L52" s="6"/>
      <c r="M52" s="6"/>
      <c r="N52" s="6"/>
      <c r="O52" s="6"/>
    </row>
    <row r="53" spans="1:26" s="6" customFormat="1">
      <c r="A53" s="6" t="s">
        <v>55</v>
      </c>
      <c r="B53" s="10">
        <v>21640</v>
      </c>
      <c r="C53" s="10">
        <v>45767</v>
      </c>
      <c r="D53" s="10">
        <v>849</v>
      </c>
      <c r="E53" s="10">
        <v>0</v>
      </c>
      <c r="F53" s="10">
        <v>6800</v>
      </c>
      <c r="G53" s="10">
        <v>30969</v>
      </c>
      <c r="H53" s="23">
        <v>110259</v>
      </c>
      <c r="I53" s="10">
        <v>168478</v>
      </c>
      <c r="J53" s="10">
        <v>31915</v>
      </c>
      <c r="K53" s="10">
        <v>6779</v>
      </c>
      <c r="L53" s="10">
        <v>10000</v>
      </c>
      <c r="M53" s="10">
        <v>265725</v>
      </c>
      <c r="N53" s="10">
        <f>SUM(B53:M53)</f>
        <v>699181</v>
      </c>
      <c r="O53" s="10">
        <v>930725</v>
      </c>
      <c r="P53" s="40"/>
      <c r="Z53" s="40"/>
    </row>
    <row r="54" spans="1:26" s="6" customFormat="1">
      <c r="A54" s="6" t="s">
        <v>96</v>
      </c>
      <c r="B54" s="10"/>
      <c r="C54" s="10"/>
      <c r="D54" s="10"/>
      <c r="E54" s="10"/>
      <c r="F54" s="10">
        <v>90000</v>
      </c>
      <c r="G54" s="10"/>
      <c r="H54" s="10"/>
      <c r="I54" s="10"/>
      <c r="J54" s="10"/>
      <c r="K54" s="10"/>
      <c r="L54" s="10"/>
      <c r="M54" s="10"/>
      <c r="N54" s="10">
        <f>SUM(B54:M54)</f>
        <v>90000</v>
      </c>
    </row>
    <row r="55" spans="1:26" s="6" customFormat="1">
      <c r="A55" s="6" t="s">
        <v>111</v>
      </c>
      <c r="B55" s="10">
        <v>348240</v>
      </c>
      <c r="C55" s="10"/>
      <c r="D55" s="10"/>
      <c r="E55" s="10"/>
      <c r="F55" s="10"/>
      <c r="G55" s="10"/>
      <c r="H55" s="10"/>
      <c r="I55" s="10"/>
      <c r="J55" s="10"/>
      <c r="K55" s="10"/>
      <c r="L55" s="10">
        <v>0</v>
      </c>
      <c r="M55" s="56"/>
      <c r="N55" s="10">
        <f>SUM(B55:M55)</f>
        <v>348240</v>
      </c>
    </row>
    <row r="56" spans="1:26" s="6" customFormat="1">
      <c r="A56" s="37" t="s">
        <v>58</v>
      </c>
      <c r="B56" s="7">
        <v>-15538.11</v>
      </c>
      <c r="C56" s="7">
        <v>-13830</v>
      </c>
      <c r="D56" s="7">
        <v>-11781</v>
      </c>
      <c r="E56" s="7">
        <v>-16823</v>
      </c>
      <c r="F56" s="7">
        <v>-11637</v>
      </c>
      <c r="G56" s="7">
        <v>-235725</v>
      </c>
      <c r="H56" s="7">
        <v>-12112</v>
      </c>
      <c r="I56" s="7">
        <v>-10838</v>
      </c>
      <c r="J56" s="7">
        <v>-20083</v>
      </c>
      <c r="K56" s="7">
        <v>-14696</v>
      </c>
      <c r="L56" s="7">
        <v>-20000</v>
      </c>
      <c r="M56" s="7">
        <v>-25000</v>
      </c>
      <c r="N56" s="7">
        <f>SUM(B56:M56)</f>
        <v>-408063.11</v>
      </c>
      <c r="O56" s="7">
        <v>412620</v>
      </c>
    </row>
    <row r="57" spans="1:26" s="6" customFormat="1">
      <c r="A57" s="6" t="s">
        <v>59</v>
      </c>
      <c r="B57" s="22">
        <v>-171741</v>
      </c>
      <c r="C57" s="22">
        <v>17619</v>
      </c>
      <c r="D57" s="22">
        <v>-544</v>
      </c>
      <c r="E57" s="22">
        <v>666189</v>
      </c>
      <c r="F57" s="22">
        <v>-73191</v>
      </c>
      <c r="G57" s="22">
        <v>752472</v>
      </c>
      <c r="H57" s="22">
        <v>-562011</v>
      </c>
      <c r="I57" s="22">
        <v>-225136</v>
      </c>
      <c r="J57" s="22">
        <v>-46312</v>
      </c>
      <c r="K57" s="22">
        <v>-356014</v>
      </c>
      <c r="L57" s="22">
        <v>-25000</v>
      </c>
      <c r="M57" s="22">
        <v>-25000</v>
      </c>
      <c r="N57" s="22">
        <f>SUM(B57:M57)</f>
        <v>-48669</v>
      </c>
      <c r="O57" s="56">
        <v>306614</v>
      </c>
    </row>
    <row r="58" spans="1:26" s="6" customFormat="1">
      <c r="A58" s="13" t="s">
        <v>60</v>
      </c>
      <c r="B58" s="19">
        <f t="shared" ref="B58:N58" si="12">SUM(B53:B57)</f>
        <v>182600.89</v>
      </c>
      <c r="C58" s="19">
        <f t="shared" si="12"/>
        <v>49556</v>
      </c>
      <c r="D58" s="19">
        <f t="shared" si="12"/>
        <v>-11476</v>
      </c>
      <c r="E58" s="19">
        <f t="shared" si="12"/>
        <v>649366</v>
      </c>
      <c r="F58" s="19">
        <f t="shared" si="12"/>
        <v>11972</v>
      </c>
      <c r="G58" s="19">
        <f t="shared" si="12"/>
        <v>547716</v>
      </c>
      <c r="H58" s="19">
        <f>SUM(H53:H57)</f>
        <v>-463864</v>
      </c>
      <c r="I58" s="19">
        <f t="shared" si="12"/>
        <v>-67496</v>
      </c>
      <c r="J58" s="19">
        <f t="shared" si="12"/>
        <v>-34480</v>
      </c>
      <c r="K58" s="19">
        <f t="shared" si="12"/>
        <v>-363931</v>
      </c>
      <c r="L58" s="19">
        <f t="shared" si="12"/>
        <v>-35000</v>
      </c>
      <c r="M58" s="19">
        <f t="shared" si="12"/>
        <v>215725</v>
      </c>
      <c r="N58" s="19">
        <f t="shared" si="12"/>
        <v>680688.89</v>
      </c>
      <c r="O58" s="29"/>
    </row>
    <row r="59" spans="1:26">
      <c r="B59" s="7"/>
      <c r="C59" s="7"/>
      <c r="D59" s="7"/>
      <c r="E59" s="7"/>
      <c r="F59" s="7"/>
      <c r="G59" s="7"/>
      <c r="H59" s="7"/>
      <c r="I59" s="7"/>
      <c r="J59" s="7"/>
      <c r="K59" s="7"/>
      <c r="L59" s="7"/>
      <c r="M59" s="7"/>
      <c r="N59" s="7"/>
      <c r="O59" s="6"/>
    </row>
    <row r="60" spans="1:26">
      <c r="A60" s="1" t="s">
        <v>61</v>
      </c>
      <c r="B60" s="12">
        <v>14357541</v>
      </c>
      <c r="C60" s="7"/>
      <c r="D60" s="7"/>
      <c r="E60" s="7"/>
      <c r="F60" s="7"/>
      <c r="G60" s="7"/>
      <c r="H60" s="7" t="s">
        <v>38</v>
      </c>
      <c r="I60" s="7"/>
      <c r="J60" s="7"/>
      <c r="K60" s="6"/>
      <c r="L60" s="6"/>
      <c r="M60" s="6"/>
      <c r="N60" s="6"/>
      <c r="O60" s="6"/>
    </row>
    <row r="61" spans="1:26">
      <c r="A61" s="13" t="s">
        <v>62</v>
      </c>
      <c r="B61" s="19">
        <f t="shared" ref="B61:N61" si="13">+B58+B48</f>
        <v>2535516.89</v>
      </c>
      <c r="C61" s="19">
        <f t="shared" si="13"/>
        <v>4256418</v>
      </c>
      <c r="D61" s="19">
        <f t="shared" si="13"/>
        <v>3281890</v>
      </c>
      <c r="E61" s="19">
        <f t="shared" si="13"/>
        <v>3969791</v>
      </c>
      <c r="F61" s="19">
        <f t="shared" si="13"/>
        <v>2513798</v>
      </c>
      <c r="G61" s="19">
        <f t="shared" si="13"/>
        <v>2963642</v>
      </c>
      <c r="H61" s="19">
        <f t="shared" si="13"/>
        <v>3522217</v>
      </c>
      <c r="I61" s="19">
        <f t="shared" si="13"/>
        <v>3020357</v>
      </c>
      <c r="J61" s="19">
        <f t="shared" si="13"/>
        <v>2831304</v>
      </c>
      <c r="K61" s="19">
        <f t="shared" si="13"/>
        <v>2678010</v>
      </c>
      <c r="L61" s="19">
        <f t="shared" si="13"/>
        <v>2669675</v>
      </c>
      <c r="M61" s="19">
        <f t="shared" si="13"/>
        <v>2772329</v>
      </c>
      <c r="N61" s="19">
        <f t="shared" si="13"/>
        <v>37014947.890000001</v>
      </c>
      <c r="O61" s="29"/>
    </row>
    <row r="62" spans="1:26" ht="13.5" thickBot="1">
      <c r="A62" s="13" t="s">
        <v>63</v>
      </c>
      <c r="B62" s="30">
        <f t="shared" ref="B62:N62" si="14">+B13-B61</f>
        <v>-771091.89000000013</v>
      </c>
      <c r="C62" s="30">
        <f t="shared" si="14"/>
        <v>170666</v>
      </c>
      <c r="D62" s="30">
        <f t="shared" si="14"/>
        <v>1077852</v>
      </c>
      <c r="E62" s="30">
        <f t="shared" si="14"/>
        <v>-118094</v>
      </c>
      <c r="F62" s="30">
        <f t="shared" si="14"/>
        <v>-165956</v>
      </c>
      <c r="G62" s="30">
        <f t="shared" si="14"/>
        <v>-485494</v>
      </c>
      <c r="H62" s="30">
        <f t="shared" si="14"/>
        <v>676421</v>
      </c>
      <c r="I62" s="30">
        <f t="shared" si="14"/>
        <v>326989</v>
      </c>
      <c r="J62" s="30">
        <f t="shared" si="14"/>
        <v>790780</v>
      </c>
      <c r="K62" s="30">
        <f t="shared" si="14"/>
        <v>960704</v>
      </c>
      <c r="L62" s="14">
        <f t="shared" si="14"/>
        <v>110221</v>
      </c>
      <c r="M62" s="14">
        <f t="shared" si="14"/>
        <v>-1059580</v>
      </c>
      <c r="N62" s="14">
        <f t="shared" si="14"/>
        <v>1513417.1099999994</v>
      </c>
      <c r="O62" s="29"/>
    </row>
    <row r="63" spans="1:26" s="6" customFormat="1" ht="13.5" thickTop="1">
      <c r="A63" s="13" t="s">
        <v>64</v>
      </c>
      <c r="B63" s="32">
        <f>+B62</f>
        <v>-771091.89000000013</v>
      </c>
      <c r="C63" s="32">
        <f t="shared" ref="C63:M63" si="15">B63+C62</f>
        <v>-600425.89000000013</v>
      </c>
      <c r="D63" s="32">
        <f t="shared" si="15"/>
        <v>477426.10999999987</v>
      </c>
      <c r="E63" s="32">
        <f t="shared" si="15"/>
        <v>359332.10999999987</v>
      </c>
      <c r="F63" s="32">
        <f t="shared" si="15"/>
        <v>193376.10999999987</v>
      </c>
      <c r="G63" s="32">
        <f t="shared" si="15"/>
        <v>-292117.89000000013</v>
      </c>
      <c r="H63" s="32">
        <f t="shared" si="15"/>
        <v>384303.10999999987</v>
      </c>
      <c r="I63" s="32">
        <f t="shared" si="15"/>
        <v>711292.10999999987</v>
      </c>
      <c r="J63" s="32">
        <f t="shared" si="15"/>
        <v>1502072.1099999999</v>
      </c>
      <c r="K63" s="32">
        <f t="shared" si="15"/>
        <v>2462776.11</v>
      </c>
      <c r="L63" s="12">
        <f t="shared" si="15"/>
        <v>2572997.11</v>
      </c>
      <c r="M63" s="12">
        <f t="shared" si="15"/>
        <v>1513417.1099999999</v>
      </c>
      <c r="N63" s="12"/>
    </row>
    <row r="64" spans="1:26">
      <c r="A64" s="13" t="s">
        <v>65</v>
      </c>
      <c r="B64" s="12">
        <f t="shared" ref="B64:M64" si="16">+$B$60+B63</f>
        <v>13586449.109999999</v>
      </c>
      <c r="C64" s="12">
        <f t="shared" si="16"/>
        <v>13757115.109999999</v>
      </c>
      <c r="D64" s="12">
        <f t="shared" si="16"/>
        <v>14834967.109999999</v>
      </c>
      <c r="E64" s="12">
        <f t="shared" si="16"/>
        <v>14716873.109999999</v>
      </c>
      <c r="F64" s="12">
        <f t="shared" si="16"/>
        <v>14550917.109999999</v>
      </c>
      <c r="G64" s="12">
        <f t="shared" si="16"/>
        <v>14065423.109999999</v>
      </c>
      <c r="H64" s="12">
        <f t="shared" si="16"/>
        <v>14741844.109999999</v>
      </c>
      <c r="I64" s="12">
        <f t="shared" si="16"/>
        <v>15068833.109999999</v>
      </c>
      <c r="J64" s="12">
        <f t="shared" si="16"/>
        <v>15859613.109999999</v>
      </c>
      <c r="K64" s="12">
        <f t="shared" si="16"/>
        <v>16820317.109999999</v>
      </c>
      <c r="L64" s="12">
        <f t="shared" si="16"/>
        <v>16930538.109999999</v>
      </c>
      <c r="M64" s="12">
        <f t="shared" si="16"/>
        <v>15870958.109999999</v>
      </c>
      <c r="N64" s="12"/>
      <c r="O64" s="6"/>
    </row>
    <row r="65" spans="1:15">
      <c r="A65" s="6"/>
      <c r="B65" s="7"/>
      <c r="C65" s="7"/>
      <c r="D65" s="7"/>
      <c r="E65" s="7"/>
      <c r="F65" s="7"/>
      <c r="G65" s="7"/>
      <c r="H65" s="7"/>
      <c r="I65" s="7"/>
      <c r="J65" s="7"/>
      <c r="K65" s="6"/>
      <c r="L65" s="6"/>
      <c r="M65" s="6"/>
      <c r="N65" s="6"/>
      <c r="O65" s="6"/>
    </row>
    <row r="66" spans="1:15" s="6" customFormat="1">
      <c r="A66" s="17" t="s">
        <v>114</v>
      </c>
      <c r="B66" s="18"/>
      <c r="C66" s="18"/>
      <c r="D66" s="18"/>
      <c r="E66" s="18"/>
      <c r="F66" s="18"/>
      <c r="G66" s="18"/>
      <c r="H66" s="18"/>
      <c r="I66" s="18"/>
      <c r="J66" s="18"/>
      <c r="K66" s="18"/>
      <c r="L66" s="18"/>
      <c r="M66" s="18"/>
      <c r="N66" s="18"/>
    </row>
    <row r="67" spans="1:15" ht="13.5" thickBot="1">
      <c r="A67" s="13" t="s">
        <v>67</v>
      </c>
      <c r="B67" s="14">
        <v>-1440029</v>
      </c>
      <c r="C67" s="14">
        <v>-123812</v>
      </c>
      <c r="D67" s="14">
        <v>1148155</v>
      </c>
      <c r="E67" s="14">
        <v>583156</v>
      </c>
      <c r="F67" s="14">
        <v>-125852</v>
      </c>
      <c r="G67" s="14">
        <v>-37690</v>
      </c>
      <c r="H67" s="14">
        <v>100669</v>
      </c>
      <c r="I67" s="14">
        <v>782418</v>
      </c>
      <c r="J67" s="14">
        <v>335342</v>
      </c>
      <c r="K67" s="14">
        <v>368443</v>
      </c>
      <c r="L67" s="14">
        <v>110221</v>
      </c>
      <c r="M67" s="14">
        <v>-1059580</v>
      </c>
      <c r="N67" s="16"/>
      <c r="O67" s="6"/>
    </row>
    <row r="68" spans="1:15" ht="13.5" thickTop="1">
      <c r="A68" s="13" t="s">
        <v>64</v>
      </c>
      <c r="B68" s="12">
        <f>+B67</f>
        <v>-1440029</v>
      </c>
      <c r="C68" s="12">
        <f>+B68+C67</f>
        <v>-1563841</v>
      </c>
      <c r="D68" s="12">
        <f t="shared" ref="D68:M68" si="17">+C68+D67</f>
        <v>-415686</v>
      </c>
      <c r="E68" s="12">
        <f t="shared" si="17"/>
        <v>167470</v>
      </c>
      <c r="F68" s="12">
        <f t="shared" si="17"/>
        <v>41618</v>
      </c>
      <c r="G68" s="12">
        <f t="shared" si="17"/>
        <v>3928</v>
      </c>
      <c r="H68" s="12">
        <f t="shared" si="17"/>
        <v>104597</v>
      </c>
      <c r="I68" s="12">
        <f t="shared" si="17"/>
        <v>887015</v>
      </c>
      <c r="J68" s="12">
        <f t="shared" si="17"/>
        <v>1222357</v>
      </c>
      <c r="K68" s="12">
        <f t="shared" si="17"/>
        <v>1590800</v>
      </c>
      <c r="L68" s="12">
        <f t="shared" si="17"/>
        <v>1701021</v>
      </c>
      <c r="M68" s="12">
        <f t="shared" si="17"/>
        <v>641441</v>
      </c>
      <c r="N68" s="16"/>
      <c r="O68" s="6"/>
    </row>
    <row r="69" spans="1:15">
      <c r="A69" s="13" t="s">
        <v>65</v>
      </c>
      <c r="B69" s="12">
        <v>12917512</v>
      </c>
      <c r="C69" s="12">
        <v>12793700</v>
      </c>
      <c r="D69" s="12">
        <v>13941855</v>
      </c>
      <c r="E69" s="12">
        <v>14525011</v>
      </c>
      <c r="F69" s="12">
        <v>14399159</v>
      </c>
      <c r="G69" s="12">
        <v>14361469</v>
      </c>
      <c r="H69" s="12">
        <v>14462138</v>
      </c>
      <c r="I69" s="12">
        <v>15244556</v>
      </c>
      <c r="J69" s="12">
        <v>15579898</v>
      </c>
      <c r="K69" s="12">
        <v>15948341</v>
      </c>
      <c r="L69" s="12">
        <v>16058562</v>
      </c>
      <c r="M69" s="12">
        <v>14998982</v>
      </c>
      <c r="N69" s="12"/>
      <c r="O69" s="6"/>
    </row>
    <row r="70" spans="1:15">
      <c r="A70" s="6"/>
      <c r="B70" s="6"/>
      <c r="C70" s="6"/>
      <c r="D70" s="6"/>
      <c r="E70" s="6"/>
      <c r="F70" s="6"/>
      <c r="H70" s="6"/>
      <c r="I70" s="6"/>
      <c r="J70" s="6"/>
      <c r="K70" s="6"/>
      <c r="L70" s="6"/>
      <c r="M70" s="6"/>
      <c r="N70" s="6"/>
      <c r="O70" s="6"/>
    </row>
    <row r="71" spans="1:15">
      <c r="A71" s="24" t="s">
        <v>68</v>
      </c>
      <c r="B71" s="18"/>
      <c r="C71" s="18"/>
      <c r="D71" s="18"/>
      <c r="E71" s="18"/>
      <c r="F71" s="18"/>
      <c r="G71" s="18"/>
      <c r="H71" s="18"/>
      <c r="I71" s="18"/>
      <c r="J71" s="18"/>
      <c r="K71" s="18"/>
      <c r="L71" s="18"/>
      <c r="M71" s="18"/>
      <c r="N71" s="18"/>
      <c r="O71" s="6"/>
    </row>
    <row r="72" spans="1:15">
      <c r="A72" s="13" t="s">
        <v>63</v>
      </c>
      <c r="B72" s="31">
        <f t="shared" ref="B72:N74" si="18">+B62-B67</f>
        <v>668937.10999999987</v>
      </c>
      <c r="C72" s="31">
        <f t="shared" si="18"/>
        <v>294478</v>
      </c>
      <c r="D72" s="31">
        <f t="shared" si="18"/>
        <v>-70303</v>
      </c>
      <c r="E72" s="31">
        <f t="shared" si="18"/>
        <v>-701250</v>
      </c>
      <c r="F72" s="31">
        <f t="shared" si="18"/>
        <v>-40104</v>
      </c>
      <c r="G72" s="31">
        <f t="shared" si="18"/>
        <v>-447804</v>
      </c>
      <c r="H72" s="31">
        <f t="shared" si="18"/>
        <v>575752</v>
      </c>
      <c r="I72" s="31">
        <f t="shared" si="18"/>
        <v>-455429</v>
      </c>
      <c r="J72" s="31">
        <f t="shared" si="18"/>
        <v>455438</v>
      </c>
      <c r="K72" s="31">
        <f t="shared" si="18"/>
        <v>592261</v>
      </c>
      <c r="L72" s="31">
        <f t="shared" si="18"/>
        <v>0</v>
      </c>
      <c r="M72" s="31">
        <f t="shared" si="18"/>
        <v>0</v>
      </c>
      <c r="N72" s="6"/>
      <c r="O72" s="6"/>
    </row>
    <row r="73" spans="1:15" s="6" customFormat="1">
      <c r="A73" s="13" t="s">
        <v>64</v>
      </c>
      <c r="B73" s="31">
        <f t="shared" si="18"/>
        <v>668937.10999999987</v>
      </c>
      <c r="C73" s="31">
        <f t="shared" si="18"/>
        <v>963415.10999999987</v>
      </c>
      <c r="D73" s="31">
        <f t="shared" si="18"/>
        <v>893112.10999999987</v>
      </c>
      <c r="E73" s="31">
        <f t="shared" si="18"/>
        <v>191862.10999999987</v>
      </c>
      <c r="F73" s="31">
        <f t="shared" si="18"/>
        <v>151758.10999999987</v>
      </c>
      <c r="G73" s="31">
        <f t="shared" si="18"/>
        <v>-296045.89000000013</v>
      </c>
      <c r="H73" s="31">
        <f t="shared" si="18"/>
        <v>279706.10999999987</v>
      </c>
      <c r="I73" s="31">
        <f t="shared" si="18"/>
        <v>-175722.89000000013</v>
      </c>
      <c r="J73" s="31">
        <f t="shared" si="18"/>
        <v>279715.10999999987</v>
      </c>
      <c r="K73" s="31">
        <f t="shared" si="18"/>
        <v>871976.10999999987</v>
      </c>
      <c r="L73" s="31">
        <f t="shared" si="18"/>
        <v>871976.10999999987</v>
      </c>
      <c r="M73" s="31">
        <f t="shared" si="18"/>
        <v>871976.10999999987</v>
      </c>
      <c r="N73" s="16">
        <f t="shared" si="18"/>
        <v>0</v>
      </c>
    </row>
    <row r="74" spans="1:15">
      <c r="A74" s="1" t="s">
        <v>65</v>
      </c>
      <c r="B74" s="16">
        <f t="shared" si="18"/>
        <v>668937.1099999994</v>
      </c>
      <c r="C74" s="16">
        <f t="shared" si="18"/>
        <v>963415.1099999994</v>
      </c>
      <c r="D74" s="16">
        <f t="shared" si="18"/>
        <v>893112.1099999994</v>
      </c>
      <c r="E74" s="16">
        <f t="shared" si="18"/>
        <v>191862.1099999994</v>
      </c>
      <c r="F74" s="16">
        <f t="shared" si="18"/>
        <v>151758.1099999994</v>
      </c>
      <c r="G74" s="16">
        <f t="shared" si="18"/>
        <v>-296045.8900000006</v>
      </c>
      <c r="H74" s="16">
        <f t="shared" si="18"/>
        <v>279706.1099999994</v>
      </c>
      <c r="I74" s="16">
        <f t="shared" si="18"/>
        <v>-175722.8900000006</v>
      </c>
      <c r="J74" s="16">
        <f t="shared" si="18"/>
        <v>279715.1099999994</v>
      </c>
      <c r="K74" s="16">
        <f t="shared" si="18"/>
        <v>871976.1099999994</v>
      </c>
      <c r="L74" s="16">
        <f t="shared" si="18"/>
        <v>871976.1099999994</v>
      </c>
      <c r="M74" s="16">
        <f t="shared" si="18"/>
        <v>871976.1099999994</v>
      </c>
      <c r="N74" s="16"/>
      <c r="O74" s="6"/>
    </row>
    <row r="75" spans="1:15">
      <c r="B75" s="6"/>
      <c r="C75" s="6"/>
      <c r="D75" s="6"/>
      <c r="E75" s="6"/>
      <c r="F75" s="6"/>
      <c r="H75" s="6"/>
      <c r="I75" s="6"/>
      <c r="J75" s="6"/>
      <c r="K75" s="6"/>
      <c r="L75" s="6"/>
      <c r="M75" s="6"/>
      <c r="N75" s="6"/>
    </row>
    <row r="76" spans="1:15">
      <c r="A76" s="1"/>
      <c r="B76" s="4"/>
      <c r="C76" s="8"/>
      <c r="D76" s="8"/>
      <c r="E76" s="8"/>
      <c r="F76" s="8"/>
      <c r="H76" s="20"/>
      <c r="J76" s="6"/>
      <c r="K76" s="6"/>
    </row>
    <row r="77" spans="1:15">
      <c r="A77" s="1"/>
      <c r="B77" s="4"/>
      <c r="C77" s="8"/>
      <c r="D77" s="8"/>
      <c r="E77" s="8"/>
      <c r="F77" s="8"/>
      <c r="H77" s="85">
        <v>12112.349999999999</v>
      </c>
      <c r="I77" s="86"/>
      <c r="J77" s="85">
        <v>562010.51</v>
      </c>
    </row>
    <row r="78" spans="1:15">
      <c r="A78" s="1"/>
      <c r="B78" s="4"/>
      <c r="D78" s="8"/>
      <c r="E78" s="8"/>
      <c r="F78" s="8"/>
      <c r="H78" s="61"/>
      <c r="J78" s="6"/>
    </row>
    <row r="79" spans="1:15">
      <c r="E79" s="6"/>
      <c r="H79" s="20"/>
      <c r="J79" s="6"/>
      <c r="N79" s="25"/>
    </row>
    <row r="80" spans="1:15">
      <c r="A80" t="s">
        <v>69</v>
      </c>
      <c r="B80" t="s">
        <v>69</v>
      </c>
      <c r="C80" t="s">
        <v>69</v>
      </c>
      <c r="D80" t="s">
        <v>69</v>
      </c>
      <c r="E80" s="6" t="s">
        <v>69</v>
      </c>
      <c r="F80" t="s">
        <v>69</v>
      </c>
      <c r="G80" s="6" t="s">
        <v>69</v>
      </c>
      <c r="H80" t="s">
        <v>69</v>
      </c>
      <c r="I80" t="s">
        <v>69</v>
      </c>
      <c r="J80" s="6" t="s">
        <v>69</v>
      </c>
      <c r="K80" t="s">
        <v>69</v>
      </c>
      <c r="L80" t="s">
        <v>69</v>
      </c>
      <c r="M80" t="s">
        <v>69</v>
      </c>
      <c r="N80" t="s">
        <v>69</v>
      </c>
    </row>
    <row r="82" spans="6:8">
      <c r="F82">
        <v>11636.78</v>
      </c>
      <c r="H82">
        <v>73191.26999999999</v>
      </c>
    </row>
    <row r="84" spans="6:8">
      <c r="F84" s="2">
        <f>SUM(B56:F56)</f>
        <v>-69609.11</v>
      </c>
    </row>
    <row r="85" spans="6:8">
      <c r="F85" s="2">
        <f>SUM(B57:F57)</f>
        <v>438332</v>
      </c>
    </row>
  </sheetData>
  <pageMargins left="0.28000000000000003" right="0.25" top="0.99" bottom="0.75" header="0.63" footer="0.23"/>
  <pageSetup scale="60" orientation="landscape" r:id="rId1"/>
  <headerFooter alignWithMargins="0">
    <oddHeader xml:space="preserve">&amp;C&amp;"Arial,Bold"&amp;11 49ER SHOPS, INC.
&amp;UFY2018/2019 OPERATIONAL CASH FLOW </oddHeader>
    <oddFooter xml:space="preserve">&amp;CCash Flow - FY2018/2019
April 2019
</oddFooter>
  </headerFooter>
  <legacyDrawing r:id="rId2"/>
</worksheet>
</file>

<file path=xl/worksheets/sheet4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92D050"/>
    <pageSetUpPr fitToPage="1"/>
  </sheetPr>
  <dimension ref="A1:Z85"/>
  <sheetViews>
    <sheetView showGridLines="0" topLeftCell="A49" zoomScale="80" zoomScaleNormal="80" workbookViewId="0">
      <selection activeCell="A66" sqref="A66:N74"/>
    </sheetView>
  </sheetViews>
  <sheetFormatPr defaultRowHeight="12.75"/>
  <cols>
    <col min="1" max="1" width="35.42578125" customWidth="1"/>
    <col min="2" max="2" width="14" customWidth="1"/>
    <col min="3" max="3" width="14.5703125" customWidth="1"/>
    <col min="4" max="4" width="14" customWidth="1"/>
    <col min="5" max="6" width="13.5703125" customWidth="1"/>
    <col min="7" max="7" width="16.5703125" style="6" customWidth="1"/>
    <col min="8" max="8" width="14.140625" customWidth="1"/>
    <col min="9" max="9" width="14.42578125" customWidth="1"/>
    <col min="10" max="10" width="13.85546875" customWidth="1"/>
    <col min="11" max="11" width="15.140625" customWidth="1"/>
    <col min="12" max="12" width="13.5703125" customWidth="1"/>
    <col min="13" max="13" width="14.42578125" customWidth="1"/>
    <col min="14" max="14" width="16.5703125" customWidth="1"/>
    <col min="15" max="15" width="12.42578125" bestFit="1" customWidth="1"/>
    <col min="16" max="16" width="14.140625" customWidth="1"/>
  </cols>
  <sheetData>
    <row r="1" spans="1:16" ht="13.5" thickBot="1">
      <c r="A1" s="46" t="s">
        <v>122</v>
      </c>
      <c r="E1" s="6"/>
      <c r="F1" s="6"/>
      <c r="J1" s="6"/>
      <c r="K1" s="6"/>
      <c r="N1" s="3"/>
    </row>
    <row r="2" spans="1:16">
      <c r="B2" s="45" t="s">
        <v>76</v>
      </c>
      <c r="C2" s="45" t="s">
        <v>76</v>
      </c>
      <c r="D2" s="45" t="s">
        <v>76</v>
      </c>
      <c r="E2" s="45" t="s">
        <v>76</v>
      </c>
      <c r="F2" s="45" t="s">
        <v>76</v>
      </c>
      <c r="G2" s="45" t="s">
        <v>76</v>
      </c>
      <c r="H2" s="45" t="s">
        <v>76</v>
      </c>
      <c r="I2" s="45" t="s">
        <v>76</v>
      </c>
      <c r="J2" s="45" t="s">
        <v>76</v>
      </c>
      <c r="K2" s="45" t="s">
        <v>76</v>
      </c>
      <c r="L2" s="45" t="s">
        <v>76</v>
      </c>
      <c r="M2" s="45" t="s">
        <v>76</v>
      </c>
      <c r="N2" s="28" t="s">
        <v>25</v>
      </c>
    </row>
    <row r="3" spans="1:16" s="5" customFormat="1">
      <c r="B3" s="11">
        <v>43648</v>
      </c>
      <c r="C3" s="11">
        <v>43679</v>
      </c>
      <c r="D3" s="11">
        <v>43710</v>
      </c>
      <c r="E3" s="11">
        <v>43740</v>
      </c>
      <c r="F3" s="11">
        <v>43771</v>
      </c>
      <c r="G3" s="11">
        <v>43801</v>
      </c>
      <c r="H3" s="11">
        <v>43832</v>
      </c>
      <c r="I3" s="11">
        <v>43863</v>
      </c>
      <c r="J3" s="11">
        <v>43892</v>
      </c>
      <c r="K3" s="11">
        <v>43923</v>
      </c>
      <c r="L3" s="11">
        <v>43953</v>
      </c>
      <c r="M3" s="11">
        <v>43984</v>
      </c>
      <c r="N3" s="57" t="s">
        <v>123</v>
      </c>
    </row>
    <row r="4" spans="1:16">
      <c r="A4" s="1" t="s">
        <v>27</v>
      </c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>
        <f>SUM(B4:M4)</f>
        <v>0</v>
      </c>
      <c r="O4" s="29"/>
    </row>
    <row r="5" spans="1:16" s="6" customFormat="1">
      <c r="A5" s="6" t="s">
        <v>28</v>
      </c>
      <c r="B5" s="53">
        <v>1640834.6158099999</v>
      </c>
      <c r="C5" s="53">
        <v>4439424.0206399998</v>
      </c>
      <c r="D5" s="53">
        <v>4095268.3387500001</v>
      </c>
      <c r="E5" s="53">
        <v>3848072.6086600004</v>
      </c>
      <c r="F5" s="53">
        <v>2455124.5614399998</v>
      </c>
      <c r="G5" s="53">
        <v>2427666.0239800001</v>
      </c>
      <c r="H5" s="53">
        <v>3962386.4049500003</v>
      </c>
      <c r="I5" s="53">
        <v>3413283.7329099998</v>
      </c>
      <c r="J5" s="53">
        <v>3663286.3910400001</v>
      </c>
      <c r="K5" s="53">
        <v>3303515.2019700003</v>
      </c>
      <c r="L5" s="53">
        <v>2866321.64855</v>
      </c>
      <c r="M5" s="53">
        <v>1394806.15129</v>
      </c>
      <c r="N5" s="12">
        <f>SUM(B5:M5)</f>
        <v>37509989.699990004</v>
      </c>
      <c r="O5" s="29"/>
    </row>
    <row r="6" spans="1:16" s="6" customFormat="1">
      <c r="A6" s="6" t="s">
        <v>29</v>
      </c>
      <c r="B6" s="53">
        <v>92028</v>
      </c>
      <c r="C6" s="53">
        <v>91110</v>
      </c>
      <c r="D6" s="53">
        <v>348679</v>
      </c>
      <c r="E6" s="53">
        <v>123444</v>
      </c>
      <c r="F6" s="53">
        <v>160988</v>
      </c>
      <c r="G6" s="53">
        <v>98971</v>
      </c>
      <c r="H6" s="53">
        <v>117729</v>
      </c>
      <c r="I6" s="53">
        <v>171397</v>
      </c>
      <c r="J6" s="53">
        <v>127523</v>
      </c>
      <c r="K6" s="53">
        <v>123229</v>
      </c>
      <c r="L6" s="53">
        <v>130378</v>
      </c>
      <c r="M6" s="53">
        <v>105525</v>
      </c>
      <c r="N6" s="7">
        <f>SUM(B6:M6)</f>
        <v>1691001</v>
      </c>
      <c r="O6" s="29"/>
    </row>
    <row r="7" spans="1:16" s="6" customFormat="1">
      <c r="B7" s="7"/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7">
        <f>SUM(B7:M7)</f>
        <v>0</v>
      </c>
      <c r="O7" s="29"/>
    </row>
    <row r="8" spans="1:16" s="6" customFormat="1">
      <c r="B8" s="15"/>
      <c r="C8" s="15"/>
      <c r="D8" s="15"/>
      <c r="E8" s="15"/>
      <c r="F8" s="15"/>
      <c r="G8" s="15"/>
      <c r="H8" s="15"/>
      <c r="I8" s="15"/>
      <c r="J8" s="15"/>
      <c r="K8" s="15"/>
      <c r="L8" s="15"/>
      <c r="M8" s="15"/>
      <c r="N8" s="15">
        <f>SUM(B8:M8)</f>
        <v>0</v>
      </c>
      <c r="O8" s="29"/>
    </row>
    <row r="9" spans="1:16" s="6" customFormat="1">
      <c r="A9" s="13" t="s">
        <v>30</v>
      </c>
      <c r="B9" s="12">
        <f t="shared" ref="B9:N9" si="0">SUM(B5:B8)</f>
        <v>1732862.6158099999</v>
      </c>
      <c r="C9" s="12">
        <f t="shared" si="0"/>
        <v>4530534.0206399998</v>
      </c>
      <c r="D9" s="12">
        <f t="shared" si="0"/>
        <v>4443947.3387500001</v>
      </c>
      <c r="E9" s="12">
        <f t="shared" si="0"/>
        <v>3971516.6086600004</v>
      </c>
      <c r="F9" s="12">
        <f t="shared" si="0"/>
        <v>2616112.5614399998</v>
      </c>
      <c r="G9" s="12">
        <f t="shared" si="0"/>
        <v>2526637.0239800001</v>
      </c>
      <c r="H9" s="12">
        <f t="shared" si="0"/>
        <v>4080115.4049500003</v>
      </c>
      <c r="I9" s="12">
        <f t="shared" si="0"/>
        <v>3584680.7329099998</v>
      </c>
      <c r="J9" s="12">
        <f t="shared" si="0"/>
        <v>3790809.3910400001</v>
      </c>
      <c r="K9" s="12">
        <f t="shared" si="0"/>
        <v>3426744.2019700003</v>
      </c>
      <c r="L9" s="12">
        <f t="shared" si="0"/>
        <v>2996699.64855</v>
      </c>
      <c r="M9" s="12">
        <f t="shared" si="0"/>
        <v>1500331.15129</v>
      </c>
      <c r="N9" s="12">
        <f t="shared" si="0"/>
        <v>39200990.699990004</v>
      </c>
      <c r="O9" s="29"/>
      <c r="P9" s="29">
        <f>+N9</f>
        <v>39200990.699990004</v>
      </c>
    </row>
    <row r="10" spans="1:16" s="6" customFormat="1" ht="6.75" customHeight="1"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29"/>
    </row>
    <row r="11" spans="1:16" s="6" customFormat="1">
      <c r="A11" s="13" t="s">
        <v>31</v>
      </c>
      <c r="B11" s="7"/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">
        <f>SUM(B11:M11)</f>
        <v>0</v>
      </c>
      <c r="O11" s="29"/>
    </row>
    <row r="12" spans="1:16" s="6" customFormat="1" ht="7.5" customHeight="1">
      <c r="B12" s="7"/>
      <c r="C12" s="7"/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  <c r="O12" s="29"/>
    </row>
    <row r="13" spans="1:16" s="6" customFormat="1" ht="13.5" thickBot="1">
      <c r="A13" s="13" t="s">
        <v>32</v>
      </c>
      <c r="B13" s="14">
        <f t="shared" ref="B13:N13" si="1">B9+B11</f>
        <v>1732862.6158099999</v>
      </c>
      <c r="C13" s="14">
        <f>C9+C11</f>
        <v>4530534.0206399998</v>
      </c>
      <c r="D13" s="14">
        <f t="shared" si="1"/>
        <v>4443947.3387500001</v>
      </c>
      <c r="E13" s="14">
        <f t="shared" si="1"/>
        <v>3971516.6086600004</v>
      </c>
      <c r="F13" s="14">
        <f t="shared" si="1"/>
        <v>2616112.5614399998</v>
      </c>
      <c r="G13" s="14">
        <f t="shared" si="1"/>
        <v>2526637.0239800001</v>
      </c>
      <c r="H13" s="14">
        <f t="shared" si="1"/>
        <v>4080115.4049500003</v>
      </c>
      <c r="I13" s="14">
        <f t="shared" si="1"/>
        <v>3584680.7329099998</v>
      </c>
      <c r="J13" s="14">
        <f t="shared" si="1"/>
        <v>3790809.3910400001</v>
      </c>
      <c r="K13" s="14">
        <f t="shared" si="1"/>
        <v>3426744.2019700003</v>
      </c>
      <c r="L13" s="14">
        <f t="shared" si="1"/>
        <v>2996699.64855</v>
      </c>
      <c r="M13" s="14">
        <f t="shared" si="1"/>
        <v>1500331.15129</v>
      </c>
      <c r="N13" s="14">
        <f t="shared" si="1"/>
        <v>39200990.699990004</v>
      </c>
      <c r="O13" s="29"/>
    </row>
    <row r="14" spans="1:16" s="6" customFormat="1" ht="13.5" thickTop="1">
      <c r="B14" s="7"/>
      <c r="C14" s="7"/>
      <c r="D14" s="7"/>
      <c r="E14" s="7"/>
      <c r="F14" s="7"/>
      <c r="G14" s="7"/>
      <c r="H14" s="7"/>
      <c r="I14" s="7"/>
      <c r="J14" s="7"/>
      <c r="K14" s="7"/>
      <c r="L14" s="7"/>
      <c r="M14" s="7"/>
    </row>
    <row r="15" spans="1:16" s="6" customFormat="1">
      <c r="A15" s="13" t="s">
        <v>33</v>
      </c>
      <c r="B15" s="7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</row>
    <row r="16" spans="1:16" s="6" customFormat="1">
      <c r="A16" s="6" t="s">
        <v>34</v>
      </c>
      <c r="B16" s="53">
        <v>791004.56432</v>
      </c>
      <c r="C16" s="53">
        <v>2518408.6566400002</v>
      </c>
      <c r="D16" s="53">
        <v>1649346.4462299999</v>
      </c>
      <c r="E16" s="53">
        <v>1296440.6412800001</v>
      </c>
      <c r="F16" s="53">
        <v>857870.95172000001</v>
      </c>
      <c r="G16" s="53">
        <v>872403.03766999999</v>
      </c>
      <c r="H16" s="53">
        <v>2196091.03559</v>
      </c>
      <c r="I16" s="53">
        <v>1238755.4207799998</v>
      </c>
      <c r="J16" s="53">
        <v>1292296.5777699999</v>
      </c>
      <c r="K16" s="53">
        <v>1245676.8455400001</v>
      </c>
      <c r="L16" s="53">
        <v>1172737.3767599999</v>
      </c>
      <c r="M16" s="53">
        <v>726619.06070999999</v>
      </c>
      <c r="N16" s="7">
        <f>SUM(B16:M16)</f>
        <v>15857650.615010001</v>
      </c>
      <c r="O16" s="29"/>
      <c r="P16" s="7">
        <f>-N16</f>
        <v>-15857650.615010001</v>
      </c>
    </row>
    <row r="17" spans="1:16" s="6" customFormat="1">
      <c r="B17" s="27"/>
      <c r="C17" s="27"/>
      <c r="D17" s="27"/>
      <c r="E17" s="27"/>
      <c r="F17" s="27"/>
      <c r="G17" s="27"/>
      <c r="H17" s="27"/>
      <c r="I17" s="27"/>
      <c r="J17" s="27"/>
      <c r="K17" s="27"/>
      <c r="L17" s="27"/>
      <c r="M17" s="27"/>
      <c r="N17" s="7">
        <f>SUM(B17:M17)</f>
        <v>0</v>
      </c>
    </row>
    <row r="18" spans="1:16" s="6" customFormat="1">
      <c r="B18" s="7"/>
      <c r="C18" s="7"/>
      <c r="D18" s="7"/>
      <c r="E18" s="7"/>
      <c r="F18" s="7"/>
      <c r="G18" s="7"/>
      <c r="H18" s="7"/>
      <c r="I18" s="7"/>
      <c r="J18" s="7"/>
      <c r="K18" s="7"/>
      <c r="L18" s="7"/>
      <c r="M18" s="7"/>
      <c r="N18" s="7">
        <v>0</v>
      </c>
    </row>
    <row r="19" spans="1:16" s="6" customFormat="1">
      <c r="B19" s="15"/>
      <c r="C19" s="15"/>
      <c r="D19" s="15"/>
      <c r="E19" s="15"/>
      <c r="F19" s="15"/>
      <c r="G19" s="15"/>
      <c r="H19" s="15"/>
      <c r="I19" s="15"/>
      <c r="J19" s="15"/>
      <c r="K19" s="15"/>
      <c r="L19" s="15"/>
      <c r="M19" s="15"/>
      <c r="N19" s="15">
        <f>SUM(B19:M19)</f>
        <v>0</v>
      </c>
    </row>
    <row r="20" spans="1:16" s="6" customFormat="1">
      <c r="A20" s="13" t="s">
        <v>35</v>
      </c>
      <c r="B20" s="12">
        <f t="shared" ref="B20:N20" si="2">SUM(B16:B19)</f>
        <v>791004.56432</v>
      </c>
      <c r="C20" s="12">
        <f t="shared" si="2"/>
        <v>2518408.6566400002</v>
      </c>
      <c r="D20" s="12">
        <f t="shared" si="2"/>
        <v>1649346.4462299999</v>
      </c>
      <c r="E20" s="12">
        <f t="shared" si="2"/>
        <v>1296440.6412800001</v>
      </c>
      <c r="F20" s="12">
        <f t="shared" si="2"/>
        <v>857870.95172000001</v>
      </c>
      <c r="G20" s="12">
        <f t="shared" si="2"/>
        <v>872403.03766999999</v>
      </c>
      <c r="H20" s="12">
        <f t="shared" si="2"/>
        <v>2196091.03559</v>
      </c>
      <c r="I20" s="12">
        <f t="shared" si="2"/>
        <v>1238755.4207799998</v>
      </c>
      <c r="J20" s="12">
        <f t="shared" si="2"/>
        <v>1292296.5777699999</v>
      </c>
      <c r="K20" s="12">
        <f t="shared" si="2"/>
        <v>1245676.8455400001</v>
      </c>
      <c r="L20" s="12">
        <f t="shared" si="2"/>
        <v>1172737.3767599999</v>
      </c>
      <c r="M20" s="12">
        <f t="shared" si="2"/>
        <v>726619.06070999999</v>
      </c>
      <c r="N20" s="12">
        <f t="shared" si="2"/>
        <v>15857650.615010001</v>
      </c>
      <c r="O20" s="29"/>
    </row>
    <row r="21" spans="1:16" s="6" customFormat="1">
      <c r="B21" s="7"/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</row>
    <row r="22" spans="1:16" s="6" customFormat="1">
      <c r="A22" s="13" t="s">
        <v>36</v>
      </c>
      <c r="B22" s="7"/>
      <c r="C22" s="7"/>
      <c r="D22" s="7"/>
      <c r="E22" s="7"/>
      <c r="F22" s="7"/>
      <c r="G22" s="7"/>
      <c r="H22" s="7"/>
      <c r="I22" s="7"/>
      <c r="J22" s="7"/>
      <c r="K22" s="7"/>
      <c r="L22" s="7"/>
      <c r="M22" s="7"/>
    </row>
    <row r="23" spans="1:16" s="6" customFormat="1">
      <c r="A23" s="6" t="s">
        <v>37</v>
      </c>
      <c r="B23" s="7">
        <f t="shared" ref="B23:M26" si="3">+B5-B16</f>
        <v>849830.05148999987</v>
      </c>
      <c r="C23" s="7">
        <f t="shared" si="3"/>
        <v>1921015.3639999996</v>
      </c>
      <c r="D23" s="7">
        <f t="shared" si="3"/>
        <v>2445921.8925200002</v>
      </c>
      <c r="E23" s="7">
        <f t="shared" si="3"/>
        <v>2551631.9673800003</v>
      </c>
      <c r="F23" s="7">
        <f t="shared" si="3"/>
        <v>1597253.6097199998</v>
      </c>
      <c r="G23" s="7">
        <f t="shared" si="3"/>
        <v>1555262.9863100001</v>
      </c>
      <c r="H23" s="7">
        <f t="shared" si="3"/>
        <v>1766295.3693600004</v>
      </c>
      <c r="I23" s="7">
        <f t="shared" si="3"/>
        <v>2174528.31213</v>
      </c>
      <c r="J23" s="7">
        <f t="shared" si="3"/>
        <v>2370989.8132700003</v>
      </c>
      <c r="K23" s="7">
        <f t="shared" si="3"/>
        <v>2057838.3564300002</v>
      </c>
      <c r="L23" s="7">
        <f t="shared" si="3"/>
        <v>1693584.2717900001</v>
      </c>
      <c r="M23" s="7">
        <f t="shared" si="3"/>
        <v>668187.09057999996</v>
      </c>
      <c r="N23" s="7">
        <f>SUM(B23:M23)</f>
        <v>21652339.084980004</v>
      </c>
      <c r="O23" s="29"/>
    </row>
    <row r="24" spans="1:16" s="6" customFormat="1">
      <c r="A24" s="6" t="s">
        <v>37</v>
      </c>
      <c r="B24" s="7">
        <f t="shared" si="3"/>
        <v>92028</v>
      </c>
      <c r="C24" s="7">
        <f t="shared" si="3"/>
        <v>91110</v>
      </c>
      <c r="D24" s="7">
        <f t="shared" si="3"/>
        <v>348679</v>
      </c>
      <c r="E24" s="7">
        <f t="shared" si="3"/>
        <v>123444</v>
      </c>
      <c r="F24" s="7">
        <f t="shared" si="3"/>
        <v>160988</v>
      </c>
      <c r="G24" s="7">
        <f t="shared" si="3"/>
        <v>98971</v>
      </c>
      <c r="H24" s="7">
        <f t="shared" si="3"/>
        <v>117729</v>
      </c>
      <c r="I24" s="7">
        <f t="shared" si="3"/>
        <v>171397</v>
      </c>
      <c r="J24" s="7">
        <f t="shared" si="3"/>
        <v>127523</v>
      </c>
      <c r="K24" s="7">
        <f t="shared" si="3"/>
        <v>123229</v>
      </c>
      <c r="L24" s="7">
        <f t="shared" si="3"/>
        <v>130378</v>
      </c>
      <c r="M24" s="7">
        <f t="shared" si="3"/>
        <v>105525</v>
      </c>
      <c r="N24" s="7">
        <f>SUM(B24:M24)</f>
        <v>1691001</v>
      </c>
      <c r="O24" s="29"/>
    </row>
    <row r="25" spans="1:16" s="6" customFormat="1">
      <c r="A25" s="6" t="s">
        <v>38</v>
      </c>
      <c r="B25" s="7">
        <f t="shared" si="3"/>
        <v>0</v>
      </c>
      <c r="C25" s="7">
        <f t="shared" si="3"/>
        <v>0</v>
      </c>
      <c r="D25" s="7">
        <f t="shared" si="3"/>
        <v>0</v>
      </c>
      <c r="E25" s="7">
        <f t="shared" si="3"/>
        <v>0</v>
      </c>
      <c r="F25" s="7">
        <f t="shared" si="3"/>
        <v>0</v>
      </c>
      <c r="G25" s="7">
        <f t="shared" si="3"/>
        <v>0</v>
      </c>
      <c r="H25" s="7">
        <f t="shared" si="3"/>
        <v>0</v>
      </c>
      <c r="I25" s="7">
        <f t="shared" si="3"/>
        <v>0</v>
      </c>
      <c r="J25" s="7">
        <f t="shared" si="3"/>
        <v>0</v>
      </c>
      <c r="K25" s="7">
        <f t="shared" si="3"/>
        <v>0</v>
      </c>
      <c r="L25" s="7">
        <f t="shared" si="3"/>
        <v>0</v>
      </c>
      <c r="M25" s="7">
        <f t="shared" si="3"/>
        <v>0</v>
      </c>
      <c r="N25" s="7">
        <f>SUM(B25:M25)</f>
        <v>0</v>
      </c>
      <c r="O25" s="29"/>
    </row>
    <row r="26" spans="1:16" s="6" customFormat="1">
      <c r="A26" s="6" t="s">
        <v>38</v>
      </c>
      <c r="B26" s="15">
        <f t="shared" si="3"/>
        <v>0</v>
      </c>
      <c r="C26" s="15">
        <f t="shared" si="3"/>
        <v>0</v>
      </c>
      <c r="D26" s="15">
        <f t="shared" si="3"/>
        <v>0</v>
      </c>
      <c r="E26" s="15">
        <f t="shared" si="3"/>
        <v>0</v>
      </c>
      <c r="F26" s="15">
        <f t="shared" si="3"/>
        <v>0</v>
      </c>
      <c r="G26" s="15">
        <f t="shared" si="3"/>
        <v>0</v>
      </c>
      <c r="H26" s="15">
        <f t="shared" si="3"/>
        <v>0</v>
      </c>
      <c r="I26" s="15">
        <f t="shared" si="3"/>
        <v>0</v>
      </c>
      <c r="J26" s="15">
        <f t="shared" si="3"/>
        <v>0</v>
      </c>
      <c r="K26" s="15">
        <f t="shared" si="3"/>
        <v>0</v>
      </c>
      <c r="L26" s="15">
        <f t="shared" si="3"/>
        <v>0</v>
      </c>
      <c r="M26" s="15">
        <f t="shared" si="3"/>
        <v>0</v>
      </c>
      <c r="N26" s="15">
        <f>SUM(B26:M26)</f>
        <v>0</v>
      </c>
      <c r="O26" s="29"/>
    </row>
    <row r="27" spans="1:16" s="6" customFormat="1">
      <c r="A27" s="13" t="s">
        <v>39</v>
      </c>
      <c r="B27" s="12">
        <f t="shared" ref="B27:N27" si="4">SUM(B23:B26)</f>
        <v>941858.05148999987</v>
      </c>
      <c r="C27" s="12">
        <f t="shared" si="4"/>
        <v>2012125.3639999996</v>
      </c>
      <c r="D27" s="12">
        <f t="shared" si="4"/>
        <v>2794600.8925200002</v>
      </c>
      <c r="E27" s="12">
        <f t="shared" si="4"/>
        <v>2675075.9673800003</v>
      </c>
      <c r="F27" s="12">
        <f t="shared" si="4"/>
        <v>1758241.6097199998</v>
      </c>
      <c r="G27" s="12">
        <f t="shared" si="4"/>
        <v>1654233.9863100001</v>
      </c>
      <c r="H27" s="12">
        <f t="shared" si="4"/>
        <v>1884024.3693600004</v>
      </c>
      <c r="I27" s="12">
        <f t="shared" si="4"/>
        <v>2345925.31213</v>
      </c>
      <c r="J27" s="12">
        <f t="shared" si="4"/>
        <v>2498512.8132700003</v>
      </c>
      <c r="K27" s="12">
        <f t="shared" si="4"/>
        <v>2181067.3564300002</v>
      </c>
      <c r="L27" s="12">
        <f t="shared" si="4"/>
        <v>1823962.2717900001</v>
      </c>
      <c r="M27" s="12">
        <f>SUM(M23:M26)</f>
        <v>773712.09057999996</v>
      </c>
      <c r="N27" s="12">
        <f t="shared" si="4"/>
        <v>23343340.084980004</v>
      </c>
      <c r="O27" s="29"/>
      <c r="P27" s="29">
        <f>+N27</f>
        <v>23343340.084980004</v>
      </c>
    </row>
    <row r="28" spans="1:16" s="6" customFormat="1" ht="14.45" customHeight="1">
      <c r="B28" s="73">
        <f>+B27/B9</f>
        <v>0.54352724959084131</v>
      </c>
      <c r="C28" s="73">
        <f t="shared" ref="C28:N28" si="5">+C27/C9</f>
        <v>0.44412542866541799</v>
      </c>
      <c r="D28" s="73">
        <f t="shared" si="5"/>
        <v>0.62885553754245649</v>
      </c>
      <c r="E28" s="73">
        <f t="shared" si="5"/>
        <v>0.67356534819643565</v>
      </c>
      <c r="F28" s="73">
        <f t="shared" si="5"/>
        <v>0.67208178869497959</v>
      </c>
      <c r="G28" s="73">
        <f t="shared" si="5"/>
        <v>0.65471770207191204</v>
      </c>
      <c r="H28" s="73">
        <f t="shared" si="5"/>
        <v>0.46175761770716095</v>
      </c>
      <c r="I28" s="73">
        <f t="shared" si="5"/>
        <v>0.65443075323073652</v>
      </c>
      <c r="J28" s="73">
        <f t="shared" si="5"/>
        <v>0.65909745269058195</v>
      </c>
      <c r="K28" s="73">
        <f t="shared" si="5"/>
        <v>0.63648385402567453</v>
      </c>
      <c r="L28" s="73">
        <f t="shared" si="5"/>
        <v>0.60865701795391902</v>
      </c>
      <c r="M28" s="73">
        <f t="shared" si="5"/>
        <v>0.51569421185099995</v>
      </c>
      <c r="N28" s="73">
        <f t="shared" si="5"/>
        <v>0.59547832001567136</v>
      </c>
    </row>
    <row r="29" spans="1:16" s="6" customFormat="1">
      <c r="A29" s="13" t="s">
        <v>40</v>
      </c>
      <c r="B29" s="7"/>
      <c r="C29" s="7"/>
      <c r="D29" s="7"/>
      <c r="E29" s="7"/>
      <c r="F29" s="7"/>
      <c r="G29" s="7"/>
      <c r="H29" s="7"/>
      <c r="I29" s="7"/>
      <c r="J29" s="7"/>
      <c r="K29" s="7"/>
      <c r="L29" s="7"/>
      <c r="M29" s="7"/>
    </row>
    <row r="30" spans="1:16" s="6" customFormat="1">
      <c r="A30" s="6" t="s">
        <v>93</v>
      </c>
      <c r="B30" s="53">
        <v>634323.70906718075</v>
      </c>
      <c r="C30" s="53">
        <v>666216.08803130465</v>
      </c>
      <c r="D30" s="53">
        <v>783959.86009330465</v>
      </c>
      <c r="E30" s="53">
        <v>904980.62775222072</v>
      </c>
      <c r="F30" s="53">
        <v>686895.29853070469</v>
      </c>
      <c r="G30" s="53">
        <v>642815.15417670459</v>
      </c>
      <c r="H30" s="53">
        <v>742691.29158794135</v>
      </c>
      <c r="I30" s="53">
        <v>781375.03238776349</v>
      </c>
      <c r="J30" s="53">
        <v>800842.39032942755</v>
      </c>
      <c r="K30" s="53">
        <v>843636.89934994141</v>
      </c>
      <c r="L30" s="53">
        <v>694327.62761942751</v>
      </c>
      <c r="M30" s="53">
        <v>505922.77644506848</v>
      </c>
      <c r="N30" s="7">
        <f>SUM(B30:M30)</f>
        <v>8687986.7553709913</v>
      </c>
      <c r="O30" s="29"/>
    </row>
    <row r="31" spans="1:16" s="6" customFormat="1">
      <c r="A31" s="6" t="s">
        <v>42</v>
      </c>
      <c r="B31" s="53">
        <v>230153.93213440015</v>
      </c>
      <c r="C31" s="53">
        <v>219345.29484042991</v>
      </c>
      <c r="D31" s="53">
        <v>214302.05097862822</v>
      </c>
      <c r="E31" s="53">
        <v>243606.38590891552</v>
      </c>
      <c r="F31" s="53">
        <v>204442.60669276689</v>
      </c>
      <c r="G31" s="53">
        <v>206445.92073019079</v>
      </c>
      <c r="H31" s="53">
        <v>223886.15036140359</v>
      </c>
      <c r="I31" s="53">
        <v>211238.57951980905</v>
      </c>
      <c r="J31" s="53">
        <v>216879.11284126632</v>
      </c>
      <c r="K31" s="53">
        <v>235419.63067710202</v>
      </c>
      <c r="L31" s="53">
        <v>214783.16583566315</v>
      </c>
      <c r="M31" s="53">
        <v>196662.95050247436</v>
      </c>
      <c r="N31" s="7">
        <f>SUM(B31:M31)</f>
        <v>2617165.7810230502</v>
      </c>
      <c r="O31" s="29"/>
    </row>
    <row r="32" spans="1:16" s="6" customFormat="1" ht="15">
      <c r="A32" s="6" t="s">
        <v>38</v>
      </c>
      <c r="B32" s="68"/>
      <c r="C32" s="68"/>
      <c r="D32" s="68"/>
      <c r="E32" s="68"/>
      <c r="F32" s="68"/>
      <c r="G32" s="68"/>
      <c r="H32" s="68"/>
      <c r="I32" s="68"/>
      <c r="J32" s="68"/>
      <c r="K32" s="68"/>
      <c r="L32" s="68"/>
      <c r="M32" s="68"/>
      <c r="N32" s="7">
        <f>SUM(B32:M32)</f>
        <v>0</v>
      </c>
      <c r="O32" s="29"/>
    </row>
    <row r="33" spans="1:16" s="6" customFormat="1">
      <c r="B33" s="15"/>
      <c r="C33" s="15"/>
      <c r="D33" s="15"/>
      <c r="E33" s="15"/>
      <c r="F33" s="15"/>
      <c r="G33" s="15"/>
      <c r="H33" s="15"/>
      <c r="I33" s="15"/>
      <c r="J33" s="15"/>
      <c r="K33" s="15"/>
      <c r="L33" s="15"/>
      <c r="M33" s="15"/>
      <c r="N33" s="15">
        <f>SUM(B33:M33)</f>
        <v>0</v>
      </c>
      <c r="O33" s="29"/>
    </row>
    <row r="34" spans="1:16" s="6" customFormat="1">
      <c r="A34" s="13" t="s">
        <v>43</v>
      </c>
      <c r="B34" s="12">
        <f t="shared" ref="B34:N34" si="6">SUM(B30:B33)</f>
        <v>864477.64120158087</v>
      </c>
      <c r="C34" s="12">
        <f t="shared" si="6"/>
        <v>885561.38287173456</v>
      </c>
      <c r="D34" s="12">
        <f t="shared" si="6"/>
        <v>998261.91107193287</v>
      </c>
      <c r="E34" s="12">
        <f t="shared" si="6"/>
        <v>1148587.0136611362</v>
      </c>
      <c r="F34" s="12">
        <f t="shared" si="6"/>
        <v>891337.90522347158</v>
      </c>
      <c r="G34" s="12">
        <f t="shared" si="6"/>
        <v>849261.0749068954</v>
      </c>
      <c r="H34" s="12">
        <f t="shared" si="6"/>
        <v>966577.44194934494</v>
      </c>
      <c r="I34" s="12">
        <f t="shared" si="6"/>
        <v>992613.61190757249</v>
      </c>
      <c r="J34" s="12">
        <f t="shared" si="6"/>
        <v>1017721.5031706939</v>
      </c>
      <c r="K34" s="12">
        <f t="shared" si="6"/>
        <v>1079056.5300270435</v>
      </c>
      <c r="L34" s="12">
        <f t="shared" si="6"/>
        <v>909110.79345509061</v>
      </c>
      <c r="M34" s="12">
        <f t="shared" si="6"/>
        <v>702585.72694754286</v>
      </c>
      <c r="N34" s="12">
        <f t="shared" si="6"/>
        <v>11305152.536394041</v>
      </c>
      <c r="O34" s="29"/>
    </row>
    <row r="35" spans="1:16" s="6" customFormat="1">
      <c r="B35" s="7"/>
      <c r="C35" s="7"/>
      <c r="D35" s="7"/>
      <c r="E35" s="7"/>
      <c r="F35" s="7"/>
      <c r="G35" s="7"/>
      <c r="H35" s="7"/>
      <c r="I35" s="7"/>
      <c r="J35" s="7"/>
      <c r="K35" s="7"/>
      <c r="L35" s="7"/>
      <c r="M35" s="7"/>
    </row>
    <row r="36" spans="1:16" s="6" customFormat="1">
      <c r="A36" s="13" t="s">
        <v>44</v>
      </c>
      <c r="B36" s="7"/>
      <c r="C36" s="7"/>
      <c r="D36" s="7"/>
      <c r="E36" s="7"/>
      <c r="F36" s="7"/>
      <c r="G36" s="7"/>
      <c r="H36" s="7"/>
      <c r="I36" s="7"/>
      <c r="J36" s="7"/>
      <c r="K36" s="7"/>
      <c r="L36" s="7"/>
      <c r="M36" s="7"/>
    </row>
    <row r="37" spans="1:16" s="6" customFormat="1">
      <c r="A37" s="6" t="s">
        <v>45</v>
      </c>
      <c r="B37" s="53">
        <v>1360897.0412015808</v>
      </c>
      <c r="C37" s="53">
        <v>1518855.3128717344</v>
      </c>
      <c r="D37" s="53">
        <v>1582930.4110719329</v>
      </c>
      <c r="E37" s="53">
        <v>1774889.2836611362</v>
      </c>
      <c r="F37" s="53">
        <v>1438729.6452234716</v>
      </c>
      <c r="G37" s="66">
        <v>1429801.7349068953</v>
      </c>
      <c r="H37" s="66">
        <v>1473861.9419493449</v>
      </c>
      <c r="I37" s="66">
        <v>1630408.4119075725</v>
      </c>
      <c r="J37" s="66">
        <v>1636445.0631706938</v>
      </c>
      <c r="K37" s="53">
        <v>1704354.0300270435</v>
      </c>
      <c r="L37" s="53">
        <v>1425328.2934550906</v>
      </c>
      <c r="M37" s="53">
        <v>1205462.7296161538</v>
      </c>
      <c r="N37" s="7">
        <f>SUM(B37:M37)</f>
        <v>18181963.899062652</v>
      </c>
      <c r="O37" s="29"/>
    </row>
    <row r="38" spans="1:16" s="6" customFormat="1">
      <c r="A38" s="6" t="s">
        <v>46</v>
      </c>
      <c r="B38" s="7">
        <f>-B34</f>
        <v>-864477.64120158087</v>
      </c>
      <c r="C38" s="7">
        <f t="shared" ref="C38:M38" si="7">-C34</f>
        <v>-885561.38287173456</v>
      </c>
      <c r="D38" s="7">
        <f t="shared" si="7"/>
        <v>-998261.91107193287</v>
      </c>
      <c r="E38" s="7">
        <f t="shared" si="7"/>
        <v>-1148587.0136611362</v>
      </c>
      <c r="F38" s="7">
        <f t="shared" si="7"/>
        <v>-891337.90522347158</v>
      </c>
      <c r="G38" s="7">
        <f t="shared" si="7"/>
        <v>-849261.0749068954</v>
      </c>
      <c r="H38" s="7">
        <f t="shared" si="7"/>
        <v>-966577.44194934494</v>
      </c>
      <c r="I38" s="7">
        <f t="shared" si="7"/>
        <v>-992613.61190757249</v>
      </c>
      <c r="J38" s="7">
        <f t="shared" si="7"/>
        <v>-1017721.5031706939</v>
      </c>
      <c r="K38" s="7">
        <f t="shared" si="7"/>
        <v>-1079056.5300270435</v>
      </c>
      <c r="L38" s="7">
        <f t="shared" si="7"/>
        <v>-909110.79345509061</v>
      </c>
      <c r="M38" s="7">
        <f t="shared" si="7"/>
        <v>-702585.72694754286</v>
      </c>
      <c r="N38" s="7">
        <f>SUM(B38:M38)</f>
        <v>-11305152.536394039</v>
      </c>
      <c r="O38" s="29"/>
    </row>
    <row r="39" spans="1:16" s="6" customFormat="1">
      <c r="A39" s="6" t="s">
        <v>47</v>
      </c>
      <c r="B39" s="72">
        <v>-77645</v>
      </c>
      <c r="C39" s="72">
        <v>-77645</v>
      </c>
      <c r="D39" s="72">
        <v>-79726</v>
      </c>
      <c r="E39" s="72">
        <v>-83801</v>
      </c>
      <c r="F39" s="72">
        <v>-83801</v>
      </c>
      <c r="G39" s="72">
        <v>-83801</v>
      </c>
      <c r="H39" s="72">
        <v>-85493</v>
      </c>
      <c r="I39" s="72">
        <v>-85493</v>
      </c>
      <c r="J39" s="72">
        <v>-85493</v>
      </c>
      <c r="K39" s="72">
        <v>-85493</v>
      </c>
      <c r="L39" s="72">
        <v>-85493</v>
      </c>
      <c r="M39" s="72">
        <v>-85493</v>
      </c>
      <c r="N39" s="42">
        <f>SUM(B39:M39)</f>
        <v>-999377</v>
      </c>
      <c r="O39" s="88"/>
      <c r="P39" s="42"/>
    </row>
    <row r="40" spans="1:16" s="6" customFormat="1">
      <c r="A40" s="6" t="s">
        <v>124</v>
      </c>
      <c r="B40" s="53">
        <v>-8593</v>
      </c>
      <c r="C40" s="53">
        <v>-8593</v>
      </c>
      <c r="D40" s="53">
        <v>-8593</v>
      </c>
      <c r="E40" s="53">
        <v>-8593</v>
      </c>
      <c r="F40" s="53">
        <v>-8593</v>
      </c>
      <c r="G40" s="53">
        <v>-8776</v>
      </c>
      <c r="H40" s="53">
        <v>-8893</v>
      </c>
      <c r="I40" s="53">
        <v>-8893</v>
      </c>
      <c r="J40" s="53">
        <v>-8893</v>
      </c>
      <c r="K40" s="53">
        <v>-8893</v>
      </c>
      <c r="L40" s="53">
        <v>-8893</v>
      </c>
      <c r="M40" s="53">
        <v>-8893</v>
      </c>
      <c r="N40" s="42">
        <f>SUM(B40:M40)</f>
        <v>-105099</v>
      </c>
      <c r="O40" s="88"/>
      <c r="P40" s="58"/>
    </row>
    <row r="41" spans="1:16" s="6" customFormat="1">
      <c r="A41" s="6" t="s">
        <v>48</v>
      </c>
      <c r="B41" s="60">
        <v>-4150</v>
      </c>
      <c r="C41" s="60">
        <v>-4250</v>
      </c>
      <c r="D41" s="60">
        <v>-4250</v>
      </c>
      <c r="E41" s="60">
        <v>-4250</v>
      </c>
      <c r="F41" s="60">
        <v>-4250</v>
      </c>
      <c r="G41" s="60">
        <v>-10050</v>
      </c>
      <c r="H41" s="60">
        <v>-4250</v>
      </c>
      <c r="I41" s="60">
        <v>-4250</v>
      </c>
      <c r="J41" s="60">
        <v>-4550</v>
      </c>
      <c r="K41" s="60">
        <v>-4550</v>
      </c>
      <c r="L41" s="60">
        <v>-4550</v>
      </c>
      <c r="M41" s="60">
        <v>-90050</v>
      </c>
      <c r="N41" s="43">
        <f>SUM(B41:M41)</f>
        <v>-143400</v>
      </c>
      <c r="O41" s="88"/>
      <c r="P41" s="42">
        <f>SUM(N39:N41)</f>
        <v>-1247876</v>
      </c>
    </row>
    <row r="42" spans="1:16" s="6" customFormat="1">
      <c r="A42" s="13" t="s">
        <v>49</v>
      </c>
      <c r="B42" s="12">
        <f t="shared" ref="B42:N42" si="8">SUM(B37:B41)</f>
        <v>406031.39999999991</v>
      </c>
      <c r="C42" s="12">
        <f t="shared" si="8"/>
        <v>542805.92999999982</v>
      </c>
      <c r="D42" s="12">
        <f t="shared" si="8"/>
        <v>492099.5</v>
      </c>
      <c r="E42" s="12">
        <f t="shared" si="8"/>
        <v>529658.27</v>
      </c>
      <c r="F42" s="12">
        <f t="shared" si="8"/>
        <v>450747.74</v>
      </c>
      <c r="G42" s="12">
        <f t="shared" si="8"/>
        <v>477913.65999999992</v>
      </c>
      <c r="H42" s="12">
        <f t="shared" si="8"/>
        <v>408648.5</v>
      </c>
      <c r="I42" s="12">
        <f t="shared" si="8"/>
        <v>539158.80000000005</v>
      </c>
      <c r="J42" s="12">
        <f t="shared" si="8"/>
        <v>519787.55999999994</v>
      </c>
      <c r="K42" s="12">
        <f t="shared" si="8"/>
        <v>526361.5</v>
      </c>
      <c r="L42" s="12">
        <f t="shared" si="8"/>
        <v>417281.5</v>
      </c>
      <c r="M42" s="12">
        <f t="shared" si="8"/>
        <v>318441.00266861089</v>
      </c>
      <c r="N42" s="12">
        <f t="shared" si="8"/>
        <v>5628935.362668613</v>
      </c>
      <c r="O42" s="29"/>
    </row>
    <row r="43" spans="1:16">
      <c r="A43" s="1"/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2"/>
      <c r="N43" s="12"/>
      <c r="O43" s="6"/>
    </row>
    <row r="44" spans="1:16">
      <c r="A44" s="13" t="s">
        <v>50</v>
      </c>
      <c r="B44" s="53">
        <v>399883</v>
      </c>
      <c r="C44" s="53">
        <v>587569</v>
      </c>
      <c r="D44" s="53">
        <v>299598</v>
      </c>
      <c r="E44" s="53">
        <v>401721</v>
      </c>
      <c r="F44" s="53">
        <v>399609</v>
      </c>
      <c r="G44" s="53">
        <v>347041</v>
      </c>
      <c r="H44" s="53">
        <v>380274</v>
      </c>
      <c r="I44" s="53">
        <v>344745</v>
      </c>
      <c r="J44" s="53">
        <v>339892</v>
      </c>
      <c r="K44" s="53">
        <v>384523</v>
      </c>
      <c r="L44" s="53">
        <v>298207</v>
      </c>
      <c r="M44" s="53">
        <v>669637</v>
      </c>
      <c r="N44" s="12">
        <f>SUM(B44:M44)</f>
        <v>4852699</v>
      </c>
      <c r="O44" s="29"/>
      <c r="P44" s="25"/>
    </row>
    <row r="45" spans="1:16">
      <c r="A45" s="6" t="s">
        <v>107</v>
      </c>
      <c r="B45" s="22"/>
      <c r="C45" s="22"/>
      <c r="D45" s="22"/>
      <c r="E45" s="22"/>
      <c r="F45" s="22"/>
      <c r="G45" s="22"/>
      <c r="H45" s="22"/>
      <c r="I45" s="22"/>
      <c r="J45" s="22"/>
      <c r="K45" s="22"/>
      <c r="L45" s="22"/>
      <c r="M45" s="22"/>
      <c r="N45" s="22">
        <f>SUM(B45:M45)</f>
        <v>0</v>
      </c>
      <c r="O45" s="29"/>
    </row>
    <row r="46" spans="1:16">
      <c r="A46" s="1" t="s">
        <v>50</v>
      </c>
      <c r="B46" s="12">
        <f>SUM(B44:B45)</f>
        <v>399883</v>
      </c>
      <c r="C46" s="12">
        <f>SUM(C44:C45)</f>
        <v>587569</v>
      </c>
      <c r="D46" s="12">
        <f t="shared" ref="D46:N46" si="9">SUM(D44:D45)</f>
        <v>299598</v>
      </c>
      <c r="E46" s="12">
        <f t="shared" si="9"/>
        <v>401721</v>
      </c>
      <c r="F46" s="12">
        <f t="shared" si="9"/>
        <v>399609</v>
      </c>
      <c r="G46" s="12">
        <f t="shared" si="9"/>
        <v>347041</v>
      </c>
      <c r="H46" s="12">
        <f t="shared" si="9"/>
        <v>380274</v>
      </c>
      <c r="I46" s="12">
        <f t="shared" si="9"/>
        <v>344745</v>
      </c>
      <c r="J46" s="12">
        <f t="shared" si="9"/>
        <v>339892</v>
      </c>
      <c r="K46" s="12">
        <f t="shared" si="9"/>
        <v>384523</v>
      </c>
      <c r="L46" s="12">
        <f t="shared" si="9"/>
        <v>298207</v>
      </c>
      <c r="M46" s="12">
        <f t="shared" si="9"/>
        <v>669637</v>
      </c>
      <c r="N46" s="12">
        <f t="shared" si="9"/>
        <v>4852699</v>
      </c>
      <c r="O46" s="29"/>
    </row>
    <row r="47" spans="1:16">
      <c r="B47" s="7"/>
      <c r="C47" s="7"/>
      <c r="D47" s="7"/>
      <c r="E47" s="7"/>
      <c r="F47" s="7"/>
      <c r="G47" s="7"/>
      <c r="H47" s="7"/>
      <c r="I47" s="7"/>
      <c r="J47" s="7"/>
      <c r="K47" s="6"/>
      <c r="L47" s="6"/>
      <c r="M47" s="6"/>
      <c r="N47" s="6"/>
      <c r="O47" s="6"/>
    </row>
    <row r="48" spans="1:16">
      <c r="A48" s="13" t="s">
        <v>52</v>
      </c>
      <c r="B48" s="19">
        <f t="shared" ref="B48:N48" si="10">+B20+B34+B42+B46</f>
        <v>2461396.6055215807</v>
      </c>
      <c r="C48" s="19">
        <f t="shared" si="10"/>
        <v>4534344.9695117343</v>
      </c>
      <c r="D48" s="19">
        <f t="shared" si="10"/>
        <v>3439305.8573019328</v>
      </c>
      <c r="E48" s="19">
        <f t="shared" si="10"/>
        <v>3376406.924941136</v>
      </c>
      <c r="F48" s="19">
        <f t="shared" si="10"/>
        <v>2599565.5969434716</v>
      </c>
      <c r="G48" s="19">
        <f t="shared" si="10"/>
        <v>2546618.7725768955</v>
      </c>
      <c r="H48" s="19">
        <f t="shared" si="10"/>
        <v>3951590.9775393447</v>
      </c>
      <c r="I48" s="19">
        <f t="shared" si="10"/>
        <v>3115272.8326875726</v>
      </c>
      <c r="J48" s="19">
        <f t="shared" si="10"/>
        <v>3169697.6409406937</v>
      </c>
      <c r="K48" s="19">
        <f t="shared" si="10"/>
        <v>3235617.8755670437</v>
      </c>
      <c r="L48" s="19">
        <f t="shared" si="10"/>
        <v>2797336.6702150907</v>
      </c>
      <c r="M48" s="19">
        <f t="shared" si="10"/>
        <v>2417282.7903261539</v>
      </c>
      <c r="N48" s="19">
        <f t="shared" si="10"/>
        <v>37644437.514072657</v>
      </c>
      <c r="O48" s="29"/>
      <c r="P48" s="25"/>
    </row>
    <row r="49" spans="1:26">
      <c r="B49" s="7"/>
      <c r="C49" s="7"/>
      <c r="D49" s="7"/>
      <c r="E49" s="7"/>
      <c r="F49" s="7"/>
      <c r="G49" s="7"/>
      <c r="H49" s="7"/>
      <c r="I49" s="7"/>
      <c r="J49" s="7"/>
      <c r="K49" s="6"/>
      <c r="L49" s="6"/>
      <c r="M49" s="6"/>
      <c r="N49" s="6"/>
      <c r="O49" s="6"/>
    </row>
    <row r="50" spans="1:26">
      <c r="A50" s="1" t="s">
        <v>53</v>
      </c>
      <c r="B50" s="12">
        <f t="shared" ref="B50:M50" si="11">+B13-B48</f>
        <v>-728533.9897115808</v>
      </c>
      <c r="C50" s="12">
        <f t="shared" si="11"/>
        <v>-3810.9488717345521</v>
      </c>
      <c r="D50" s="12">
        <f t="shared" si="11"/>
        <v>1004641.4814480674</v>
      </c>
      <c r="E50" s="12">
        <f t="shared" si="11"/>
        <v>595109.68371886434</v>
      </c>
      <c r="F50" s="12">
        <f t="shared" si="11"/>
        <v>16546.964496528264</v>
      </c>
      <c r="G50" s="12">
        <f t="shared" si="11"/>
        <v>-19981.748596895486</v>
      </c>
      <c r="H50" s="12">
        <f t="shared" si="11"/>
        <v>128524.42741065565</v>
      </c>
      <c r="I50" s="12">
        <f t="shared" si="11"/>
        <v>469407.90022242721</v>
      </c>
      <c r="J50" s="12">
        <f t="shared" si="11"/>
        <v>621111.75009930646</v>
      </c>
      <c r="K50" s="12">
        <f t="shared" si="11"/>
        <v>191126.32640295662</v>
      </c>
      <c r="L50" s="12">
        <f t="shared" si="11"/>
        <v>199362.9783349093</v>
      </c>
      <c r="M50" s="12">
        <f t="shared" si="11"/>
        <v>-916951.63903615391</v>
      </c>
      <c r="N50" s="12">
        <f>SUM(B50:M50)</f>
        <v>1556553.1859173505</v>
      </c>
      <c r="O50" s="7"/>
      <c r="P50" s="25">
        <f>+N50</f>
        <v>1556553.1859173505</v>
      </c>
    </row>
    <row r="51" spans="1:26" ht="7.5" customHeight="1">
      <c r="B51" s="7"/>
      <c r="C51" s="7"/>
      <c r="D51" s="7"/>
      <c r="E51" s="7"/>
      <c r="F51" s="7"/>
      <c r="G51" s="7"/>
      <c r="H51" s="7"/>
      <c r="I51" s="7"/>
      <c r="J51" s="7"/>
      <c r="K51" s="6"/>
      <c r="L51" s="6"/>
      <c r="M51" s="6"/>
      <c r="N51" s="6"/>
      <c r="O51" s="6"/>
    </row>
    <row r="52" spans="1:26">
      <c r="A52" s="1" t="s">
        <v>54</v>
      </c>
      <c r="B52" s="7"/>
      <c r="C52" s="7"/>
      <c r="D52" s="7"/>
      <c r="E52" s="7"/>
      <c r="F52" s="7"/>
      <c r="G52" s="7"/>
      <c r="H52" s="7"/>
      <c r="I52" s="7"/>
      <c r="J52" s="7"/>
      <c r="K52" s="6"/>
      <c r="L52" s="6"/>
      <c r="M52" s="6"/>
      <c r="N52" s="6"/>
      <c r="O52" s="6"/>
      <c r="P52" s="2">
        <f>SUM(P41:P50)</f>
        <v>308677.18591735046</v>
      </c>
    </row>
    <row r="53" spans="1:26" s="6" customFormat="1">
      <c r="A53" s="6" t="s">
        <v>55</v>
      </c>
      <c r="B53" s="10">
        <v>146000</v>
      </c>
      <c r="C53" s="10">
        <v>148200</v>
      </c>
      <c r="D53" s="10">
        <v>195000</v>
      </c>
      <c r="E53" s="10">
        <v>95000</v>
      </c>
      <c r="F53" s="10">
        <v>35000</v>
      </c>
      <c r="G53" s="10">
        <v>32000</v>
      </c>
      <c r="H53" s="23">
        <v>10000</v>
      </c>
      <c r="I53" s="10">
        <v>20000</v>
      </c>
      <c r="J53" s="10">
        <v>10000</v>
      </c>
      <c r="K53" s="10">
        <v>110000</v>
      </c>
      <c r="L53" s="10">
        <v>10000</v>
      </c>
      <c r="M53" s="10">
        <v>10000</v>
      </c>
      <c r="N53" s="51">
        <f>SUM(B53:M53)</f>
        <v>821200</v>
      </c>
      <c r="O53" s="10"/>
      <c r="P53" s="40"/>
      <c r="Z53" s="40"/>
    </row>
    <row r="54" spans="1:26" s="6" customFormat="1">
      <c r="A54" s="6" t="s">
        <v>96</v>
      </c>
      <c r="B54" s="10"/>
      <c r="C54" s="10"/>
      <c r="D54" s="10"/>
      <c r="E54" s="10"/>
      <c r="F54" s="51">
        <v>90000</v>
      </c>
      <c r="G54" s="10"/>
      <c r="H54" s="10"/>
      <c r="I54" s="10"/>
      <c r="J54" s="10"/>
      <c r="K54" s="10"/>
      <c r="L54" s="10"/>
      <c r="M54" s="10"/>
      <c r="N54" s="51">
        <f>SUM(B54:M54)</f>
        <v>90000</v>
      </c>
    </row>
    <row r="55" spans="1:26" s="6" customFormat="1">
      <c r="A55" s="6" t="s">
        <v>111</v>
      </c>
      <c r="B55" s="89">
        <v>438941</v>
      </c>
      <c r="C55" s="10"/>
      <c r="D55" s="10"/>
      <c r="E55" s="10"/>
      <c r="F55" s="10"/>
      <c r="G55" s="10"/>
      <c r="H55" s="10"/>
      <c r="I55" s="10"/>
      <c r="J55" s="10"/>
      <c r="K55" s="10"/>
      <c r="L55" s="10">
        <v>0</v>
      </c>
      <c r="M55" s="56"/>
      <c r="N55" s="10">
        <f>SUM(B55:M55)</f>
        <v>438941</v>
      </c>
    </row>
    <row r="56" spans="1:26" s="6" customFormat="1">
      <c r="A56" s="37" t="s">
        <v>58</v>
      </c>
      <c r="B56" s="7">
        <v>-25000</v>
      </c>
      <c r="C56" s="7">
        <v>-25000</v>
      </c>
      <c r="D56" s="7">
        <v>-20000</v>
      </c>
      <c r="E56" s="7">
        <v>-25000</v>
      </c>
      <c r="F56" s="7">
        <v>-25000</v>
      </c>
      <c r="G56" s="7">
        <v>-20000</v>
      </c>
      <c r="H56" s="7">
        <v>-25000</v>
      </c>
      <c r="I56" s="7">
        <v>-25000</v>
      </c>
      <c r="J56" s="7">
        <v>-20000</v>
      </c>
      <c r="K56" s="7">
        <v>-25000</v>
      </c>
      <c r="L56" s="7">
        <v>-25000</v>
      </c>
      <c r="M56" s="7">
        <v>-20000</v>
      </c>
      <c r="N56" s="7">
        <f>SUM(B56:M56)</f>
        <v>-280000</v>
      </c>
      <c r="O56" s="7"/>
    </row>
    <row r="57" spans="1:26" s="6" customFormat="1">
      <c r="A57" s="6" t="s">
        <v>59</v>
      </c>
      <c r="B57" s="22">
        <v>-25000</v>
      </c>
      <c r="C57" s="22">
        <v>-25000</v>
      </c>
      <c r="D57" s="22">
        <v>-25000</v>
      </c>
      <c r="E57" s="22">
        <v>-25000</v>
      </c>
      <c r="F57" s="22">
        <v>-25000</v>
      </c>
      <c r="G57" s="22">
        <v>-25000</v>
      </c>
      <c r="H57" s="22">
        <v>-25000</v>
      </c>
      <c r="I57" s="22">
        <v>-25000</v>
      </c>
      <c r="J57" s="22">
        <v>-25000</v>
      </c>
      <c r="K57" s="22">
        <v>-25000</v>
      </c>
      <c r="L57" s="22">
        <v>-25000</v>
      </c>
      <c r="M57" s="22">
        <v>-25000</v>
      </c>
      <c r="N57" s="22">
        <f>SUM(B57:M57)</f>
        <v>-300000</v>
      </c>
      <c r="O57" s="56"/>
    </row>
    <row r="58" spans="1:26" s="6" customFormat="1">
      <c r="A58" s="13" t="s">
        <v>60</v>
      </c>
      <c r="B58" s="19">
        <f t="shared" ref="B58:N58" si="12">SUM(B53:B57)</f>
        <v>534941</v>
      </c>
      <c r="C58" s="19">
        <f t="shared" si="12"/>
        <v>98200</v>
      </c>
      <c r="D58" s="19">
        <f t="shared" si="12"/>
        <v>150000</v>
      </c>
      <c r="E58" s="19">
        <f t="shared" si="12"/>
        <v>45000</v>
      </c>
      <c r="F58" s="19">
        <f t="shared" si="12"/>
        <v>75000</v>
      </c>
      <c r="G58" s="19">
        <f t="shared" si="12"/>
        <v>-13000</v>
      </c>
      <c r="H58" s="19">
        <f>SUM(H53:H57)</f>
        <v>-40000</v>
      </c>
      <c r="I58" s="19">
        <f t="shared" si="12"/>
        <v>-30000</v>
      </c>
      <c r="J58" s="19">
        <f t="shared" si="12"/>
        <v>-35000</v>
      </c>
      <c r="K58" s="19">
        <f t="shared" si="12"/>
        <v>60000</v>
      </c>
      <c r="L58" s="19">
        <f t="shared" si="12"/>
        <v>-40000</v>
      </c>
      <c r="M58" s="19">
        <f t="shared" si="12"/>
        <v>-35000</v>
      </c>
      <c r="N58" s="19">
        <f t="shared" si="12"/>
        <v>770141</v>
      </c>
      <c r="O58" s="29"/>
    </row>
    <row r="59" spans="1:26">
      <c r="B59" s="7"/>
      <c r="C59" s="7"/>
      <c r="D59" s="7"/>
      <c r="E59" s="7"/>
      <c r="F59" s="7"/>
      <c r="G59" s="7"/>
      <c r="H59" s="7"/>
      <c r="I59" s="7"/>
      <c r="J59" s="7"/>
      <c r="K59" s="7"/>
      <c r="L59" s="7"/>
      <c r="M59" s="7"/>
      <c r="N59" s="7"/>
      <c r="O59" s="6"/>
    </row>
    <row r="60" spans="1:26">
      <c r="A60" s="1" t="s">
        <v>61</v>
      </c>
      <c r="B60" s="26">
        <v>13639094</v>
      </c>
      <c r="C60" s="7"/>
      <c r="D60" s="7"/>
      <c r="E60" s="7"/>
      <c r="F60" s="7"/>
      <c r="G60" s="7"/>
      <c r="H60" s="7" t="s">
        <v>38</v>
      </c>
      <c r="I60" s="7"/>
      <c r="J60" s="7"/>
      <c r="K60" s="6"/>
      <c r="L60" s="6"/>
      <c r="M60" s="6"/>
      <c r="N60" s="6"/>
      <c r="O60" s="6"/>
    </row>
    <row r="61" spans="1:26">
      <c r="A61" s="13" t="s">
        <v>62</v>
      </c>
      <c r="B61" s="19">
        <f t="shared" ref="B61:N61" si="13">+B58+B48</f>
        <v>2996337.6055215807</v>
      </c>
      <c r="C61" s="19">
        <f t="shared" si="13"/>
        <v>4632544.9695117343</v>
      </c>
      <c r="D61" s="19">
        <f t="shared" si="13"/>
        <v>3589305.8573019328</v>
      </c>
      <c r="E61" s="19">
        <f t="shared" si="13"/>
        <v>3421406.924941136</v>
      </c>
      <c r="F61" s="19">
        <f t="shared" si="13"/>
        <v>2674565.5969434716</v>
      </c>
      <c r="G61" s="19">
        <f t="shared" si="13"/>
        <v>2533618.7725768955</v>
      </c>
      <c r="H61" s="19">
        <f t="shared" si="13"/>
        <v>3911590.9775393447</v>
      </c>
      <c r="I61" s="19">
        <f t="shared" si="13"/>
        <v>3085272.8326875726</v>
      </c>
      <c r="J61" s="19">
        <f t="shared" si="13"/>
        <v>3134697.6409406937</v>
      </c>
      <c r="K61" s="19">
        <f t="shared" si="13"/>
        <v>3295617.8755670437</v>
      </c>
      <c r="L61" s="19">
        <f t="shared" si="13"/>
        <v>2757336.6702150907</v>
      </c>
      <c r="M61" s="19">
        <f t="shared" si="13"/>
        <v>2382282.7903261539</v>
      </c>
      <c r="N61" s="19">
        <f t="shared" si="13"/>
        <v>38414578.514072657</v>
      </c>
      <c r="O61" s="29"/>
    </row>
    <row r="62" spans="1:26" ht="13.5" thickBot="1">
      <c r="A62" s="13" t="s">
        <v>63</v>
      </c>
      <c r="B62" s="14">
        <f t="shared" ref="B62:N62" si="14">+B13-B61</f>
        <v>-1263474.9897115808</v>
      </c>
      <c r="C62" s="14">
        <f t="shared" si="14"/>
        <v>-102010.94887173455</v>
      </c>
      <c r="D62" s="14">
        <f t="shared" si="14"/>
        <v>854641.48144806735</v>
      </c>
      <c r="E62" s="14">
        <f t="shared" si="14"/>
        <v>550109.68371886434</v>
      </c>
      <c r="F62" s="14">
        <f t="shared" si="14"/>
        <v>-58453.035503471736</v>
      </c>
      <c r="G62" s="14">
        <f t="shared" si="14"/>
        <v>-6981.7485968954861</v>
      </c>
      <c r="H62" s="14">
        <f t="shared" si="14"/>
        <v>168524.42741065565</v>
      </c>
      <c r="I62" s="14">
        <f t="shared" si="14"/>
        <v>499407.90022242721</v>
      </c>
      <c r="J62" s="14">
        <f t="shared" si="14"/>
        <v>656111.75009930646</v>
      </c>
      <c r="K62" s="14">
        <f t="shared" si="14"/>
        <v>131126.32640295662</v>
      </c>
      <c r="L62" s="14">
        <f t="shared" si="14"/>
        <v>239362.9783349093</v>
      </c>
      <c r="M62" s="14">
        <f t="shared" si="14"/>
        <v>-881951.63903615391</v>
      </c>
      <c r="N62" s="14">
        <f t="shared" si="14"/>
        <v>786412.18591734767</v>
      </c>
      <c r="O62" s="29"/>
    </row>
    <row r="63" spans="1:26" s="6" customFormat="1" ht="13.5" thickTop="1">
      <c r="A63" s="13" t="s">
        <v>64</v>
      </c>
      <c r="B63" s="12">
        <f>+B62</f>
        <v>-1263474.9897115808</v>
      </c>
      <c r="C63" s="12">
        <f t="shared" ref="C63:M63" si="15">B63+C62</f>
        <v>-1365485.9385833154</v>
      </c>
      <c r="D63" s="12">
        <f t="shared" si="15"/>
        <v>-510844.457135248</v>
      </c>
      <c r="E63" s="12">
        <f t="shared" si="15"/>
        <v>39265.226583616342</v>
      </c>
      <c r="F63" s="12">
        <f t="shared" si="15"/>
        <v>-19187.808919855393</v>
      </c>
      <c r="G63" s="12">
        <f t="shared" si="15"/>
        <v>-26169.55751675088</v>
      </c>
      <c r="H63" s="12">
        <f t="shared" si="15"/>
        <v>142354.86989390478</v>
      </c>
      <c r="I63" s="12">
        <f t="shared" si="15"/>
        <v>641762.77011633199</v>
      </c>
      <c r="J63" s="12">
        <f t="shared" si="15"/>
        <v>1297874.5202156384</v>
      </c>
      <c r="K63" s="12">
        <f t="shared" si="15"/>
        <v>1429000.8466185951</v>
      </c>
      <c r="L63" s="12">
        <f t="shared" si="15"/>
        <v>1668363.8249535044</v>
      </c>
      <c r="M63" s="12">
        <f t="shared" si="15"/>
        <v>786412.18591735046</v>
      </c>
      <c r="N63" s="12"/>
    </row>
    <row r="64" spans="1:26">
      <c r="A64" s="13" t="s">
        <v>65</v>
      </c>
      <c r="B64" s="12">
        <f t="shared" ref="B64:M64" si="16">+$B$60+B63</f>
        <v>12375619.010288419</v>
      </c>
      <c r="C64" s="12">
        <f t="shared" si="16"/>
        <v>12273608.061416686</v>
      </c>
      <c r="D64" s="12">
        <f t="shared" si="16"/>
        <v>13128249.542864751</v>
      </c>
      <c r="E64" s="12">
        <f t="shared" si="16"/>
        <v>13678359.226583617</v>
      </c>
      <c r="F64" s="12">
        <f t="shared" si="16"/>
        <v>13619906.191080146</v>
      </c>
      <c r="G64" s="12">
        <f t="shared" si="16"/>
        <v>13612924.44248325</v>
      </c>
      <c r="H64" s="12">
        <f t="shared" si="16"/>
        <v>13781448.869893905</v>
      </c>
      <c r="I64" s="12">
        <f t="shared" si="16"/>
        <v>14280856.770116333</v>
      </c>
      <c r="J64" s="12">
        <f t="shared" si="16"/>
        <v>14936968.520215638</v>
      </c>
      <c r="K64" s="12">
        <f t="shared" si="16"/>
        <v>15068094.846618595</v>
      </c>
      <c r="L64" s="12">
        <f t="shared" si="16"/>
        <v>15307457.824953504</v>
      </c>
      <c r="M64" s="12">
        <f t="shared" si="16"/>
        <v>14425506.185917351</v>
      </c>
      <c r="N64" s="12"/>
      <c r="O64" s="6"/>
    </row>
    <row r="65" spans="1:15">
      <c r="A65" s="6"/>
      <c r="B65" s="7"/>
      <c r="C65" s="7"/>
      <c r="D65" s="7"/>
      <c r="E65" s="7"/>
      <c r="F65" s="7"/>
      <c r="G65" s="7"/>
      <c r="H65" s="7"/>
      <c r="I65" s="7"/>
      <c r="J65" s="7"/>
      <c r="K65" s="6"/>
      <c r="L65" s="6"/>
      <c r="M65" s="6"/>
      <c r="N65" s="6"/>
      <c r="O65" s="6"/>
    </row>
    <row r="66" spans="1:15" s="6" customFormat="1">
      <c r="A66" s="17" t="s">
        <v>126</v>
      </c>
      <c r="B66" s="18"/>
      <c r="C66" s="18"/>
      <c r="D66" s="18"/>
      <c r="E66" s="18"/>
      <c r="F66" s="18"/>
      <c r="G66" s="18"/>
      <c r="H66" s="18"/>
      <c r="I66" s="18"/>
      <c r="J66" s="18"/>
      <c r="K66" s="18"/>
      <c r="L66" s="18"/>
      <c r="M66" s="18"/>
      <c r="N66" s="18"/>
    </row>
    <row r="67" spans="1:15" ht="13.5" thickBot="1">
      <c r="A67" s="13" t="s">
        <v>67</v>
      </c>
      <c r="B67" s="14">
        <v>-1263474.9897115808</v>
      </c>
      <c r="C67" s="14">
        <v>-102010.94887173455</v>
      </c>
      <c r="D67" s="14">
        <v>854641.48144806735</v>
      </c>
      <c r="E67" s="14">
        <v>550109.68371886434</v>
      </c>
      <c r="F67" s="14">
        <v>-58453.035503471736</v>
      </c>
      <c r="G67" s="14">
        <v>-6981.7485968954861</v>
      </c>
      <c r="H67" s="14">
        <v>168524.42741065565</v>
      </c>
      <c r="I67" s="14">
        <v>499407.90022242721</v>
      </c>
      <c r="J67" s="14">
        <v>656111.75009930646</v>
      </c>
      <c r="K67" s="14">
        <v>131126.32640295662</v>
      </c>
      <c r="L67" s="14">
        <v>239362.9783349093</v>
      </c>
      <c r="M67" s="14">
        <v>-881951.63903615391</v>
      </c>
      <c r="N67" s="16"/>
      <c r="O67" s="6"/>
    </row>
    <row r="68" spans="1:15" ht="13.5" thickTop="1">
      <c r="A68" s="13" t="s">
        <v>64</v>
      </c>
      <c r="B68" s="12">
        <f>+B67</f>
        <v>-1263474.9897115808</v>
      </c>
      <c r="C68" s="12">
        <f>+B68+C67</f>
        <v>-1365485.9385833154</v>
      </c>
      <c r="D68" s="12">
        <f t="shared" ref="D68:M68" si="17">+C68+D67</f>
        <v>-510844.457135248</v>
      </c>
      <c r="E68" s="12">
        <f t="shared" si="17"/>
        <v>39265.226583616342</v>
      </c>
      <c r="F68" s="12">
        <f t="shared" si="17"/>
        <v>-19187.808919855393</v>
      </c>
      <c r="G68" s="12">
        <f t="shared" si="17"/>
        <v>-26169.55751675088</v>
      </c>
      <c r="H68" s="12">
        <f t="shared" si="17"/>
        <v>142354.86989390478</v>
      </c>
      <c r="I68" s="12">
        <f t="shared" si="17"/>
        <v>641762.77011633199</v>
      </c>
      <c r="J68" s="12">
        <f t="shared" si="17"/>
        <v>1297874.5202156384</v>
      </c>
      <c r="K68" s="12">
        <f t="shared" si="17"/>
        <v>1429000.8466185951</v>
      </c>
      <c r="L68" s="12">
        <f t="shared" si="17"/>
        <v>1668363.8249535044</v>
      </c>
      <c r="M68" s="12">
        <f t="shared" si="17"/>
        <v>786412.18591735046</v>
      </c>
      <c r="N68" s="16"/>
      <c r="O68" s="6"/>
    </row>
    <row r="69" spans="1:15">
      <c r="A69" s="13" t="s">
        <v>65</v>
      </c>
      <c r="B69" s="12">
        <v>12917512</v>
      </c>
      <c r="C69" s="12">
        <v>12793700</v>
      </c>
      <c r="D69" s="12">
        <v>13941855</v>
      </c>
      <c r="E69" s="12">
        <v>14525011</v>
      </c>
      <c r="F69" s="12">
        <v>14399159</v>
      </c>
      <c r="G69" s="12">
        <v>14361469</v>
      </c>
      <c r="H69" s="12">
        <v>14462138</v>
      </c>
      <c r="I69" s="12">
        <v>15244556</v>
      </c>
      <c r="J69" s="12">
        <v>15579898</v>
      </c>
      <c r="K69" s="12">
        <v>15948341</v>
      </c>
      <c r="L69" s="12">
        <v>16058562</v>
      </c>
      <c r="M69" s="12">
        <v>14998982</v>
      </c>
      <c r="N69" s="12"/>
      <c r="O69" s="6"/>
    </row>
    <row r="70" spans="1:15">
      <c r="A70" s="6"/>
      <c r="B70" s="6"/>
      <c r="C70" s="6"/>
      <c r="D70" s="6"/>
      <c r="E70" s="6"/>
      <c r="F70" s="6"/>
      <c r="H70" s="6"/>
      <c r="I70" s="6"/>
      <c r="J70" s="6"/>
      <c r="K70" s="6"/>
      <c r="L70" s="6"/>
      <c r="M70" s="6"/>
      <c r="N70" s="6"/>
      <c r="O70" s="6"/>
    </row>
    <row r="71" spans="1:15">
      <c r="A71" s="24" t="s">
        <v>68</v>
      </c>
      <c r="B71" s="18"/>
      <c r="C71" s="18"/>
      <c r="D71" s="18"/>
      <c r="E71" s="18"/>
      <c r="F71" s="18"/>
      <c r="G71" s="18"/>
      <c r="H71" s="18"/>
      <c r="I71" s="18"/>
      <c r="J71" s="18"/>
      <c r="K71" s="18"/>
      <c r="L71" s="18"/>
      <c r="M71" s="18"/>
      <c r="N71" s="18"/>
      <c r="O71" s="6"/>
    </row>
    <row r="72" spans="1:15">
      <c r="A72" s="13" t="s">
        <v>63</v>
      </c>
      <c r="B72" s="31">
        <f t="shared" ref="B72:N74" si="18">+B62-B67</f>
        <v>0</v>
      </c>
      <c r="C72" s="31">
        <f t="shared" si="18"/>
        <v>0</v>
      </c>
      <c r="D72" s="31">
        <f t="shared" si="18"/>
        <v>0</v>
      </c>
      <c r="E72" s="31">
        <f t="shared" si="18"/>
        <v>0</v>
      </c>
      <c r="F72" s="31">
        <f t="shared" si="18"/>
        <v>0</v>
      </c>
      <c r="G72" s="31">
        <f t="shared" si="18"/>
        <v>0</v>
      </c>
      <c r="H72" s="31">
        <f t="shared" si="18"/>
        <v>0</v>
      </c>
      <c r="I72" s="31">
        <f t="shared" si="18"/>
        <v>0</v>
      </c>
      <c r="J72" s="31">
        <f t="shared" si="18"/>
        <v>0</v>
      </c>
      <c r="K72" s="31">
        <f t="shared" si="18"/>
        <v>0</v>
      </c>
      <c r="L72" s="31">
        <f t="shared" si="18"/>
        <v>0</v>
      </c>
      <c r="M72" s="31">
        <f t="shared" si="18"/>
        <v>0</v>
      </c>
      <c r="N72" s="6"/>
      <c r="O72" s="6"/>
    </row>
    <row r="73" spans="1:15" s="6" customFormat="1">
      <c r="A73" s="13" t="s">
        <v>64</v>
      </c>
      <c r="B73" s="31">
        <f t="shared" si="18"/>
        <v>0</v>
      </c>
      <c r="C73" s="31">
        <f t="shared" si="18"/>
        <v>0</v>
      </c>
      <c r="D73" s="31">
        <f t="shared" si="18"/>
        <v>0</v>
      </c>
      <c r="E73" s="31">
        <f t="shared" si="18"/>
        <v>0</v>
      </c>
      <c r="F73" s="31">
        <f t="shared" si="18"/>
        <v>0</v>
      </c>
      <c r="G73" s="31">
        <f t="shared" si="18"/>
        <v>0</v>
      </c>
      <c r="H73" s="31">
        <f t="shared" si="18"/>
        <v>0</v>
      </c>
      <c r="I73" s="31">
        <f t="shared" si="18"/>
        <v>0</v>
      </c>
      <c r="J73" s="31">
        <f t="shared" si="18"/>
        <v>0</v>
      </c>
      <c r="K73" s="31">
        <f t="shared" si="18"/>
        <v>0</v>
      </c>
      <c r="L73" s="31">
        <f t="shared" si="18"/>
        <v>0</v>
      </c>
      <c r="M73" s="31">
        <f t="shared" si="18"/>
        <v>0</v>
      </c>
      <c r="N73" s="16">
        <f t="shared" si="18"/>
        <v>0</v>
      </c>
    </row>
    <row r="74" spans="1:15">
      <c r="A74" s="1" t="s">
        <v>65</v>
      </c>
      <c r="B74" s="16">
        <f t="shared" si="18"/>
        <v>-541892.9897115808</v>
      </c>
      <c r="C74" s="16">
        <f t="shared" si="18"/>
        <v>-520091.93858331442</v>
      </c>
      <c r="D74" s="16">
        <f t="shared" si="18"/>
        <v>-813605.45713524893</v>
      </c>
      <c r="E74" s="16">
        <f t="shared" si="18"/>
        <v>-846651.77341638319</v>
      </c>
      <c r="F74" s="16">
        <f t="shared" si="18"/>
        <v>-779252.80891985446</v>
      </c>
      <c r="G74" s="16">
        <f t="shared" si="18"/>
        <v>-748544.55751674995</v>
      </c>
      <c r="H74" s="16">
        <f t="shared" si="18"/>
        <v>-680689.13010609522</v>
      </c>
      <c r="I74" s="16">
        <f t="shared" si="18"/>
        <v>-963699.22988366708</v>
      </c>
      <c r="J74" s="16">
        <f t="shared" si="18"/>
        <v>-642929.47978436202</v>
      </c>
      <c r="K74" s="16">
        <f t="shared" si="18"/>
        <v>-880246.1533814054</v>
      </c>
      <c r="L74" s="16">
        <f t="shared" si="18"/>
        <v>-751104.17504649609</v>
      </c>
      <c r="M74" s="16">
        <f t="shared" si="18"/>
        <v>-573475.81408264861</v>
      </c>
      <c r="N74" s="16"/>
      <c r="O74" s="6"/>
    </row>
    <row r="75" spans="1:15">
      <c r="B75" s="6"/>
      <c r="C75" s="6"/>
      <c r="D75" s="6"/>
      <c r="E75" s="6"/>
      <c r="F75" s="6"/>
      <c r="H75" s="6"/>
      <c r="I75" s="6"/>
      <c r="J75" s="6"/>
      <c r="K75" s="6"/>
      <c r="L75" s="6"/>
      <c r="M75" s="6"/>
      <c r="N75" s="6"/>
    </row>
    <row r="76" spans="1:15">
      <c r="A76" s="1"/>
      <c r="B76" s="4"/>
      <c r="C76" s="8"/>
      <c r="D76" s="8"/>
      <c r="E76" s="8"/>
      <c r="F76" s="8"/>
      <c r="H76" s="20"/>
      <c r="J76" s="6"/>
      <c r="K76" s="6"/>
    </row>
    <row r="77" spans="1:15">
      <c r="A77" s="1"/>
      <c r="B77" s="4"/>
      <c r="C77" s="8"/>
      <c r="D77" s="8"/>
      <c r="E77" s="8"/>
      <c r="F77" s="8"/>
      <c r="H77" s="85">
        <v>12112.349999999999</v>
      </c>
      <c r="I77" s="86"/>
      <c r="J77" s="85">
        <v>562010.51</v>
      </c>
    </row>
    <row r="78" spans="1:15">
      <c r="A78" s="1"/>
      <c r="B78" s="4"/>
      <c r="D78" s="8"/>
      <c r="E78" s="8"/>
      <c r="F78" s="8"/>
      <c r="H78" s="61"/>
      <c r="J78" s="6"/>
    </row>
    <row r="79" spans="1:15">
      <c r="E79" s="6"/>
      <c r="H79" s="20"/>
      <c r="J79" s="6"/>
      <c r="N79" s="25"/>
    </row>
    <row r="80" spans="1:15">
      <c r="A80" t="s">
        <v>69</v>
      </c>
      <c r="B80" t="s">
        <v>69</v>
      </c>
      <c r="C80" t="s">
        <v>69</v>
      </c>
      <c r="D80" t="s">
        <v>69</v>
      </c>
      <c r="E80" s="6" t="s">
        <v>69</v>
      </c>
      <c r="F80" t="s">
        <v>69</v>
      </c>
      <c r="G80" s="6" t="s">
        <v>69</v>
      </c>
      <c r="H80" t="s">
        <v>69</v>
      </c>
      <c r="I80" t="s">
        <v>69</v>
      </c>
      <c r="J80" s="6" t="s">
        <v>69</v>
      </c>
      <c r="K80" t="s">
        <v>69</v>
      </c>
      <c r="L80" t="s">
        <v>69</v>
      </c>
      <c r="M80" t="s">
        <v>69</v>
      </c>
      <c r="N80" t="s">
        <v>69</v>
      </c>
    </row>
    <row r="82" spans="6:8">
      <c r="F82">
        <v>11636.78</v>
      </c>
      <c r="H82">
        <v>73191.26999999999</v>
      </c>
    </row>
    <row r="84" spans="6:8">
      <c r="F84" s="2">
        <f>SUM(B56:F56)</f>
        <v>-120000</v>
      </c>
    </row>
    <row r="85" spans="6:8">
      <c r="F85" s="2">
        <f>SUM(B57:F57)</f>
        <v>-125000</v>
      </c>
    </row>
  </sheetData>
  <pageMargins left="0.28000000000000003" right="0.25" top="0.99" bottom="0.75" header="0.63" footer="0.23"/>
  <pageSetup scale="60" orientation="landscape" r:id="rId1"/>
  <headerFooter alignWithMargins="0">
    <oddHeader xml:space="preserve">&amp;C&amp;"Arial,Bold"&amp;11 49ER SHOPS, INC.
&amp;UFY2018/2019 OPERATIONAL CASH FLOW </oddHeader>
    <oddFooter xml:space="preserve">&amp;CCash Flow - FY2018/2019
May 2019
</oddFooter>
  </headerFooter>
  <legacyDrawing r:id="rId2"/>
</worksheet>
</file>

<file path=xl/worksheets/sheet4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92D050"/>
    <pageSetUpPr fitToPage="1"/>
  </sheetPr>
  <dimension ref="A1:Z85"/>
  <sheetViews>
    <sheetView showGridLines="0" topLeftCell="A46" zoomScale="80" zoomScaleNormal="80" workbookViewId="0">
      <selection activeCell="B24" sqref="B24"/>
    </sheetView>
  </sheetViews>
  <sheetFormatPr defaultRowHeight="12.75"/>
  <cols>
    <col min="1" max="1" width="35.42578125" customWidth="1"/>
    <col min="2" max="2" width="14" customWidth="1"/>
    <col min="3" max="3" width="14.5703125" customWidth="1"/>
    <col min="4" max="4" width="14" customWidth="1"/>
    <col min="5" max="6" width="13.5703125" customWidth="1"/>
    <col min="7" max="7" width="16.5703125" style="6" customWidth="1"/>
    <col min="8" max="8" width="14.140625" customWidth="1"/>
    <col min="9" max="9" width="14.42578125" customWidth="1"/>
    <col min="10" max="10" width="13.85546875" customWidth="1"/>
    <col min="11" max="11" width="15.140625" customWidth="1"/>
    <col min="12" max="12" width="13.5703125" customWidth="1"/>
    <col min="13" max="13" width="14.42578125" customWidth="1"/>
    <col min="14" max="14" width="16.5703125" customWidth="1"/>
    <col min="15" max="15" width="12.42578125" bestFit="1" customWidth="1"/>
    <col min="16" max="16" width="14.140625" customWidth="1"/>
  </cols>
  <sheetData>
    <row r="1" spans="1:16" ht="13.5" thickBot="1">
      <c r="A1" s="46" t="s">
        <v>125</v>
      </c>
      <c r="E1" s="6"/>
      <c r="F1" s="6"/>
      <c r="J1" s="6"/>
      <c r="K1" s="6"/>
      <c r="N1" s="3"/>
    </row>
    <row r="2" spans="1:16">
      <c r="B2" s="45" t="s">
        <v>24</v>
      </c>
      <c r="C2" s="45" t="s">
        <v>76</v>
      </c>
      <c r="D2" s="45" t="s">
        <v>76</v>
      </c>
      <c r="E2" s="45" t="s">
        <v>76</v>
      </c>
      <c r="F2" s="45" t="s">
        <v>76</v>
      </c>
      <c r="G2" s="45" t="s">
        <v>76</v>
      </c>
      <c r="H2" s="45" t="s">
        <v>76</v>
      </c>
      <c r="I2" s="45" t="s">
        <v>76</v>
      </c>
      <c r="J2" s="45" t="s">
        <v>76</v>
      </c>
      <c r="K2" s="45" t="s">
        <v>76</v>
      </c>
      <c r="L2" s="45" t="s">
        <v>76</v>
      </c>
      <c r="M2" s="45" t="s">
        <v>76</v>
      </c>
      <c r="N2" s="55" t="s">
        <v>25</v>
      </c>
    </row>
    <row r="3" spans="1:16" s="5" customFormat="1">
      <c r="B3" s="11">
        <v>43648</v>
      </c>
      <c r="C3" s="11">
        <v>43679</v>
      </c>
      <c r="D3" s="11">
        <v>43710</v>
      </c>
      <c r="E3" s="11">
        <v>43740</v>
      </c>
      <c r="F3" s="11">
        <v>43771</v>
      </c>
      <c r="G3" s="11">
        <v>43801</v>
      </c>
      <c r="H3" s="11">
        <v>43832</v>
      </c>
      <c r="I3" s="11">
        <v>43863</v>
      </c>
      <c r="J3" s="11">
        <v>43892</v>
      </c>
      <c r="K3" s="11">
        <v>43923</v>
      </c>
      <c r="L3" s="11">
        <v>43953</v>
      </c>
      <c r="M3" s="11">
        <v>43984</v>
      </c>
      <c r="N3" s="57" t="s">
        <v>123</v>
      </c>
    </row>
    <row r="4" spans="1:16">
      <c r="A4" s="1" t="s">
        <v>27</v>
      </c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>
        <f>SUM(B4:M4)</f>
        <v>0</v>
      </c>
      <c r="O4" s="29"/>
    </row>
    <row r="5" spans="1:16" s="6" customFormat="1">
      <c r="A5" s="6" t="s">
        <v>28</v>
      </c>
      <c r="B5" s="49">
        <v>1506911</v>
      </c>
      <c r="C5" s="53">
        <v>4439424.0206399998</v>
      </c>
      <c r="D5" s="53">
        <v>4095268.3387500001</v>
      </c>
      <c r="E5" s="53">
        <v>3848072.6086600004</v>
      </c>
      <c r="F5" s="53">
        <v>2455124.5614399998</v>
      </c>
      <c r="G5" s="53">
        <v>2427666.0239800001</v>
      </c>
      <c r="H5" s="53">
        <v>3962386.4049500003</v>
      </c>
      <c r="I5" s="53">
        <v>3413283.7329099998</v>
      </c>
      <c r="J5" s="53">
        <v>3663286.3910400001</v>
      </c>
      <c r="K5" s="53">
        <v>3303515.2019700003</v>
      </c>
      <c r="L5" s="53">
        <v>2866321.64855</v>
      </c>
      <c r="M5" s="53">
        <v>1394806.15129</v>
      </c>
      <c r="N5" s="12">
        <f>SUM(B5:M5)</f>
        <v>37376066.084179997</v>
      </c>
      <c r="O5" s="29"/>
    </row>
    <row r="6" spans="1:16" s="6" customFormat="1">
      <c r="A6" s="6" t="s">
        <v>29</v>
      </c>
      <c r="B6" s="49">
        <v>122669</v>
      </c>
      <c r="C6" s="53">
        <v>91110</v>
      </c>
      <c r="D6" s="53">
        <v>348679</v>
      </c>
      <c r="E6" s="53">
        <v>123444</v>
      </c>
      <c r="F6" s="53">
        <v>160988</v>
      </c>
      <c r="G6" s="53">
        <v>98971</v>
      </c>
      <c r="H6" s="53">
        <v>117729</v>
      </c>
      <c r="I6" s="53">
        <v>171397</v>
      </c>
      <c r="J6" s="53">
        <v>127523</v>
      </c>
      <c r="K6" s="53">
        <v>123229</v>
      </c>
      <c r="L6" s="53">
        <v>130378</v>
      </c>
      <c r="M6" s="53">
        <v>105525</v>
      </c>
      <c r="N6" s="7">
        <f>SUM(B6:M6)</f>
        <v>1721642</v>
      </c>
      <c r="O6" s="29"/>
    </row>
    <row r="7" spans="1:16" s="6" customFormat="1">
      <c r="B7" s="7"/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7">
        <f>SUM(B7:M7)</f>
        <v>0</v>
      </c>
      <c r="O7" s="29"/>
    </row>
    <row r="8" spans="1:16" s="6" customFormat="1">
      <c r="B8" s="15"/>
      <c r="C8" s="15"/>
      <c r="D8" s="15"/>
      <c r="E8" s="15"/>
      <c r="F8" s="15"/>
      <c r="G8" s="15"/>
      <c r="H8" s="15"/>
      <c r="I8" s="15"/>
      <c r="J8" s="15"/>
      <c r="K8" s="15"/>
      <c r="L8" s="15"/>
      <c r="M8" s="15"/>
      <c r="N8" s="15">
        <f>SUM(B8:M8)</f>
        <v>0</v>
      </c>
      <c r="O8" s="29"/>
    </row>
    <row r="9" spans="1:16" s="6" customFormat="1">
      <c r="A9" s="13" t="s">
        <v>30</v>
      </c>
      <c r="B9" s="12">
        <f t="shared" ref="B9:N9" si="0">SUM(B5:B8)</f>
        <v>1629580</v>
      </c>
      <c r="C9" s="12">
        <f t="shared" si="0"/>
        <v>4530534.0206399998</v>
      </c>
      <c r="D9" s="12">
        <f t="shared" si="0"/>
        <v>4443947.3387500001</v>
      </c>
      <c r="E9" s="12">
        <f t="shared" si="0"/>
        <v>3971516.6086600004</v>
      </c>
      <c r="F9" s="12">
        <f t="shared" si="0"/>
        <v>2616112.5614399998</v>
      </c>
      <c r="G9" s="12">
        <f t="shared" si="0"/>
        <v>2526637.0239800001</v>
      </c>
      <c r="H9" s="12">
        <f t="shared" si="0"/>
        <v>4080115.4049500003</v>
      </c>
      <c r="I9" s="12">
        <f t="shared" si="0"/>
        <v>3584680.7329099998</v>
      </c>
      <c r="J9" s="12">
        <f t="shared" si="0"/>
        <v>3790809.3910400001</v>
      </c>
      <c r="K9" s="12">
        <f t="shared" si="0"/>
        <v>3426744.2019700003</v>
      </c>
      <c r="L9" s="12">
        <f t="shared" si="0"/>
        <v>2996699.64855</v>
      </c>
      <c r="M9" s="12">
        <f t="shared" si="0"/>
        <v>1500331.15129</v>
      </c>
      <c r="N9" s="12">
        <f t="shared" si="0"/>
        <v>39097708.084179997</v>
      </c>
      <c r="O9" s="29"/>
      <c r="P9" s="29">
        <f>+N9</f>
        <v>39097708.084179997</v>
      </c>
    </row>
    <row r="10" spans="1:16" s="6" customFormat="1" ht="6.75" customHeight="1"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29"/>
    </row>
    <row r="11" spans="1:16" s="6" customFormat="1">
      <c r="A11" s="13" t="s">
        <v>31</v>
      </c>
      <c r="B11" s="7">
        <v>2191</v>
      </c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">
        <f>SUM(B11:M11)</f>
        <v>2191</v>
      </c>
      <c r="O11" s="29"/>
    </row>
    <row r="12" spans="1:16" s="6" customFormat="1" ht="7.5" customHeight="1">
      <c r="B12" s="7"/>
      <c r="C12" s="7"/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  <c r="O12" s="29"/>
    </row>
    <row r="13" spans="1:16" s="6" customFormat="1" ht="13.5" thickBot="1">
      <c r="A13" s="13" t="s">
        <v>32</v>
      </c>
      <c r="B13" s="14">
        <f t="shared" ref="B13:N13" si="1">B9+B11</f>
        <v>1631771</v>
      </c>
      <c r="C13" s="14">
        <f>C9+C11</f>
        <v>4530534.0206399998</v>
      </c>
      <c r="D13" s="14">
        <f t="shared" si="1"/>
        <v>4443947.3387500001</v>
      </c>
      <c r="E13" s="14">
        <f t="shared" si="1"/>
        <v>3971516.6086600004</v>
      </c>
      <c r="F13" s="14">
        <f t="shared" si="1"/>
        <v>2616112.5614399998</v>
      </c>
      <c r="G13" s="14">
        <f t="shared" si="1"/>
        <v>2526637.0239800001</v>
      </c>
      <c r="H13" s="14">
        <f t="shared" si="1"/>
        <v>4080115.4049500003</v>
      </c>
      <c r="I13" s="14">
        <f t="shared" si="1"/>
        <v>3584680.7329099998</v>
      </c>
      <c r="J13" s="14">
        <f t="shared" si="1"/>
        <v>3790809.3910400001</v>
      </c>
      <c r="K13" s="14">
        <f t="shared" si="1"/>
        <v>3426744.2019700003</v>
      </c>
      <c r="L13" s="14">
        <f t="shared" si="1"/>
        <v>2996699.64855</v>
      </c>
      <c r="M13" s="14">
        <f t="shared" si="1"/>
        <v>1500331.15129</v>
      </c>
      <c r="N13" s="14">
        <f t="shared" si="1"/>
        <v>39099899.084179997</v>
      </c>
      <c r="O13" s="29"/>
    </row>
    <row r="14" spans="1:16" s="6" customFormat="1" ht="13.5" thickTop="1">
      <c r="B14" s="7"/>
      <c r="C14" s="7"/>
      <c r="D14" s="7"/>
      <c r="E14" s="7"/>
      <c r="F14" s="7"/>
      <c r="G14" s="7"/>
      <c r="H14" s="7"/>
      <c r="I14" s="7"/>
      <c r="J14" s="7"/>
      <c r="K14" s="7"/>
      <c r="L14" s="7"/>
      <c r="M14" s="7"/>
    </row>
    <row r="15" spans="1:16" s="6" customFormat="1">
      <c r="A15" s="13" t="s">
        <v>33</v>
      </c>
      <c r="B15" s="7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</row>
    <row r="16" spans="1:16" s="6" customFormat="1">
      <c r="A16" s="6" t="s">
        <v>34</v>
      </c>
      <c r="B16" s="49">
        <v>789538</v>
      </c>
      <c r="C16" s="53">
        <v>2518408.6566400002</v>
      </c>
      <c r="D16" s="53">
        <v>1649346.4462299999</v>
      </c>
      <c r="E16" s="53">
        <v>1296440.6412800001</v>
      </c>
      <c r="F16" s="53">
        <v>857870.95172000001</v>
      </c>
      <c r="G16" s="53">
        <v>872403.03766999999</v>
      </c>
      <c r="H16" s="53">
        <v>2196091.03559</v>
      </c>
      <c r="I16" s="53">
        <v>1238755.4207799998</v>
      </c>
      <c r="J16" s="53">
        <v>1292296.5777699999</v>
      </c>
      <c r="K16" s="53">
        <v>1245676.8455400001</v>
      </c>
      <c r="L16" s="53">
        <v>1172737.3767599999</v>
      </c>
      <c r="M16" s="53">
        <v>726619.06070999999</v>
      </c>
      <c r="N16" s="7">
        <f>SUM(B16:M16)</f>
        <v>15856184.050690001</v>
      </c>
      <c r="O16" s="29"/>
      <c r="P16" s="7">
        <f>-N16</f>
        <v>-15856184.050690001</v>
      </c>
    </row>
    <row r="17" spans="1:16" s="6" customFormat="1">
      <c r="B17" s="27"/>
      <c r="C17" s="27"/>
      <c r="D17" s="27"/>
      <c r="E17" s="27"/>
      <c r="F17" s="27"/>
      <c r="G17" s="27"/>
      <c r="H17" s="27"/>
      <c r="I17" s="27"/>
      <c r="J17" s="27"/>
      <c r="K17" s="27"/>
      <c r="L17" s="27"/>
      <c r="M17" s="27"/>
      <c r="N17" s="7">
        <f>SUM(B17:M17)</f>
        <v>0</v>
      </c>
    </row>
    <row r="18" spans="1:16" s="6" customFormat="1">
      <c r="B18" s="7"/>
      <c r="C18" s="7"/>
      <c r="D18" s="7"/>
      <c r="E18" s="7"/>
      <c r="F18" s="7"/>
      <c r="G18" s="7"/>
      <c r="H18" s="7"/>
      <c r="I18" s="7"/>
      <c r="J18" s="7"/>
      <c r="K18" s="7"/>
      <c r="L18" s="7"/>
      <c r="M18" s="7"/>
      <c r="N18" s="7">
        <v>0</v>
      </c>
    </row>
    <row r="19" spans="1:16" s="6" customFormat="1">
      <c r="B19" s="15"/>
      <c r="C19" s="15"/>
      <c r="D19" s="15"/>
      <c r="E19" s="15"/>
      <c r="F19" s="15"/>
      <c r="G19" s="15"/>
      <c r="H19" s="15"/>
      <c r="I19" s="15"/>
      <c r="J19" s="15"/>
      <c r="K19" s="15"/>
      <c r="L19" s="15"/>
      <c r="M19" s="15"/>
      <c r="N19" s="15">
        <f>SUM(B19:M19)</f>
        <v>0</v>
      </c>
    </row>
    <row r="20" spans="1:16" s="6" customFormat="1">
      <c r="A20" s="13" t="s">
        <v>35</v>
      </c>
      <c r="B20" s="12">
        <f t="shared" ref="B20:N20" si="2">SUM(B16:B19)</f>
        <v>789538</v>
      </c>
      <c r="C20" s="12">
        <f t="shared" si="2"/>
        <v>2518408.6566400002</v>
      </c>
      <c r="D20" s="12">
        <f t="shared" si="2"/>
        <v>1649346.4462299999</v>
      </c>
      <c r="E20" s="12">
        <f t="shared" si="2"/>
        <v>1296440.6412800001</v>
      </c>
      <c r="F20" s="12">
        <f t="shared" si="2"/>
        <v>857870.95172000001</v>
      </c>
      <c r="G20" s="12">
        <f t="shared" si="2"/>
        <v>872403.03766999999</v>
      </c>
      <c r="H20" s="12">
        <f t="shared" si="2"/>
        <v>2196091.03559</v>
      </c>
      <c r="I20" s="12">
        <f t="shared" si="2"/>
        <v>1238755.4207799998</v>
      </c>
      <c r="J20" s="12">
        <f t="shared" si="2"/>
        <v>1292296.5777699999</v>
      </c>
      <c r="K20" s="12">
        <f t="shared" si="2"/>
        <v>1245676.8455400001</v>
      </c>
      <c r="L20" s="12">
        <f t="shared" si="2"/>
        <v>1172737.3767599999</v>
      </c>
      <c r="M20" s="12">
        <f t="shared" si="2"/>
        <v>726619.06070999999</v>
      </c>
      <c r="N20" s="12">
        <f t="shared" si="2"/>
        <v>15856184.050690001</v>
      </c>
      <c r="O20" s="29"/>
    </row>
    <row r="21" spans="1:16" s="6" customFormat="1">
      <c r="B21" s="7"/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</row>
    <row r="22" spans="1:16" s="6" customFormat="1">
      <c r="A22" s="13" t="s">
        <v>36</v>
      </c>
      <c r="B22" s="7"/>
      <c r="C22" s="7"/>
      <c r="D22" s="7"/>
      <c r="E22" s="7"/>
      <c r="F22" s="7"/>
      <c r="G22" s="7"/>
      <c r="H22" s="7"/>
      <c r="I22" s="7"/>
      <c r="J22" s="7"/>
      <c r="K22" s="7"/>
      <c r="L22" s="7"/>
      <c r="M22" s="7"/>
    </row>
    <row r="23" spans="1:16" s="6" customFormat="1">
      <c r="A23" s="6" t="s">
        <v>37</v>
      </c>
      <c r="B23" s="7">
        <f t="shared" ref="B23:M26" si="3">+B5-B16</f>
        <v>717373</v>
      </c>
      <c r="C23" s="7">
        <f t="shared" si="3"/>
        <v>1921015.3639999996</v>
      </c>
      <c r="D23" s="7">
        <f t="shared" si="3"/>
        <v>2445921.8925200002</v>
      </c>
      <c r="E23" s="7">
        <f t="shared" si="3"/>
        <v>2551631.9673800003</v>
      </c>
      <c r="F23" s="7">
        <f t="shared" si="3"/>
        <v>1597253.6097199998</v>
      </c>
      <c r="G23" s="7">
        <f t="shared" si="3"/>
        <v>1555262.9863100001</v>
      </c>
      <c r="H23" s="7">
        <f t="shared" si="3"/>
        <v>1766295.3693600004</v>
      </c>
      <c r="I23" s="7">
        <f t="shared" si="3"/>
        <v>2174528.31213</v>
      </c>
      <c r="J23" s="7">
        <f t="shared" si="3"/>
        <v>2370989.8132700003</v>
      </c>
      <c r="K23" s="7">
        <f t="shared" si="3"/>
        <v>2057838.3564300002</v>
      </c>
      <c r="L23" s="7">
        <f t="shared" si="3"/>
        <v>1693584.2717900001</v>
      </c>
      <c r="M23" s="7">
        <f t="shared" si="3"/>
        <v>668187.09057999996</v>
      </c>
      <c r="N23" s="7">
        <f>SUM(B23:M23)</f>
        <v>21519882.033490002</v>
      </c>
      <c r="O23" s="29"/>
    </row>
    <row r="24" spans="1:16" s="6" customFormat="1">
      <c r="A24" s="6" t="s">
        <v>37</v>
      </c>
      <c r="B24" s="7">
        <f t="shared" si="3"/>
        <v>122669</v>
      </c>
      <c r="C24" s="7">
        <f t="shared" si="3"/>
        <v>91110</v>
      </c>
      <c r="D24" s="7">
        <f t="shared" si="3"/>
        <v>348679</v>
      </c>
      <c r="E24" s="7">
        <f t="shared" si="3"/>
        <v>123444</v>
      </c>
      <c r="F24" s="7">
        <f t="shared" si="3"/>
        <v>160988</v>
      </c>
      <c r="G24" s="7">
        <f t="shared" si="3"/>
        <v>98971</v>
      </c>
      <c r="H24" s="7">
        <f t="shared" si="3"/>
        <v>117729</v>
      </c>
      <c r="I24" s="7">
        <f t="shared" si="3"/>
        <v>171397</v>
      </c>
      <c r="J24" s="7">
        <f t="shared" si="3"/>
        <v>127523</v>
      </c>
      <c r="K24" s="7">
        <f t="shared" si="3"/>
        <v>123229</v>
      </c>
      <c r="L24" s="7">
        <f t="shared" si="3"/>
        <v>130378</v>
      </c>
      <c r="M24" s="7">
        <f t="shared" si="3"/>
        <v>105525</v>
      </c>
      <c r="N24" s="7">
        <f>SUM(B24:M24)</f>
        <v>1721642</v>
      </c>
      <c r="O24" s="29"/>
    </row>
    <row r="25" spans="1:16" s="6" customFormat="1">
      <c r="A25" s="6" t="s">
        <v>38</v>
      </c>
      <c r="B25" s="7">
        <f t="shared" si="3"/>
        <v>0</v>
      </c>
      <c r="C25" s="7">
        <f t="shared" si="3"/>
        <v>0</v>
      </c>
      <c r="D25" s="7">
        <f t="shared" si="3"/>
        <v>0</v>
      </c>
      <c r="E25" s="7">
        <f t="shared" si="3"/>
        <v>0</v>
      </c>
      <c r="F25" s="7">
        <f t="shared" si="3"/>
        <v>0</v>
      </c>
      <c r="G25" s="7">
        <f t="shared" si="3"/>
        <v>0</v>
      </c>
      <c r="H25" s="7">
        <f t="shared" si="3"/>
        <v>0</v>
      </c>
      <c r="I25" s="7">
        <f t="shared" si="3"/>
        <v>0</v>
      </c>
      <c r="J25" s="7">
        <f t="shared" si="3"/>
        <v>0</v>
      </c>
      <c r="K25" s="7">
        <f t="shared" si="3"/>
        <v>0</v>
      </c>
      <c r="L25" s="7">
        <f t="shared" si="3"/>
        <v>0</v>
      </c>
      <c r="M25" s="7">
        <f t="shared" si="3"/>
        <v>0</v>
      </c>
      <c r="N25" s="7">
        <f>SUM(B25:M25)</f>
        <v>0</v>
      </c>
      <c r="O25" s="29"/>
    </row>
    <row r="26" spans="1:16" s="6" customFormat="1">
      <c r="A26" s="6" t="s">
        <v>38</v>
      </c>
      <c r="B26" s="15">
        <f t="shared" si="3"/>
        <v>0</v>
      </c>
      <c r="C26" s="15">
        <f t="shared" si="3"/>
        <v>0</v>
      </c>
      <c r="D26" s="15">
        <f t="shared" si="3"/>
        <v>0</v>
      </c>
      <c r="E26" s="15">
        <f t="shared" si="3"/>
        <v>0</v>
      </c>
      <c r="F26" s="15">
        <f t="shared" si="3"/>
        <v>0</v>
      </c>
      <c r="G26" s="15">
        <f t="shared" si="3"/>
        <v>0</v>
      </c>
      <c r="H26" s="15">
        <f t="shared" si="3"/>
        <v>0</v>
      </c>
      <c r="I26" s="15">
        <f t="shared" si="3"/>
        <v>0</v>
      </c>
      <c r="J26" s="15">
        <f t="shared" si="3"/>
        <v>0</v>
      </c>
      <c r="K26" s="15">
        <f t="shared" si="3"/>
        <v>0</v>
      </c>
      <c r="L26" s="15">
        <f t="shared" si="3"/>
        <v>0</v>
      </c>
      <c r="M26" s="15">
        <f t="shared" si="3"/>
        <v>0</v>
      </c>
      <c r="N26" s="15">
        <f>SUM(B26:M26)</f>
        <v>0</v>
      </c>
      <c r="O26" s="29"/>
    </row>
    <row r="27" spans="1:16" s="6" customFormat="1">
      <c r="A27" s="13" t="s">
        <v>39</v>
      </c>
      <c r="B27" s="12">
        <f t="shared" ref="B27:N27" si="4">SUM(B23:B26)</f>
        <v>840042</v>
      </c>
      <c r="C27" s="12">
        <f t="shared" si="4"/>
        <v>2012125.3639999996</v>
      </c>
      <c r="D27" s="12">
        <f t="shared" si="4"/>
        <v>2794600.8925200002</v>
      </c>
      <c r="E27" s="12">
        <f t="shared" si="4"/>
        <v>2675075.9673800003</v>
      </c>
      <c r="F27" s="12">
        <f t="shared" si="4"/>
        <v>1758241.6097199998</v>
      </c>
      <c r="G27" s="12">
        <f t="shared" si="4"/>
        <v>1654233.9863100001</v>
      </c>
      <c r="H27" s="12">
        <f t="shared" si="4"/>
        <v>1884024.3693600004</v>
      </c>
      <c r="I27" s="12">
        <f t="shared" si="4"/>
        <v>2345925.31213</v>
      </c>
      <c r="J27" s="12">
        <f t="shared" si="4"/>
        <v>2498512.8132700003</v>
      </c>
      <c r="K27" s="12">
        <f t="shared" si="4"/>
        <v>2181067.3564300002</v>
      </c>
      <c r="L27" s="12">
        <f t="shared" si="4"/>
        <v>1823962.2717900001</v>
      </c>
      <c r="M27" s="12">
        <f>SUM(M23:M26)</f>
        <v>773712.09057999996</v>
      </c>
      <c r="N27" s="12">
        <f t="shared" si="4"/>
        <v>23241524.033490002</v>
      </c>
      <c r="O27" s="29"/>
      <c r="P27" s="29">
        <f>+N27</f>
        <v>23241524.033490002</v>
      </c>
    </row>
    <row r="28" spans="1:16" s="6" customFormat="1" ht="14.45" customHeight="1">
      <c r="B28" s="73">
        <f>+B27/B9</f>
        <v>0.51549601737871109</v>
      </c>
      <c r="C28" s="73">
        <f t="shared" ref="C28:N28" si="5">+C27/C9</f>
        <v>0.44412542866541799</v>
      </c>
      <c r="D28" s="73">
        <f t="shared" si="5"/>
        <v>0.62885553754245649</v>
      </c>
      <c r="E28" s="73">
        <f t="shared" si="5"/>
        <v>0.67356534819643565</v>
      </c>
      <c r="F28" s="73">
        <f t="shared" si="5"/>
        <v>0.67208178869497959</v>
      </c>
      <c r="G28" s="73">
        <f t="shared" si="5"/>
        <v>0.65471770207191204</v>
      </c>
      <c r="H28" s="73">
        <f t="shared" si="5"/>
        <v>0.46175761770716095</v>
      </c>
      <c r="I28" s="73">
        <f t="shared" si="5"/>
        <v>0.65443075323073652</v>
      </c>
      <c r="J28" s="73">
        <f t="shared" si="5"/>
        <v>0.65909745269058195</v>
      </c>
      <c r="K28" s="73">
        <f t="shared" si="5"/>
        <v>0.63648385402567453</v>
      </c>
      <c r="L28" s="73">
        <f t="shared" si="5"/>
        <v>0.60865701795391902</v>
      </c>
      <c r="M28" s="73">
        <f t="shared" si="5"/>
        <v>0.51569421185099995</v>
      </c>
      <c r="N28" s="73">
        <f t="shared" si="5"/>
        <v>0.59444722395106731</v>
      </c>
    </row>
    <row r="29" spans="1:16" s="6" customFormat="1">
      <c r="A29" s="13" t="s">
        <v>40</v>
      </c>
      <c r="B29" s="7"/>
      <c r="C29" s="7"/>
      <c r="D29" s="7"/>
      <c r="E29" s="7"/>
      <c r="F29" s="7"/>
      <c r="G29" s="7"/>
      <c r="H29" s="7"/>
      <c r="I29" s="7"/>
      <c r="J29" s="7"/>
      <c r="K29" s="7"/>
      <c r="L29" s="7"/>
      <c r="M29" s="7"/>
    </row>
    <row r="30" spans="1:16" s="6" customFormat="1">
      <c r="A30" s="6" t="s">
        <v>93</v>
      </c>
      <c r="B30" s="49">
        <v>599577</v>
      </c>
      <c r="C30" s="53">
        <v>666216.08803130465</v>
      </c>
      <c r="D30" s="53">
        <v>783959.86009330465</v>
      </c>
      <c r="E30" s="53">
        <v>904980.62775222072</v>
      </c>
      <c r="F30" s="53">
        <v>686895.29853070469</v>
      </c>
      <c r="G30" s="53">
        <v>642815.15417670459</v>
      </c>
      <c r="H30" s="53">
        <v>742691.29158794135</v>
      </c>
      <c r="I30" s="53">
        <v>781375.03238776349</v>
      </c>
      <c r="J30" s="53">
        <v>800842.39032942755</v>
      </c>
      <c r="K30" s="53">
        <v>843636.89934994141</v>
      </c>
      <c r="L30" s="53">
        <v>694327.62761942751</v>
      </c>
      <c r="M30" s="53">
        <v>505922.77644506848</v>
      </c>
      <c r="N30" s="7">
        <f>SUM(B30:M30)</f>
        <v>8653240.0463038106</v>
      </c>
      <c r="O30" s="29"/>
    </row>
    <row r="31" spans="1:16" s="6" customFormat="1">
      <c r="A31" s="6" t="s">
        <v>42</v>
      </c>
      <c r="B31" s="49">
        <v>243836</v>
      </c>
      <c r="C31" s="53">
        <v>219345.29484042991</v>
      </c>
      <c r="D31" s="53">
        <v>214302.05097862822</v>
      </c>
      <c r="E31" s="53">
        <v>243606.38590891552</v>
      </c>
      <c r="F31" s="53">
        <v>204442.60669276689</v>
      </c>
      <c r="G31" s="53">
        <v>206445.92073019079</v>
      </c>
      <c r="H31" s="53">
        <v>223886.15036140359</v>
      </c>
      <c r="I31" s="53">
        <v>211238.57951980905</v>
      </c>
      <c r="J31" s="53">
        <v>216879.11284126632</v>
      </c>
      <c r="K31" s="53">
        <v>235419.63067710202</v>
      </c>
      <c r="L31" s="53">
        <v>214783.16583566315</v>
      </c>
      <c r="M31" s="53">
        <v>196662.95050247436</v>
      </c>
      <c r="N31" s="7">
        <f>SUM(B31:M31)</f>
        <v>2630847.8488886501</v>
      </c>
      <c r="O31" s="29"/>
    </row>
    <row r="32" spans="1:16" s="6" customFormat="1" ht="15">
      <c r="A32" s="6" t="s">
        <v>38</v>
      </c>
      <c r="B32" s="68"/>
      <c r="C32" s="68"/>
      <c r="D32" s="68"/>
      <c r="E32" s="68"/>
      <c r="F32" s="68"/>
      <c r="G32" s="68"/>
      <c r="H32" s="68"/>
      <c r="I32" s="68"/>
      <c r="J32" s="68"/>
      <c r="K32" s="68"/>
      <c r="L32" s="68"/>
      <c r="M32" s="68"/>
      <c r="N32" s="7">
        <f>SUM(B32:M32)</f>
        <v>0</v>
      </c>
      <c r="O32" s="29"/>
    </row>
    <row r="33" spans="1:16" s="6" customFormat="1">
      <c r="B33" s="15"/>
      <c r="C33" s="15"/>
      <c r="D33" s="15"/>
      <c r="E33" s="15"/>
      <c r="F33" s="15"/>
      <c r="G33" s="15"/>
      <c r="H33" s="15"/>
      <c r="I33" s="15"/>
      <c r="J33" s="15"/>
      <c r="K33" s="15"/>
      <c r="L33" s="15"/>
      <c r="M33" s="15"/>
      <c r="N33" s="15">
        <f>SUM(B33:M33)</f>
        <v>0</v>
      </c>
      <c r="O33" s="29"/>
    </row>
    <row r="34" spans="1:16" s="6" customFormat="1">
      <c r="A34" s="13" t="s">
        <v>43</v>
      </c>
      <c r="B34" s="12">
        <f t="shared" ref="B34:N34" si="6">SUM(B30:B33)</f>
        <v>843413</v>
      </c>
      <c r="C34" s="12">
        <f t="shared" si="6"/>
        <v>885561.38287173456</v>
      </c>
      <c r="D34" s="12">
        <f t="shared" si="6"/>
        <v>998261.91107193287</v>
      </c>
      <c r="E34" s="12">
        <f t="shared" si="6"/>
        <v>1148587.0136611362</v>
      </c>
      <c r="F34" s="12">
        <f t="shared" si="6"/>
        <v>891337.90522347158</v>
      </c>
      <c r="G34" s="12">
        <f t="shared" si="6"/>
        <v>849261.0749068954</v>
      </c>
      <c r="H34" s="12">
        <f t="shared" si="6"/>
        <v>966577.44194934494</v>
      </c>
      <c r="I34" s="12">
        <f t="shared" si="6"/>
        <v>992613.61190757249</v>
      </c>
      <c r="J34" s="12">
        <f t="shared" si="6"/>
        <v>1017721.5031706939</v>
      </c>
      <c r="K34" s="12">
        <f t="shared" si="6"/>
        <v>1079056.5300270435</v>
      </c>
      <c r="L34" s="12">
        <f t="shared" si="6"/>
        <v>909110.79345509061</v>
      </c>
      <c r="M34" s="12">
        <f t="shared" si="6"/>
        <v>702585.72694754286</v>
      </c>
      <c r="N34" s="12">
        <f t="shared" si="6"/>
        <v>11284087.895192461</v>
      </c>
      <c r="O34" s="29"/>
    </row>
    <row r="35" spans="1:16" s="6" customFormat="1">
      <c r="B35" s="7"/>
      <c r="C35" s="7"/>
      <c r="D35" s="7"/>
      <c r="E35" s="7"/>
      <c r="F35" s="7"/>
      <c r="G35" s="7"/>
      <c r="H35" s="7"/>
      <c r="I35" s="7"/>
      <c r="J35" s="7"/>
      <c r="K35" s="7"/>
      <c r="L35" s="7"/>
      <c r="M35" s="7"/>
    </row>
    <row r="36" spans="1:16" s="6" customFormat="1">
      <c r="A36" s="13" t="s">
        <v>44</v>
      </c>
      <c r="B36" s="7"/>
      <c r="C36" s="7"/>
      <c r="D36" s="7"/>
      <c r="E36" s="7"/>
      <c r="F36" s="7"/>
      <c r="G36" s="7"/>
      <c r="H36" s="7"/>
      <c r="I36" s="7"/>
      <c r="J36" s="7"/>
      <c r="K36" s="7"/>
      <c r="L36" s="7"/>
      <c r="M36" s="7"/>
    </row>
    <row r="37" spans="1:16" s="6" customFormat="1">
      <c r="A37" s="6" t="s">
        <v>45</v>
      </c>
      <c r="B37" s="53">
        <v>1312659</v>
      </c>
      <c r="C37" s="53">
        <v>1518855.3128717344</v>
      </c>
      <c r="D37" s="53">
        <v>1582930.4110719329</v>
      </c>
      <c r="E37" s="53">
        <v>1774889.2836611362</v>
      </c>
      <c r="F37" s="53">
        <v>1438729.6452234716</v>
      </c>
      <c r="G37" s="66">
        <v>1429801.7349068953</v>
      </c>
      <c r="H37" s="66">
        <v>1473861.9419493449</v>
      </c>
      <c r="I37" s="66">
        <v>1630408.4119075725</v>
      </c>
      <c r="J37" s="66">
        <v>1636445.0631706938</v>
      </c>
      <c r="K37" s="53">
        <v>1704354.0300270435</v>
      </c>
      <c r="L37" s="53">
        <v>1425328.2934550906</v>
      </c>
      <c r="M37" s="53">
        <v>1205462.7296161538</v>
      </c>
      <c r="N37" s="7">
        <f>SUM(B37:M37)</f>
        <v>18133725.857861072</v>
      </c>
      <c r="O37" s="29"/>
    </row>
    <row r="38" spans="1:16" s="6" customFormat="1">
      <c r="A38" s="6" t="s">
        <v>46</v>
      </c>
      <c r="B38" s="7">
        <f>-B34</f>
        <v>-843413</v>
      </c>
      <c r="C38" s="7">
        <f t="shared" ref="C38:M38" si="7">-C34</f>
        <v>-885561.38287173456</v>
      </c>
      <c r="D38" s="7">
        <f t="shared" si="7"/>
        <v>-998261.91107193287</v>
      </c>
      <c r="E38" s="7">
        <f t="shared" si="7"/>
        <v>-1148587.0136611362</v>
      </c>
      <c r="F38" s="7">
        <f t="shared" si="7"/>
        <v>-891337.90522347158</v>
      </c>
      <c r="G38" s="7">
        <f t="shared" si="7"/>
        <v>-849261.0749068954</v>
      </c>
      <c r="H38" s="7">
        <f t="shared" si="7"/>
        <v>-966577.44194934494</v>
      </c>
      <c r="I38" s="7">
        <f t="shared" si="7"/>
        <v>-992613.61190757249</v>
      </c>
      <c r="J38" s="7">
        <f t="shared" si="7"/>
        <v>-1017721.5031706939</v>
      </c>
      <c r="K38" s="7">
        <f t="shared" si="7"/>
        <v>-1079056.5300270435</v>
      </c>
      <c r="L38" s="7">
        <f t="shared" si="7"/>
        <v>-909110.79345509061</v>
      </c>
      <c r="M38" s="7">
        <f t="shared" si="7"/>
        <v>-702585.72694754286</v>
      </c>
      <c r="N38" s="7">
        <f>SUM(B38:M38)</f>
        <v>-11284087.895192457</v>
      </c>
      <c r="O38" s="29"/>
    </row>
    <row r="39" spans="1:16" s="6" customFormat="1">
      <c r="A39" s="6" t="s">
        <v>47</v>
      </c>
      <c r="B39" s="72">
        <v>-77862</v>
      </c>
      <c r="C39" s="72">
        <v>-77645</v>
      </c>
      <c r="D39" s="72">
        <v>-79726</v>
      </c>
      <c r="E39" s="72">
        <v>-83801</v>
      </c>
      <c r="F39" s="72">
        <v>-83801</v>
      </c>
      <c r="G39" s="72">
        <v>-83801</v>
      </c>
      <c r="H39" s="72">
        <v>-85493</v>
      </c>
      <c r="I39" s="72">
        <v>-85493</v>
      </c>
      <c r="J39" s="72">
        <v>-85493</v>
      </c>
      <c r="K39" s="72">
        <v>-85493</v>
      </c>
      <c r="L39" s="72">
        <v>-85493</v>
      </c>
      <c r="M39" s="72">
        <v>-85493</v>
      </c>
      <c r="N39" s="42">
        <f>SUM(B39:M39)</f>
        <v>-999594</v>
      </c>
      <c r="O39" s="88"/>
      <c r="P39" s="42"/>
    </row>
    <row r="40" spans="1:16" s="6" customFormat="1">
      <c r="A40" s="6" t="s">
        <v>124</v>
      </c>
      <c r="B40" s="53">
        <v>-8600</v>
      </c>
      <c r="C40" s="53">
        <v>-8593</v>
      </c>
      <c r="D40" s="53">
        <v>-8593</v>
      </c>
      <c r="E40" s="53">
        <v>-8593</v>
      </c>
      <c r="F40" s="53">
        <v>-8593</v>
      </c>
      <c r="G40" s="53">
        <v>-8776</v>
      </c>
      <c r="H40" s="53">
        <v>-8893</v>
      </c>
      <c r="I40" s="53">
        <v>-8893</v>
      </c>
      <c r="J40" s="53">
        <v>-8893</v>
      </c>
      <c r="K40" s="53">
        <v>-8893</v>
      </c>
      <c r="L40" s="53">
        <v>-8893</v>
      </c>
      <c r="M40" s="53">
        <v>-8893</v>
      </c>
      <c r="N40" s="42">
        <f>SUM(B40:M40)</f>
        <v>-105106</v>
      </c>
      <c r="O40" s="88"/>
      <c r="P40" s="58"/>
    </row>
    <row r="41" spans="1:16" s="6" customFormat="1">
      <c r="A41" s="6" t="s">
        <v>48</v>
      </c>
      <c r="B41" s="60">
        <v>-4150</v>
      </c>
      <c r="C41" s="60">
        <v>-4250</v>
      </c>
      <c r="D41" s="60">
        <v>-4250</v>
      </c>
      <c r="E41" s="60">
        <v>-4250</v>
      </c>
      <c r="F41" s="60">
        <v>-4250</v>
      </c>
      <c r="G41" s="60">
        <v>-10050</v>
      </c>
      <c r="H41" s="60">
        <v>-4250</v>
      </c>
      <c r="I41" s="60">
        <v>-4250</v>
      </c>
      <c r="J41" s="60">
        <v>-4550</v>
      </c>
      <c r="K41" s="60">
        <v>-4550</v>
      </c>
      <c r="L41" s="60">
        <v>-4550</v>
      </c>
      <c r="M41" s="60">
        <v>-90050</v>
      </c>
      <c r="N41" s="43">
        <f>SUM(B41:M41)</f>
        <v>-143400</v>
      </c>
      <c r="O41" s="88"/>
      <c r="P41" s="42">
        <f>SUM(N39:N41)</f>
        <v>-1248100</v>
      </c>
    </row>
    <row r="42" spans="1:16" s="6" customFormat="1">
      <c r="A42" s="13" t="s">
        <v>49</v>
      </c>
      <c r="B42" s="12">
        <f t="shared" ref="B42:N42" si="8">SUM(B37:B41)</f>
        <v>378634</v>
      </c>
      <c r="C42" s="12">
        <f t="shared" si="8"/>
        <v>542805.92999999982</v>
      </c>
      <c r="D42" s="12">
        <f t="shared" si="8"/>
        <v>492099.5</v>
      </c>
      <c r="E42" s="12">
        <f t="shared" si="8"/>
        <v>529658.27</v>
      </c>
      <c r="F42" s="12">
        <f t="shared" si="8"/>
        <v>450747.74</v>
      </c>
      <c r="G42" s="12">
        <f t="shared" si="8"/>
        <v>477913.65999999992</v>
      </c>
      <c r="H42" s="12">
        <f t="shared" si="8"/>
        <v>408648.5</v>
      </c>
      <c r="I42" s="12">
        <f t="shared" si="8"/>
        <v>539158.80000000005</v>
      </c>
      <c r="J42" s="12">
        <f t="shared" si="8"/>
        <v>519787.55999999994</v>
      </c>
      <c r="K42" s="12">
        <f t="shared" si="8"/>
        <v>526361.5</v>
      </c>
      <c r="L42" s="12">
        <f t="shared" si="8"/>
        <v>417281.5</v>
      </c>
      <c r="M42" s="12">
        <f t="shared" si="8"/>
        <v>318441.00266861089</v>
      </c>
      <c r="N42" s="12">
        <f t="shared" si="8"/>
        <v>5601537.9626686145</v>
      </c>
      <c r="O42" s="29"/>
    </row>
    <row r="43" spans="1:16">
      <c r="A43" s="1"/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2"/>
      <c r="N43" s="12"/>
      <c r="O43" s="6"/>
    </row>
    <row r="44" spans="1:16">
      <c r="A44" s="13" t="s">
        <v>50</v>
      </c>
      <c r="B44" s="49">
        <v>313331</v>
      </c>
      <c r="C44" s="53">
        <v>587569</v>
      </c>
      <c r="D44" s="53">
        <v>299598</v>
      </c>
      <c r="E44" s="53">
        <v>401721</v>
      </c>
      <c r="F44" s="53">
        <v>399609</v>
      </c>
      <c r="G44" s="53">
        <v>347041</v>
      </c>
      <c r="H44" s="53">
        <v>380274</v>
      </c>
      <c r="I44" s="53">
        <v>344745</v>
      </c>
      <c r="J44" s="53">
        <v>339892</v>
      </c>
      <c r="K44" s="53">
        <v>384523</v>
      </c>
      <c r="L44" s="53">
        <v>298207</v>
      </c>
      <c r="M44" s="53">
        <v>669637</v>
      </c>
      <c r="N44" s="12">
        <f>SUM(B44:M44)</f>
        <v>4766147</v>
      </c>
      <c r="O44" s="29"/>
      <c r="P44" s="25"/>
    </row>
    <row r="45" spans="1:16">
      <c r="A45" s="6" t="s">
        <v>107</v>
      </c>
      <c r="B45" s="22"/>
      <c r="C45" s="22"/>
      <c r="D45" s="22"/>
      <c r="E45" s="22"/>
      <c r="F45" s="22"/>
      <c r="G45" s="22"/>
      <c r="H45" s="22"/>
      <c r="I45" s="22"/>
      <c r="J45" s="22"/>
      <c r="K45" s="22"/>
      <c r="L45" s="22"/>
      <c r="M45" s="22"/>
      <c r="N45" s="22">
        <f>SUM(B45:M45)</f>
        <v>0</v>
      </c>
      <c r="O45" s="29"/>
    </row>
    <row r="46" spans="1:16">
      <c r="A46" s="1" t="s">
        <v>50</v>
      </c>
      <c r="B46" s="12">
        <f>SUM(B44:B45)</f>
        <v>313331</v>
      </c>
      <c r="C46" s="12">
        <f>SUM(C44:C45)</f>
        <v>587569</v>
      </c>
      <c r="D46" s="12">
        <f t="shared" ref="D46:N46" si="9">SUM(D44:D45)</f>
        <v>299598</v>
      </c>
      <c r="E46" s="12">
        <f t="shared" si="9"/>
        <v>401721</v>
      </c>
      <c r="F46" s="12">
        <f t="shared" si="9"/>
        <v>399609</v>
      </c>
      <c r="G46" s="12">
        <f t="shared" si="9"/>
        <v>347041</v>
      </c>
      <c r="H46" s="12">
        <f t="shared" si="9"/>
        <v>380274</v>
      </c>
      <c r="I46" s="12">
        <f t="shared" si="9"/>
        <v>344745</v>
      </c>
      <c r="J46" s="12">
        <f t="shared" si="9"/>
        <v>339892</v>
      </c>
      <c r="K46" s="12">
        <f t="shared" si="9"/>
        <v>384523</v>
      </c>
      <c r="L46" s="12">
        <f t="shared" si="9"/>
        <v>298207</v>
      </c>
      <c r="M46" s="12">
        <f t="shared" si="9"/>
        <v>669637</v>
      </c>
      <c r="N46" s="12">
        <f t="shared" si="9"/>
        <v>4766147</v>
      </c>
      <c r="O46" s="29"/>
    </row>
    <row r="47" spans="1:16">
      <c r="B47" s="7"/>
      <c r="C47" s="7"/>
      <c r="D47" s="7"/>
      <c r="E47" s="7"/>
      <c r="F47" s="7"/>
      <c r="G47" s="7"/>
      <c r="H47" s="7"/>
      <c r="I47" s="7"/>
      <c r="J47" s="7"/>
      <c r="K47" s="6"/>
      <c r="L47" s="6"/>
      <c r="M47" s="6"/>
      <c r="N47" s="6"/>
      <c r="O47" s="6"/>
    </row>
    <row r="48" spans="1:16">
      <c r="A48" s="13" t="s">
        <v>52</v>
      </c>
      <c r="B48" s="19">
        <f t="shared" ref="B48:N48" si="10">+B20+B34+B42+B46</f>
        <v>2324916</v>
      </c>
      <c r="C48" s="19">
        <f t="shared" si="10"/>
        <v>4534344.9695117343</v>
      </c>
      <c r="D48" s="19">
        <f t="shared" si="10"/>
        <v>3439305.8573019328</v>
      </c>
      <c r="E48" s="19">
        <f t="shared" si="10"/>
        <v>3376406.924941136</v>
      </c>
      <c r="F48" s="19">
        <f t="shared" si="10"/>
        <v>2599565.5969434716</v>
      </c>
      <c r="G48" s="19">
        <f t="shared" si="10"/>
        <v>2546618.7725768955</v>
      </c>
      <c r="H48" s="19">
        <f t="shared" si="10"/>
        <v>3951590.9775393447</v>
      </c>
      <c r="I48" s="19">
        <f t="shared" si="10"/>
        <v>3115272.8326875726</v>
      </c>
      <c r="J48" s="19">
        <f t="shared" si="10"/>
        <v>3169697.6409406937</v>
      </c>
      <c r="K48" s="19">
        <f t="shared" si="10"/>
        <v>3235617.8755670437</v>
      </c>
      <c r="L48" s="19">
        <f t="shared" si="10"/>
        <v>2797336.6702150907</v>
      </c>
      <c r="M48" s="19">
        <f t="shared" si="10"/>
        <v>2417282.7903261539</v>
      </c>
      <c r="N48" s="19">
        <f t="shared" si="10"/>
        <v>37507956.908551075</v>
      </c>
      <c r="O48" s="29"/>
      <c r="P48" s="25"/>
    </row>
    <row r="49" spans="1:26">
      <c r="B49" s="7"/>
      <c r="C49" s="7"/>
      <c r="D49" s="7"/>
      <c r="E49" s="7"/>
      <c r="F49" s="7"/>
      <c r="G49" s="7"/>
      <c r="H49" s="7"/>
      <c r="I49" s="7"/>
      <c r="J49" s="7"/>
      <c r="K49" s="6"/>
      <c r="L49" s="6"/>
      <c r="M49" s="6"/>
      <c r="N49" s="6"/>
      <c r="O49" s="6"/>
    </row>
    <row r="50" spans="1:26">
      <c r="A50" s="1" t="s">
        <v>53</v>
      </c>
      <c r="B50" s="12">
        <f t="shared" ref="B50:M50" si="11">+B13-B48</f>
        <v>-693145</v>
      </c>
      <c r="C50" s="12">
        <f t="shared" si="11"/>
        <v>-3810.9488717345521</v>
      </c>
      <c r="D50" s="12">
        <f t="shared" si="11"/>
        <v>1004641.4814480674</v>
      </c>
      <c r="E50" s="12">
        <f t="shared" si="11"/>
        <v>595109.68371886434</v>
      </c>
      <c r="F50" s="12">
        <f t="shared" si="11"/>
        <v>16546.964496528264</v>
      </c>
      <c r="G50" s="12">
        <f t="shared" si="11"/>
        <v>-19981.748596895486</v>
      </c>
      <c r="H50" s="12">
        <f t="shared" si="11"/>
        <v>128524.42741065565</v>
      </c>
      <c r="I50" s="12">
        <f t="shared" si="11"/>
        <v>469407.90022242721</v>
      </c>
      <c r="J50" s="12">
        <f t="shared" si="11"/>
        <v>621111.75009930646</v>
      </c>
      <c r="K50" s="12">
        <f t="shared" si="11"/>
        <v>191126.32640295662</v>
      </c>
      <c r="L50" s="12">
        <f t="shared" si="11"/>
        <v>199362.9783349093</v>
      </c>
      <c r="M50" s="12">
        <f t="shared" si="11"/>
        <v>-916951.63903615391</v>
      </c>
      <c r="N50" s="12">
        <f>SUM(B50:M50)</f>
        <v>1591942.1756289313</v>
      </c>
      <c r="O50" s="7"/>
      <c r="P50" s="25">
        <f>+N50</f>
        <v>1591942.1756289313</v>
      </c>
    </row>
    <row r="51" spans="1:26" ht="7.5" customHeight="1">
      <c r="B51" s="7"/>
      <c r="C51" s="7"/>
      <c r="D51" s="7"/>
      <c r="E51" s="7"/>
      <c r="F51" s="7"/>
      <c r="G51" s="7"/>
      <c r="H51" s="7"/>
      <c r="I51" s="7"/>
      <c r="J51" s="7"/>
      <c r="K51" s="6"/>
      <c r="L51" s="6"/>
      <c r="M51" s="6"/>
      <c r="N51" s="6"/>
      <c r="O51" s="6"/>
    </row>
    <row r="52" spans="1:26">
      <c r="A52" s="1" t="s">
        <v>54</v>
      </c>
      <c r="B52" s="7"/>
      <c r="C52" s="7"/>
      <c r="D52" s="7"/>
      <c r="E52" s="7"/>
      <c r="F52" s="7"/>
      <c r="G52" s="7"/>
      <c r="H52" s="7"/>
      <c r="I52" s="7"/>
      <c r="J52" s="7"/>
      <c r="K52" s="6"/>
      <c r="L52" s="6"/>
      <c r="M52" s="6"/>
      <c r="N52" s="6"/>
      <c r="O52" s="6"/>
      <c r="P52" s="2">
        <f>SUM(P41:P50)</f>
        <v>343842.17562893126</v>
      </c>
    </row>
    <row r="53" spans="1:26" s="6" customFormat="1">
      <c r="A53" s="6" t="s">
        <v>55</v>
      </c>
      <c r="B53" s="10">
        <v>17969</v>
      </c>
      <c r="C53" s="10">
        <v>148200</v>
      </c>
      <c r="D53" s="10">
        <v>195000</v>
      </c>
      <c r="E53" s="10">
        <v>95000</v>
      </c>
      <c r="F53" s="10">
        <v>35000</v>
      </c>
      <c r="G53" s="10">
        <v>32000</v>
      </c>
      <c r="H53" s="23">
        <v>10000</v>
      </c>
      <c r="I53" s="10">
        <v>20000</v>
      </c>
      <c r="J53" s="10">
        <v>10000</v>
      </c>
      <c r="K53" s="10">
        <v>110000</v>
      </c>
      <c r="L53" s="10">
        <v>10000</v>
      </c>
      <c r="M53" s="10">
        <v>10000</v>
      </c>
      <c r="N53" s="10">
        <f>SUM(B53:M53)</f>
        <v>693169</v>
      </c>
      <c r="O53" s="10"/>
      <c r="P53" s="40"/>
      <c r="Z53" s="40"/>
    </row>
    <row r="54" spans="1:26" s="6" customFormat="1">
      <c r="A54" s="6" t="s">
        <v>96</v>
      </c>
      <c r="B54" s="10"/>
      <c r="C54" s="10"/>
      <c r="D54" s="10"/>
      <c r="E54" s="10"/>
      <c r="F54" s="10">
        <v>90000</v>
      </c>
      <c r="G54" s="10"/>
      <c r="H54" s="10"/>
      <c r="I54" s="10"/>
      <c r="J54" s="10"/>
      <c r="K54" s="10"/>
      <c r="L54" s="10"/>
      <c r="M54" s="10"/>
      <c r="N54" s="10">
        <f>SUM(B54:M54)</f>
        <v>90000</v>
      </c>
    </row>
    <row r="55" spans="1:26" s="6" customFormat="1">
      <c r="A55" s="6" t="s">
        <v>111</v>
      </c>
      <c r="B55" s="10">
        <v>425857</v>
      </c>
      <c r="C55" s="10"/>
      <c r="D55" s="10"/>
      <c r="E55" s="10"/>
      <c r="F55" s="10"/>
      <c r="G55" s="10"/>
      <c r="H55" s="10"/>
      <c r="I55" s="10"/>
      <c r="J55" s="10"/>
      <c r="K55" s="10"/>
      <c r="L55" s="10">
        <v>0</v>
      </c>
      <c r="M55" s="56"/>
      <c r="N55" s="10">
        <f>SUM(B55:M55)</f>
        <v>425857</v>
      </c>
    </row>
    <row r="56" spans="1:26" s="6" customFormat="1">
      <c r="A56" s="37" t="s">
        <v>58</v>
      </c>
      <c r="B56" s="7">
        <v>-14346</v>
      </c>
      <c r="C56" s="7">
        <v>-25000</v>
      </c>
      <c r="D56" s="7">
        <v>-20000</v>
      </c>
      <c r="E56" s="7">
        <v>-25000</v>
      </c>
      <c r="F56" s="7">
        <v>-25000</v>
      </c>
      <c r="G56" s="7">
        <v>-20000</v>
      </c>
      <c r="H56" s="7">
        <v>-25000</v>
      </c>
      <c r="I56" s="7">
        <v>-25000</v>
      </c>
      <c r="J56" s="7">
        <v>-20000</v>
      </c>
      <c r="K56" s="7">
        <v>-25000</v>
      </c>
      <c r="L56" s="7">
        <v>-25000</v>
      </c>
      <c r="M56" s="7">
        <v>-20000</v>
      </c>
      <c r="N56" s="7">
        <f>SUM(B56:M56)</f>
        <v>-269346</v>
      </c>
      <c r="O56" s="7"/>
    </row>
    <row r="57" spans="1:26" s="6" customFormat="1">
      <c r="A57" s="6" t="s">
        <v>59</v>
      </c>
      <c r="B57" s="22">
        <v>-29008</v>
      </c>
      <c r="C57" s="22">
        <v>-25000</v>
      </c>
      <c r="D57" s="22">
        <v>-25000</v>
      </c>
      <c r="E57" s="22">
        <v>-25000</v>
      </c>
      <c r="F57" s="22">
        <v>-25000</v>
      </c>
      <c r="G57" s="22">
        <v>-25000</v>
      </c>
      <c r="H57" s="22">
        <v>-25000</v>
      </c>
      <c r="I57" s="22">
        <v>-25000</v>
      </c>
      <c r="J57" s="22">
        <v>-25000</v>
      </c>
      <c r="K57" s="22">
        <v>-25000</v>
      </c>
      <c r="L57" s="22">
        <v>-25000</v>
      </c>
      <c r="M57" s="22">
        <v>-25000</v>
      </c>
      <c r="N57" s="22">
        <f>SUM(B57:M57)</f>
        <v>-304008</v>
      </c>
      <c r="O57" s="56"/>
    </row>
    <row r="58" spans="1:26" s="6" customFormat="1">
      <c r="A58" s="13" t="s">
        <v>60</v>
      </c>
      <c r="B58" s="19">
        <f t="shared" ref="B58:N58" si="12">SUM(B53:B57)</f>
        <v>400472</v>
      </c>
      <c r="C58" s="19">
        <f t="shared" si="12"/>
        <v>98200</v>
      </c>
      <c r="D58" s="19">
        <f t="shared" si="12"/>
        <v>150000</v>
      </c>
      <c r="E58" s="19">
        <f t="shared" si="12"/>
        <v>45000</v>
      </c>
      <c r="F58" s="19">
        <f t="shared" si="12"/>
        <v>75000</v>
      </c>
      <c r="G58" s="19">
        <f t="shared" si="12"/>
        <v>-13000</v>
      </c>
      <c r="H58" s="19">
        <f>SUM(H53:H57)</f>
        <v>-40000</v>
      </c>
      <c r="I58" s="19">
        <f t="shared" si="12"/>
        <v>-30000</v>
      </c>
      <c r="J58" s="19">
        <f t="shared" si="12"/>
        <v>-35000</v>
      </c>
      <c r="K58" s="19">
        <f t="shared" si="12"/>
        <v>60000</v>
      </c>
      <c r="L58" s="19">
        <f t="shared" si="12"/>
        <v>-40000</v>
      </c>
      <c r="M58" s="19">
        <f t="shared" si="12"/>
        <v>-35000</v>
      </c>
      <c r="N58" s="19">
        <f t="shared" si="12"/>
        <v>635672</v>
      </c>
      <c r="O58" s="29"/>
    </row>
    <row r="59" spans="1:26">
      <c r="B59" s="7"/>
      <c r="C59" s="7"/>
      <c r="D59" s="7"/>
      <c r="E59" s="7"/>
      <c r="F59" s="7"/>
      <c r="G59" s="7"/>
      <c r="H59" s="7"/>
      <c r="I59" s="7"/>
      <c r="J59" s="7"/>
      <c r="K59" s="7"/>
      <c r="L59" s="7"/>
      <c r="M59" s="7"/>
      <c r="N59" s="7"/>
      <c r="O59" s="6"/>
    </row>
    <row r="60" spans="1:26">
      <c r="A60" s="1" t="s">
        <v>61</v>
      </c>
      <c r="B60" s="12">
        <v>13598947</v>
      </c>
      <c r="C60" s="7"/>
      <c r="D60" s="7"/>
      <c r="E60" s="7"/>
      <c r="F60" s="7"/>
      <c r="G60" s="7"/>
      <c r="H60" s="7" t="s">
        <v>38</v>
      </c>
      <c r="I60" s="7"/>
      <c r="J60" s="7"/>
      <c r="K60" s="6"/>
      <c r="L60" s="6"/>
      <c r="M60" s="6"/>
      <c r="N60" s="6"/>
      <c r="O60" s="6"/>
    </row>
    <row r="61" spans="1:26">
      <c r="A61" s="13" t="s">
        <v>62</v>
      </c>
      <c r="B61" s="19">
        <f t="shared" ref="B61:N61" si="13">+B58+B48</f>
        <v>2725388</v>
      </c>
      <c r="C61" s="19">
        <f t="shared" si="13"/>
        <v>4632544.9695117343</v>
      </c>
      <c r="D61" s="19">
        <f t="shared" si="13"/>
        <v>3589305.8573019328</v>
      </c>
      <c r="E61" s="19">
        <f t="shared" si="13"/>
        <v>3421406.924941136</v>
      </c>
      <c r="F61" s="19">
        <f t="shared" si="13"/>
        <v>2674565.5969434716</v>
      </c>
      <c r="G61" s="19">
        <f t="shared" si="13"/>
        <v>2533618.7725768955</v>
      </c>
      <c r="H61" s="19">
        <f t="shared" si="13"/>
        <v>3911590.9775393447</v>
      </c>
      <c r="I61" s="19">
        <f t="shared" si="13"/>
        <v>3085272.8326875726</v>
      </c>
      <c r="J61" s="19">
        <f t="shared" si="13"/>
        <v>3134697.6409406937</v>
      </c>
      <c r="K61" s="19">
        <f t="shared" si="13"/>
        <v>3295617.8755670437</v>
      </c>
      <c r="L61" s="19">
        <f t="shared" si="13"/>
        <v>2757336.6702150907</v>
      </c>
      <c r="M61" s="19">
        <f t="shared" si="13"/>
        <v>2382282.7903261539</v>
      </c>
      <c r="N61" s="19">
        <f t="shared" si="13"/>
        <v>38143628.908551075</v>
      </c>
      <c r="O61" s="29"/>
    </row>
    <row r="62" spans="1:26" ht="13.5" thickBot="1">
      <c r="A62" s="13" t="s">
        <v>63</v>
      </c>
      <c r="B62" s="14">
        <f t="shared" ref="B62:N62" si="14">+B13-B61</f>
        <v>-1093617</v>
      </c>
      <c r="C62" s="14">
        <f t="shared" si="14"/>
        <v>-102010.94887173455</v>
      </c>
      <c r="D62" s="14">
        <f t="shared" si="14"/>
        <v>854641.48144806735</v>
      </c>
      <c r="E62" s="14">
        <f t="shared" si="14"/>
        <v>550109.68371886434</v>
      </c>
      <c r="F62" s="14">
        <f t="shared" si="14"/>
        <v>-58453.035503471736</v>
      </c>
      <c r="G62" s="14">
        <f t="shared" si="14"/>
        <v>-6981.7485968954861</v>
      </c>
      <c r="H62" s="14">
        <f t="shared" si="14"/>
        <v>168524.42741065565</v>
      </c>
      <c r="I62" s="14">
        <f t="shared" si="14"/>
        <v>499407.90022242721</v>
      </c>
      <c r="J62" s="14">
        <f t="shared" si="14"/>
        <v>656111.75009930646</v>
      </c>
      <c r="K62" s="14">
        <f t="shared" si="14"/>
        <v>131126.32640295662</v>
      </c>
      <c r="L62" s="14">
        <f t="shared" si="14"/>
        <v>239362.9783349093</v>
      </c>
      <c r="M62" s="14">
        <f t="shared" si="14"/>
        <v>-881951.63903615391</v>
      </c>
      <c r="N62" s="14">
        <f t="shared" si="14"/>
        <v>956270.17562892288</v>
      </c>
      <c r="O62" s="29"/>
    </row>
    <row r="63" spans="1:26" s="6" customFormat="1" ht="13.5" thickTop="1">
      <c r="A63" s="13" t="s">
        <v>64</v>
      </c>
      <c r="B63" s="12">
        <f>+B62</f>
        <v>-1093617</v>
      </c>
      <c r="C63" s="12">
        <f t="shared" ref="C63:M63" si="15">B63+C62</f>
        <v>-1195627.9488717346</v>
      </c>
      <c r="D63" s="12">
        <f t="shared" si="15"/>
        <v>-340986.4674236672</v>
      </c>
      <c r="E63" s="12">
        <f t="shared" si="15"/>
        <v>209123.21629519714</v>
      </c>
      <c r="F63" s="12">
        <f t="shared" si="15"/>
        <v>150670.1807917254</v>
      </c>
      <c r="G63" s="12">
        <f t="shared" si="15"/>
        <v>143688.43219482992</v>
      </c>
      <c r="H63" s="12">
        <f t="shared" si="15"/>
        <v>312212.85960548557</v>
      </c>
      <c r="I63" s="12">
        <f t="shared" si="15"/>
        <v>811620.75982791279</v>
      </c>
      <c r="J63" s="12">
        <f t="shared" si="15"/>
        <v>1467732.5099272192</v>
      </c>
      <c r="K63" s="12">
        <f t="shared" si="15"/>
        <v>1598858.8363301759</v>
      </c>
      <c r="L63" s="12">
        <f t="shared" si="15"/>
        <v>1838221.8146650852</v>
      </c>
      <c r="M63" s="12">
        <f t="shared" si="15"/>
        <v>956270.17562893126</v>
      </c>
      <c r="N63" s="12"/>
    </row>
    <row r="64" spans="1:26">
      <c r="A64" s="13" t="s">
        <v>65</v>
      </c>
      <c r="B64" s="12">
        <f t="shared" ref="B64:M64" si="16">+$B$60+B63</f>
        <v>12505330</v>
      </c>
      <c r="C64" s="12">
        <f t="shared" si="16"/>
        <v>12403319.051128265</v>
      </c>
      <c r="D64" s="12">
        <f t="shared" si="16"/>
        <v>13257960.532576334</v>
      </c>
      <c r="E64" s="12">
        <f t="shared" si="16"/>
        <v>13808070.216295198</v>
      </c>
      <c r="F64" s="12">
        <f t="shared" si="16"/>
        <v>13749617.180791724</v>
      </c>
      <c r="G64" s="12">
        <f t="shared" si="16"/>
        <v>13742635.432194829</v>
      </c>
      <c r="H64" s="12">
        <f t="shared" si="16"/>
        <v>13911159.859605486</v>
      </c>
      <c r="I64" s="12">
        <f t="shared" si="16"/>
        <v>14410567.759827912</v>
      </c>
      <c r="J64" s="12">
        <f t="shared" si="16"/>
        <v>15066679.509927219</v>
      </c>
      <c r="K64" s="12">
        <f t="shared" si="16"/>
        <v>15197805.836330175</v>
      </c>
      <c r="L64" s="12">
        <f t="shared" si="16"/>
        <v>15437168.814665085</v>
      </c>
      <c r="M64" s="12">
        <f t="shared" si="16"/>
        <v>14555217.17562893</v>
      </c>
      <c r="N64" s="12"/>
      <c r="O64" s="6"/>
    </row>
    <row r="65" spans="1:15">
      <c r="A65" s="6"/>
      <c r="B65" s="7"/>
      <c r="C65" s="7"/>
      <c r="D65" s="7"/>
      <c r="E65" s="7"/>
      <c r="F65" s="7"/>
      <c r="G65" s="7"/>
      <c r="H65" s="7"/>
      <c r="I65" s="7"/>
      <c r="J65" s="7"/>
      <c r="K65" s="6"/>
      <c r="L65" s="6"/>
      <c r="M65" s="6"/>
      <c r="N65" s="6"/>
      <c r="O65" s="6"/>
    </row>
    <row r="66" spans="1:15" s="6" customFormat="1">
      <c r="A66" s="17" t="s">
        <v>114</v>
      </c>
      <c r="B66" s="18"/>
      <c r="C66" s="18"/>
      <c r="D66" s="18"/>
      <c r="E66" s="18"/>
      <c r="F66" s="18"/>
      <c r="G66" s="18"/>
      <c r="H66" s="18"/>
      <c r="I66" s="18"/>
      <c r="J66" s="18"/>
      <c r="K66" s="18"/>
      <c r="L66" s="18"/>
      <c r="M66" s="18"/>
      <c r="N66" s="18"/>
    </row>
    <row r="67" spans="1:15" ht="13.5" thickBot="1">
      <c r="A67" s="13" t="s">
        <v>67</v>
      </c>
      <c r="B67" s="30">
        <v>-1263474.9897115808</v>
      </c>
      <c r="C67" s="14">
        <v>-102010.94887173455</v>
      </c>
      <c r="D67" s="14">
        <v>854641.48144806735</v>
      </c>
      <c r="E67" s="14">
        <v>550109.68371886434</v>
      </c>
      <c r="F67" s="14">
        <v>-58453.035503471736</v>
      </c>
      <c r="G67" s="14">
        <v>-6981.7485968954861</v>
      </c>
      <c r="H67" s="14">
        <v>168524.42741065565</v>
      </c>
      <c r="I67" s="14">
        <v>499407.90022242721</v>
      </c>
      <c r="J67" s="14">
        <v>656111.75009930646</v>
      </c>
      <c r="K67" s="14">
        <v>131126.32640295662</v>
      </c>
      <c r="L67" s="14">
        <v>239362.9783349093</v>
      </c>
      <c r="M67" s="14">
        <v>-881951.63903615391</v>
      </c>
      <c r="N67" s="16"/>
      <c r="O67" s="6"/>
    </row>
    <row r="68" spans="1:15" ht="13.5" thickTop="1">
      <c r="A68" s="13" t="s">
        <v>64</v>
      </c>
      <c r="B68" s="32">
        <f>+B67</f>
        <v>-1263474.9897115808</v>
      </c>
      <c r="C68" s="12">
        <f>+B68+C67</f>
        <v>-1365485.9385833154</v>
      </c>
      <c r="D68" s="12">
        <f t="shared" ref="D68:M68" si="17">+C68+D67</f>
        <v>-510844.457135248</v>
      </c>
      <c r="E68" s="12">
        <f t="shared" si="17"/>
        <v>39265.226583616342</v>
      </c>
      <c r="F68" s="12">
        <f t="shared" si="17"/>
        <v>-19187.808919855393</v>
      </c>
      <c r="G68" s="12">
        <f t="shared" si="17"/>
        <v>-26169.55751675088</v>
      </c>
      <c r="H68" s="12">
        <f t="shared" si="17"/>
        <v>142354.86989390478</v>
      </c>
      <c r="I68" s="12">
        <f t="shared" si="17"/>
        <v>641762.77011633199</v>
      </c>
      <c r="J68" s="12">
        <f t="shared" si="17"/>
        <v>1297874.5202156384</v>
      </c>
      <c r="K68" s="12">
        <f t="shared" si="17"/>
        <v>1429000.8466185951</v>
      </c>
      <c r="L68" s="12">
        <f t="shared" si="17"/>
        <v>1668363.8249535044</v>
      </c>
      <c r="M68" s="12">
        <f t="shared" si="17"/>
        <v>786412.18591735046</v>
      </c>
      <c r="N68" s="16"/>
      <c r="O68" s="6"/>
    </row>
    <row r="69" spans="1:15">
      <c r="A69" s="13" t="s">
        <v>65</v>
      </c>
      <c r="B69" s="12">
        <v>12917512</v>
      </c>
      <c r="C69" s="12">
        <v>12793700</v>
      </c>
      <c r="D69" s="12">
        <v>13941855</v>
      </c>
      <c r="E69" s="12">
        <v>14525011</v>
      </c>
      <c r="F69" s="12">
        <v>14399159</v>
      </c>
      <c r="G69" s="12">
        <v>14361469</v>
      </c>
      <c r="H69" s="12">
        <v>14462138</v>
      </c>
      <c r="I69" s="12">
        <v>15244556</v>
      </c>
      <c r="J69" s="12">
        <v>15579898</v>
      </c>
      <c r="K69" s="12">
        <v>15948341</v>
      </c>
      <c r="L69" s="12">
        <v>16058562</v>
      </c>
      <c r="M69" s="12">
        <v>14998982</v>
      </c>
      <c r="N69" s="12"/>
      <c r="O69" s="6"/>
    </row>
    <row r="70" spans="1:15">
      <c r="A70" s="6"/>
      <c r="B70" s="6"/>
      <c r="C70" s="6"/>
      <c r="D70" s="6"/>
      <c r="E70" s="6"/>
      <c r="F70" s="6"/>
      <c r="H70" s="6"/>
      <c r="I70" s="6"/>
      <c r="J70" s="6"/>
      <c r="K70" s="6"/>
      <c r="L70" s="6"/>
      <c r="M70" s="6"/>
      <c r="N70" s="6"/>
      <c r="O70" s="6"/>
    </row>
    <row r="71" spans="1:15">
      <c r="A71" s="24" t="s">
        <v>68</v>
      </c>
      <c r="B71" s="18"/>
      <c r="C71" s="18"/>
      <c r="D71" s="18"/>
      <c r="E71" s="18"/>
      <c r="F71" s="18"/>
      <c r="G71" s="18"/>
      <c r="H71" s="18"/>
      <c r="I71" s="18"/>
      <c r="J71" s="18"/>
      <c r="K71" s="18"/>
      <c r="L71" s="18"/>
      <c r="M71" s="18"/>
      <c r="N71" s="18"/>
      <c r="O71" s="6"/>
    </row>
    <row r="72" spans="1:15">
      <c r="A72" s="13" t="s">
        <v>63</v>
      </c>
      <c r="B72" s="31">
        <f t="shared" ref="B72:M72" si="18">+B62-B67</f>
        <v>169857.9897115808</v>
      </c>
      <c r="C72" s="31">
        <f t="shared" si="18"/>
        <v>0</v>
      </c>
      <c r="D72" s="31">
        <f t="shared" si="18"/>
        <v>0</v>
      </c>
      <c r="E72" s="31">
        <f t="shared" si="18"/>
        <v>0</v>
      </c>
      <c r="F72" s="31">
        <f t="shared" si="18"/>
        <v>0</v>
      </c>
      <c r="G72" s="31">
        <f t="shared" si="18"/>
        <v>0</v>
      </c>
      <c r="H72" s="31">
        <f t="shared" si="18"/>
        <v>0</v>
      </c>
      <c r="I72" s="31">
        <f t="shared" si="18"/>
        <v>0</v>
      </c>
      <c r="J72" s="31">
        <f t="shared" si="18"/>
        <v>0</v>
      </c>
      <c r="K72" s="31">
        <f t="shared" si="18"/>
        <v>0</v>
      </c>
      <c r="L72" s="31">
        <f t="shared" si="18"/>
        <v>0</v>
      </c>
      <c r="M72" s="31">
        <f t="shared" si="18"/>
        <v>0</v>
      </c>
      <c r="N72" s="6"/>
      <c r="O72" s="6"/>
    </row>
    <row r="73" spans="1:15" s="6" customFormat="1">
      <c r="A73" s="13" t="s">
        <v>64</v>
      </c>
      <c r="B73" s="31">
        <f t="shared" ref="B73:N74" si="19">+B63-B68</f>
        <v>169857.9897115808</v>
      </c>
      <c r="C73" s="31">
        <f t="shared" si="19"/>
        <v>169857.9897115808</v>
      </c>
      <c r="D73" s="31">
        <f t="shared" si="19"/>
        <v>169857.9897115808</v>
      </c>
      <c r="E73" s="31">
        <f t="shared" si="19"/>
        <v>169857.9897115808</v>
      </c>
      <c r="F73" s="31">
        <f t="shared" si="19"/>
        <v>169857.9897115808</v>
      </c>
      <c r="G73" s="31">
        <f t="shared" si="19"/>
        <v>169857.9897115808</v>
      </c>
      <c r="H73" s="31">
        <f t="shared" si="19"/>
        <v>169857.9897115808</v>
      </c>
      <c r="I73" s="31">
        <f t="shared" si="19"/>
        <v>169857.9897115808</v>
      </c>
      <c r="J73" s="31">
        <f t="shared" si="19"/>
        <v>169857.9897115808</v>
      </c>
      <c r="K73" s="31">
        <f t="shared" si="19"/>
        <v>169857.9897115808</v>
      </c>
      <c r="L73" s="31">
        <f t="shared" si="19"/>
        <v>169857.9897115808</v>
      </c>
      <c r="M73" s="31">
        <f t="shared" si="19"/>
        <v>169857.9897115808</v>
      </c>
      <c r="N73" s="16">
        <f t="shared" si="19"/>
        <v>0</v>
      </c>
    </row>
    <row r="74" spans="1:15">
      <c r="A74" s="1" t="s">
        <v>65</v>
      </c>
      <c r="B74" s="16">
        <f t="shared" si="19"/>
        <v>-412182</v>
      </c>
      <c r="C74" s="16">
        <f t="shared" si="19"/>
        <v>-390380.94887173548</v>
      </c>
      <c r="D74" s="16">
        <f t="shared" si="19"/>
        <v>-683894.46742366627</v>
      </c>
      <c r="E74" s="16">
        <f t="shared" si="19"/>
        <v>-716940.78370480239</v>
      </c>
      <c r="F74" s="16">
        <f t="shared" si="19"/>
        <v>-649541.81920827553</v>
      </c>
      <c r="G74" s="16">
        <f t="shared" si="19"/>
        <v>-618833.56780517101</v>
      </c>
      <c r="H74" s="16">
        <f t="shared" si="19"/>
        <v>-550978.14039451443</v>
      </c>
      <c r="I74" s="16">
        <f t="shared" si="19"/>
        <v>-833988.24017208815</v>
      </c>
      <c r="J74" s="16">
        <f t="shared" si="19"/>
        <v>-513218.49007278122</v>
      </c>
      <c r="K74" s="16">
        <f t="shared" si="19"/>
        <v>-750535.1636698246</v>
      </c>
      <c r="L74" s="16">
        <f t="shared" si="19"/>
        <v>-621393.1853349153</v>
      </c>
      <c r="M74" s="16">
        <f t="shared" si="19"/>
        <v>-443764.82437106967</v>
      </c>
      <c r="N74" s="16"/>
      <c r="O74" s="6"/>
    </row>
    <row r="75" spans="1:15">
      <c r="B75" s="6"/>
      <c r="C75" s="6"/>
      <c r="D75" s="6"/>
      <c r="E75" s="6"/>
      <c r="F75" s="6"/>
      <c r="H75" s="6"/>
      <c r="I75" s="6"/>
      <c r="J75" s="6"/>
      <c r="K75" s="6"/>
      <c r="L75" s="6"/>
      <c r="M75" s="6"/>
      <c r="N75" s="6"/>
    </row>
    <row r="76" spans="1:15">
      <c r="A76" s="1"/>
      <c r="B76" s="4"/>
      <c r="C76" s="8"/>
      <c r="D76" s="8"/>
      <c r="E76" s="8"/>
      <c r="F76" s="8"/>
      <c r="H76" s="20"/>
      <c r="J76" s="6"/>
      <c r="K76" s="6"/>
    </row>
    <row r="77" spans="1:15">
      <c r="A77" s="1"/>
      <c r="B77" s="4"/>
      <c r="C77" s="8"/>
      <c r="D77" s="8"/>
      <c r="E77" s="8"/>
      <c r="F77" s="8"/>
      <c r="H77" s="85"/>
      <c r="I77" s="86"/>
      <c r="J77" s="85"/>
    </row>
    <row r="78" spans="1:15">
      <c r="A78" s="1"/>
      <c r="B78" s="4"/>
      <c r="D78" s="8"/>
      <c r="E78" s="8"/>
      <c r="F78" s="8"/>
      <c r="H78" s="61"/>
      <c r="J78" s="6"/>
    </row>
    <row r="79" spans="1:15">
      <c r="E79" s="6"/>
      <c r="H79" s="20"/>
      <c r="J79" s="6"/>
      <c r="N79" s="25"/>
    </row>
    <row r="80" spans="1:15">
      <c r="A80" t="s">
        <v>69</v>
      </c>
      <c r="B80" t="s">
        <v>69</v>
      </c>
      <c r="C80" t="s">
        <v>69</v>
      </c>
      <c r="D80" t="s">
        <v>69</v>
      </c>
      <c r="E80" s="6" t="s">
        <v>69</v>
      </c>
      <c r="F80" t="s">
        <v>69</v>
      </c>
      <c r="G80" s="6" t="s">
        <v>69</v>
      </c>
      <c r="H80" t="s">
        <v>69</v>
      </c>
      <c r="I80" t="s">
        <v>69</v>
      </c>
      <c r="J80" s="6" t="s">
        <v>69</v>
      </c>
      <c r="K80" t="s">
        <v>69</v>
      </c>
      <c r="L80" t="s">
        <v>69</v>
      </c>
      <c r="M80" t="s">
        <v>69</v>
      </c>
      <c r="N80" t="s">
        <v>69</v>
      </c>
    </row>
    <row r="82" spans="6:8">
      <c r="F82">
        <v>11636.78</v>
      </c>
      <c r="H82">
        <v>73191.26999999999</v>
      </c>
    </row>
    <row r="84" spans="6:8">
      <c r="F84" s="2">
        <f>SUM(B56:F56)</f>
        <v>-109346</v>
      </c>
    </row>
    <row r="85" spans="6:8">
      <c r="F85" s="2">
        <f>SUM(B57:F57)</f>
        <v>-129008</v>
      </c>
    </row>
  </sheetData>
  <pageMargins left="0.28000000000000003" right="0.25" top="0.99" bottom="0.75" header="0.63" footer="0.23"/>
  <pageSetup scale="60" orientation="landscape" r:id="rId1"/>
  <headerFooter alignWithMargins="0">
    <oddHeader xml:space="preserve">&amp;C&amp;"Arial,Bold"&amp;11 49ER SHOPS, INC.
&amp;UFY2019/2020 OPERATIONAL CASH FLOW </oddHeader>
    <oddFooter xml:space="preserve">&amp;CCash Flow - FY2019/2020
July 2019
</oddFooter>
  </headerFooter>
  <legacyDrawing r:id="rId2"/>
</worksheet>
</file>

<file path=xl/worksheets/sheet4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92D050"/>
    <pageSetUpPr fitToPage="1"/>
  </sheetPr>
  <dimension ref="A1:Z85"/>
  <sheetViews>
    <sheetView showGridLines="0" zoomScale="80" zoomScaleNormal="80" workbookViewId="0">
      <selection activeCell="C57" sqref="C57"/>
    </sheetView>
  </sheetViews>
  <sheetFormatPr defaultRowHeight="12.75"/>
  <cols>
    <col min="1" max="1" width="35.42578125" customWidth="1"/>
    <col min="2" max="2" width="14" customWidth="1"/>
    <col min="3" max="3" width="14.5703125" customWidth="1"/>
    <col min="4" max="4" width="14" customWidth="1"/>
    <col min="5" max="6" width="13.5703125" customWidth="1"/>
    <col min="7" max="7" width="16.5703125" style="6" customWidth="1"/>
    <col min="8" max="8" width="14.140625" customWidth="1"/>
    <col min="9" max="9" width="14.42578125" customWidth="1"/>
    <col min="10" max="10" width="13.85546875" customWidth="1"/>
    <col min="11" max="11" width="15.140625" customWidth="1"/>
    <col min="12" max="12" width="13.5703125" customWidth="1"/>
    <col min="13" max="13" width="14.42578125" customWidth="1"/>
    <col min="14" max="14" width="16.5703125" customWidth="1"/>
    <col min="15" max="15" width="12.42578125" bestFit="1" customWidth="1"/>
    <col min="16" max="16" width="14.140625" customWidth="1"/>
  </cols>
  <sheetData>
    <row r="1" spans="1:16" ht="13.5" thickBot="1">
      <c r="A1" s="46" t="s">
        <v>127</v>
      </c>
      <c r="E1" s="6"/>
      <c r="F1" s="6"/>
      <c r="J1" s="6"/>
      <c r="K1" s="6"/>
      <c r="N1" s="3"/>
    </row>
    <row r="2" spans="1:16">
      <c r="B2" s="45" t="s">
        <v>24</v>
      </c>
      <c r="C2" s="45" t="s">
        <v>24</v>
      </c>
      <c r="D2" s="45" t="s">
        <v>76</v>
      </c>
      <c r="E2" s="45" t="s">
        <v>76</v>
      </c>
      <c r="F2" s="45" t="s">
        <v>76</v>
      </c>
      <c r="G2" s="45" t="s">
        <v>76</v>
      </c>
      <c r="H2" s="45" t="s">
        <v>76</v>
      </c>
      <c r="I2" s="45" t="s">
        <v>76</v>
      </c>
      <c r="J2" s="45" t="s">
        <v>76</v>
      </c>
      <c r="K2" s="45" t="s">
        <v>76</v>
      </c>
      <c r="L2" s="45" t="s">
        <v>76</v>
      </c>
      <c r="M2" s="45" t="s">
        <v>76</v>
      </c>
      <c r="N2" s="55" t="s">
        <v>25</v>
      </c>
    </row>
    <row r="3" spans="1:16" s="5" customFormat="1">
      <c r="B3" s="11">
        <v>43648</v>
      </c>
      <c r="C3" s="90">
        <v>43679</v>
      </c>
      <c r="D3" s="11">
        <v>43710</v>
      </c>
      <c r="E3" s="11">
        <v>43740</v>
      </c>
      <c r="F3" s="11">
        <v>43771</v>
      </c>
      <c r="G3" s="11">
        <v>43801</v>
      </c>
      <c r="H3" s="11">
        <v>43832</v>
      </c>
      <c r="I3" s="11">
        <v>43863</v>
      </c>
      <c r="J3" s="11">
        <v>43892</v>
      </c>
      <c r="K3" s="11">
        <v>43923</v>
      </c>
      <c r="L3" s="11">
        <v>43953</v>
      </c>
      <c r="M3" s="11">
        <v>43984</v>
      </c>
      <c r="N3" s="57" t="s">
        <v>123</v>
      </c>
    </row>
    <row r="4" spans="1:16" hidden="1">
      <c r="A4" s="1" t="s">
        <v>27</v>
      </c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>
        <f>SUM(B4:M4)</f>
        <v>0</v>
      </c>
      <c r="O4" s="29"/>
    </row>
    <row r="5" spans="1:16" s="6" customFormat="1" hidden="1">
      <c r="A5" s="6" t="s">
        <v>28</v>
      </c>
      <c r="B5" s="49">
        <v>1506911</v>
      </c>
      <c r="C5" s="53">
        <v>4218296</v>
      </c>
      <c r="D5" s="53">
        <v>4095268.3387500001</v>
      </c>
      <c r="E5" s="53">
        <v>3848072.6086600004</v>
      </c>
      <c r="F5" s="53">
        <v>2455124.5614399998</v>
      </c>
      <c r="G5" s="53">
        <v>2427666.0239800001</v>
      </c>
      <c r="H5" s="53">
        <v>3962386.4049500003</v>
      </c>
      <c r="I5" s="53">
        <v>3413283.7329099998</v>
      </c>
      <c r="J5" s="53">
        <v>3663286.3910400001</v>
      </c>
      <c r="K5" s="53">
        <v>3303515.2019700003</v>
      </c>
      <c r="L5" s="53">
        <v>2866321.64855</v>
      </c>
      <c r="M5" s="53">
        <v>1394806.15129</v>
      </c>
      <c r="N5" s="12">
        <f>SUM(B5:M5)</f>
        <v>37154938.063540004</v>
      </c>
      <c r="O5" s="29"/>
    </row>
    <row r="6" spans="1:16" s="6" customFormat="1" hidden="1">
      <c r="A6" s="6" t="s">
        <v>29</v>
      </c>
      <c r="B6" s="49">
        <v>122669</v>
      </c>
      <c r="C6" s="53">
        <v>65308</v>
      </c>
      <c r="D6" s="53">
        <v>348679</v>
      </c>
      <c r="E6" s="53">
        <v>123444</v>
      </c>
      <c r="F6" s="53">
        <v>160988</v>
      </c>
      <c r="G6" s="53">
        <v>98971</v>
      </c>
      <c r="H6" s="53">
        <v>117729</v>
      </c>
      <c r="I6" s="53">
        <v>171397</v>
      </c>
      <c r="J6" s="53">
        <v>127523</v>
      </c>
      <c r="K6" s="53">
        <v>123229</v>
      </c>
      <c r="L6" s="53">
        <v>130378</v>
      </c>
      <c r="M6" s="53">
        <v>105525</v>
      </c>
      <c r="N6" s="7">
        <f>SUM(B6:M6)</f>
        <v>1695840</v>
      </c>
      <c r="O6" s="29"/>
    </row>
    <row r="7" spans="1:16" s="6" customFormat="1" hidden="1">
      <c r="B7" s="7"/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7">
        <f>SUM(B7:M7)</f>
        <v>0</v>
      </c>
      <c r="O7" s="29"/>
    </row>
    <row r="8" spans="1:16" s="6" customFormat="1" hidden="1">
      <c r="B8" s="15"/>
      <c r="C8" s="15"/>
      <c r="D8" s="15"/>
      <c r="E8" s="15"/>
      <c r="F8" s="15"/>
      <c r="G8" s="15"/>
      <c r="H8" s="15"/>
      <c r="I8" s="15"/>
      <c r="J8" s="15"/>
      <c r="K8" s="15"/>
      <c r="L8" s="15"/>
      <c r="M8" s="15"/>
      <c r="N8" s="15">
        <f>SUM(B8:M8)</f>
        <v>0</v>
      </c>
      <c r="O8" s="29"/>
    </row>
    <row r="9" spans="1:16" s="6" customFormat="1">
      <c r="A9" s="13" t="s">
        <v>30</v>
      </c>
      <c r="B9" s="12">
        <f t="shared" ref="B9:N9" si="0">SUM(B5:B8)</f>
        <v>1629580</v>
      </c>
      <c r="C9" s="12">
        <f t="shared" si="0"/>
        <v>4283604</v>
      </c>
      <c r="D9" s="12">
        <f t="shared" si="0"/>
        <v>4443947.3387500001</v>
      </c>
      <c r="E9" s="12">
        <f t="shared" si="0"/>
        <v>3971516.6086600004</v>
      </c>
      <c r="F9" s="12">
        <f t="shared" si="0"/>
        <v>2616112.5614399998</v>
      </c>
      <c r="G9" s="12">
        <f t="shared" si="0"/>
        <v>2526637.0239800001</v>
      </c>
      <c r="H9" s="12">
        <f t="shared" si="0"/>
        <v>4080115.4049500003</v>
      </c>
      <c r="I9" s="12">
        <f t="shared" si="0"/>
        <v>3584680.7329099998</v>
      </c>
      <c r="J9" s="12">
        <f t="shared" si="0"/>
        <v>3790809.3910400001</v>
      </c>
      <c r="K9" s="12">
        <f t="shared" si="0"/>
        <v>3426744.2019700003</v>
      </c>
      <c r="L9" s="12">
        <f t="shared" si="0"/>
        <v>2996699.64855</v>
      </c>
      <c r="M9" s="12">
        <f t="shared" si="0"/>
        <v>1500331.15129</v>
      </c>
      <c r="N9" s="12">
        <f t="shared" si="0"/>
        <v>38850778.063540004</v>
      </c>
      <c r="O9" s="29"/>
      <c r="P9" s="29">
        <f>+N9</f>
        <v>38850778.063540004</v>
      </c>
    </row>
    <row r="10" spans="1:16" s="6" customFormat="1" ht="6.75" customHeight="1"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29"/>
    </row>
    <row r="11" spans="1:16" s="6" customFormat="1">
      <c r="A11" s="13" t="s">
        <v>31</v>
      </c>
      <c r="B11" s="7">
        <v>2191</v>
      </c>
      <c r="C11" s="7">
        <v>230</v>
      </c>
      <c r="D11" s="7"/>
      <c r="E11" s="7"/>
      <c r="F11" s="7"/>
      <c r="G11" s="7"/>
      <c r="H11" s="7"/>
      <c r="I11" s="7"/>
      <c r="J11" s="7"/>
      <c r="K11" s="7"/>
      <c r="L11" s="7"/>
      <c r="M11" s="7"/>
      <c r="N11" s="7">
        <f>SUM(B11:M11)</f>
        <v>2421</v>
      </c>
      <c r="O11" s="29"/>
    </row>
    <row r="12" spans="1:16" s="6" customFormat="1" ht="7.5" customHeight="1">
      <c r="B12" s="7"/>
      <c r="C12" s="7"/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  <c r="O12" s="29"/>
    </row>
    <row r="13" spans="1:16" s="6" customFormat="1" ht="13.5" thickBot="1">
      <c r="A13" s="13" t="s">
        <v>32</v>
      </c>
      <c r="B13" s="14">
        <f t="shared" ref="B13:N13" si="1">B9+B11</f>
        <v>1631771</v>
      </c>
      <c r="C13" s="14">
        <f>C9+C11</f>
        <v>4283834</v>
      </c>
      <c r="D13" s="14">
        <f t="shared" si="1"/>
        <v>4443947.3387500001</v>
      </c>
      <c r="E13" s="14">
        <f t="shared" si="1"/>
        <v>3971516.6086600004</v>
      </c>
      <c r="F13" s="14">
        <f t="shared" si="1"/>
        <v>2616112.5614399998</v>
      </c>
      <c r="G13" s="14">
        <f t="shared" si="1"/>
        <v>2526637.0239800001</v>
      </c>
      <c r="H13" s="14">
        <f t="shared" si="1"/>
        <v>4080115.4049500003</v>
      </c>
      <c r="I13" s="14">
        <f t="shared" si="1"/>
        <v>3584680.7329099998</v>
      </c>
      <c r="J13" s="14">
        <f t="shared" si="1"/>
        <v>3790809.3910400001</v>
      </c>
      <c r="K13" s="14">
        <f t="shared" si="1"/>
        <v>3426744.2019700003</v>
      </c>
      <c r="L13" s="14">
        <f t="shared" si="1"/>
        <v>2996699.64855</v>
      </c>
      <c r="M13" s="14">
        <f t="shared" si="1"/>
        <v>1500331.15129</v>
      </c>
      <c r="N13" s="14">
        <f t="shared" si="1"/>
        <v>38853199.063540004</v>
      </c>
      <c r="O13" s="29"/>
    </row>
    <row r="14" spans="1:16" s="6" customFormat="1" ht="13.5" thickTop="1">
      <c r="B14" s="7"/>
      <c r="C14" s="7"/>
      <c r="D14" s="7"/>
      <c r="E14" s="7"/>
      <c r="F14" s="7"/>
      <c r="G14" s="7"/>
      <c r="H14" s="7"/>
      <c r="I14" s="7"/>
      <c r="J14" s="7"/>
      <c r="K14" s="7"/>
      <c r="L14" s="7"/>
      <c r="M14" s="7"/>
    </row>
    <row r="15" spans="1:16" s="6" customFormat="1" hidden="1">
      <c r="A15" s="13" t="s">
        <v>33</v>
      </c>
      <c r="B15" s="7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</row>
    <row r="16" spans="1:16" s="6" customFormat="1" hidden="1">
      <c r="A16" s="6" t="s">
        <v>34</v>
      </c>
      <c r="B16" s="49">
        <v>789538</v>
      </c>
      <c r="C16" s="53">
        <v>2542832</v>
      </c>
      <c r="D16" s="53">
        <v>1649346.4462299999</v>
      </c>
      <c r="E16" s="53">
        <v>1296440.6412800001</v>
      </c>
      <c r="F16" s="53">
        <v>857870.95172000001</v>
      </c>
      <c r="G16" s="53">
        <v>872403.03766999999</v>
      </c>
      <c r="H16" s="53">
        <v>2196091.03559</v>
      </c>
      <c r="I16" s="53">
        <v>1238755.4207799998</v>
      </c>
      <c r="J16" s="53">
        <v>1292296.5777699999</v>
      </c>
      <c r="K16" s="53">
        <v>1245676.8455400001</v>
      </c>
      <c r="L16" s="53">
        <v>1172737.3767599999</v>
      </c>
      <c r="M16" s="53">
        <v>726619.06070999999</v>
      </c>
      <c r="N16" s="7">
        <f>SUM(B16:M16)</f>
        <v>15880607.39405</v>
      </c>
      <c r="O16" s="29"/>
      <c r="P16" s="7">
        <f>-N16</f>
        <v>-15880607.39405</v>
      </c>
    </row>
    <row r="17" spans="1:16" s="6" customFormat="1" hidden="1">
      <c r="B17" s="27"/>
      <c r="C17" s="27"/>
      <c r="D17" s="27"/>
      <c r="E17" s="27"/>
      <c r="F17" s="27"/>
      <c r="G17" s="27"/>
      <c r="H17" s="27"/>
      <c r="I17" s="27"/>
      <c r="J17" s="27"/>
      <c r="K17" s="27"/>
      <c r="L17" s="27"/>
      <c r="M17" s="27"/>
      <c r="N17" s="7">
        <f>SUM(B17:M17)</f>
        <v>0</v>
      </c>
    </row>
    <row r="18" spans="1:16" s="6" customFormat="1" hidden="1">
      <c r="B18" s="7"/>
      <c r="C18" s="7"/>
      <c r="D18" s="7"/>
      <c r="E18" s="7"/>
      <c r="F18" s="7"/>
      <c r="G18" s="7"/>
      <c r="H18" s="7"/>
      <c r="I18" s="7"/>
      <c r="J18" s="7"/>
      <c r="K18" s="7"/>
      <c r="L18" s="7"/>
      <c r="M18" s="7"/>
      <c r="N18" s="7">
        <v>0</v>
      </c>
    </row>
    <row r="19" spans="1:16" s="6" customFormat="1" hidden="1">
      <c r="B19" s="15"/>
      <c r="C19" s="15"/>
      <c r="D19" s="15"/>
      <c r="E19" s="15"/>
      <c r="F19" s="15"/>
      <c r="G19" s="15"/>
      <c r="H19" s="15"/>
      <c r="I19" s="15"/>
      <c r="J19" s="15"/>
      <c r="K19" s="15"/>
      <c r="L19" s="15"/>
      <c r="M19" s="15"/>
      <c r="N19" s="15">
        <f>SUM(B19:M19)</f>
        <v>0</v>
      </c>
    </row>
    <row r="20" spans="1:16" s="6" customFormat="1">
      <c r="A20" s="13" t="s">
        <v>35</v>
      </c>
      <c r="B20" s="12">
        <f t="shared" ref="B20:N20" si="2">SUM(B16:B19)</f>
        <v>789538</v>
      </c>
      <c r="C20" s="12">
        <f t="shared" si="2"/>
        <v>2542832</v>
      </c>
      <c r="D20" s="12">
        <f t="shared" si="2"/>
        <v>1649346.4462299999</v>
      </c>
      <c r="E20" s="12">
        <f t="shared" si="2"/>
        <v>1296440.6412800001</v>
      </c>
      <c r="F20" s="12">
        <f t="shared" si="2"/>
        <v>857870.95172000001</v>
      </c>
      <c r="G20" s="12">
        <f t="shared" si="2"/>
        <v>872403.03766999999</v>
      </c>
      <c r="H20" s="12">
        <f t="shared" si="2"/>
        <v>2196091.03559</v>
      </c>
      <c r="I20" s="12">
        <f t="shared" si="2"/>
        <v>1238755.4207799998</v>
      </c>
      <c r="J20" s="12">
        <f t="shared" si="2"/>
        <v>1292296.5777699999</v>
      </c>
      <c r="K20" s="12">
        <f t="shared" si="2"/>
        <v>1245676.8455400001</v>
      </c>
      <c r="L20" s="12">
        <f t="shared" si="2"/>
        <v>1172737.3767599999</v>
      </c>
      <c r="M20" s="12">
        <f t="shared" si="2"/>
        <v>726619.06070999999</v>
      </c>
      <c r="N20" s="12">
        <f t="shared" si="2"/>
        <v>15880607.39405</v>
      </c>
      <c r="O20" s="29"/>
    </row>
    <row r="21" spans="1:16" s="6" customFormat="1">
      <c r="B21" s="7"/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</row>
    <row r="22" spans="1:16" s="6" customFormat="1" hidden="1">
      <c r="A22" s="13" t="s">
        <v>36</v>
      </c>
      <c r="B22" s="7"/>
      <c r="C22" s="7"/>
      <c r="D22" s="7"/>
      <c r="E22" s="7"/>
      <c r="F22" s="7"/>
      <c r="G22" s="7"/>
      <c r="H22" s="7"/>
      <c r="I22" s="7"/>
      <c r="J22" s="7"/>
      <c r="K22" s="7"/>
      <c r="L22" s="7"/>
      <c r="M22" s="7"/>
    </row>
    <row r="23" spans="1:16" s="6" customFormat="1" hidden="1">
      <c r="A23" s="6" t="s">
        <v>37</v>
      </c>
      <c r="B23" s="7">
        <f t="shared" ref="B23:M26" si="3">+B5-B16</f>
        <v>717373</v>
      </c>
      <c r="C23" s="7">
        <f t="shared" si="3"/>
        <v>1675464</v>
      </c>
      <c r="D23" s="7">
        <f t="shared" si="3"/>
        <v>2445921.8925200002</v>
      </c>
      <c r="E23" s="7">
        <f t="shared" si="3"/>
        <v>2551631.9673800003</v>
      </c>
      <c r="F23" s="7">
        <f t="shared" si="3"/>
        <v>1597253.6097199998</v>
      </c>
      <c r="G23" s="7">
        <f t="shared" si="3"/>
        <v>1555262.9863100001</v>
      </c>
      <c r="H23" s="7">
        <f t="shared" si="3"/>
        <v>1766295.3693600004</v>
      </c>
      <c r="I23" s="7">
        <f t="shared" si="3"/>
        <v>2174528.31213</v>
      </c>
      <c r="J23" s="7">
        <f t="shared" si="3"/>
        <v>2370989.8132700003</v>
      </c>
      <c r="K23" s="7">
        <f t="shared" si="3"/>
        <v>2057838.3564300002</v>
      </c>
      <c r="L23" s="7">
        <f t="shared" si="3"/>
        <v>1693584.2717900001</v>
      </c>
      <c r="M23" s="7">
        <f t="shared" si="3"/>
        <v>668187.09057999996</v>
      </c>
      <c r="N23" s="7">
        <f>SUM(B23:M23)</f>
        <v>21274330.669490006</v>
      </c>
      <c r="O23" s="29"/>
    </row>
    <row r="24" spans="1:16" s="6" customFormat="1" hidden="1">
      <c r="A24" s="6" t="s">
        <v>37</v>
      </c>
      <c r="B24" s="7">
        <f t="shared" si="3"/>
        <v>122669</v>
      </c>
      <c r="C24" s="7">
        <f t="shared" si="3"/>
        <v>65308</v>
      </c>
      <c r="D24" s="7">
        <f t="shared" si="3"/>
        <v>348679</v>
      </c>
      <c r="E24" s="7">
        <f t="shared" si="3"/>
        <v>123444</v>
      </c>
      <c r="F24" s="7">
        <f t="shared" si="3"/>
        <v>160988</v>
      </c>
      <c r="G24" s="7">
        <f t="shared" si="3"/>
        <v>98971</v>
      </c>
      <c r="H24" s="7">
        <f t="shared" si="3"/>
        <v>117729</v>
      </c>
      <c r="I24" s="7">
        <f t="shared" si="3"/>
        <v>171397</v>
      </c>
      <c r="J24" s="7">
        <f t="shared" si="3"/>
        <v>127523</v>
      </c>
      <c r="K24" s="7">
        <f t="shared" si="3"/>
        <v>123229</v>
      </c>
      <c r="L24" s="7">
        <f t="shared" si="3"/>
        <v>130378</v>
      </c>
      <c r="M24" s="7">
        <f t="shared" si="3"/>
        <v>105525</v>
      </c>
      <c r="N24" s="7">
        <f>SUM(B24:M24)</f>
        <v>1695840</v>
      </c>
      <c r="O24" s="29"/>
    </row>
    <row r="25" spans="1:16" s="6" customFormat="1" hidden="1">
      <c r="A25" s="6" t="s">
        <v>38</v>
      </c>
      <c r="B25" s="7">
        <f t="shared" si="3"/>
        <v>0</v>
      </c>
      <c r="C25" s="7">
        <f t="shared" si="3"/>
        <v>0</v>
      </c>
      <c r="D25" s="7">
        <f t="shared" si="3"/>
        <v>0</v>
      </c>
      <c r="E25" s="7">
        <f t="shared" si="3"/>
        <v>0</v>
      </c>
      <c r="F25" s="7">
        <f t="shared" si="3"/>
        <v>0</v>
      </c>
      <c r="G25" s="7">
        <f t="shared" si="3"/>
        <v>0</v>
      </c>
      <c r="H25" s="7">
        <f t="shared" si="3"/>
        <v>0</v>
      </c>
      <c r="I25" s="7">
        <f t="shared" si="3"/>
        <v>0</v>
      </c>
      <c r="J25" s="7">
        <f t="shared" si="3"/>
        <v>0</v>
      </c>
      <c r="K25" s="7">
        <f t="shared" si="3"/>
        <v>0</v>
      </c>
      <c r="L25" s="7">
        <f t="shared" si="3"/>
        <v>0</v>
      </c>
      <c r="M25" s="7">
        <f t="shared" si="3"/>
        <v>0</v>
      </c>
      <c r="N25" s="7">
        <f>SUM(B25:M25)</f>
        <v>0</v>
      </c>
      <c r="O25" s="29"/>
    </row>
    <row r="26" spans="1:16" s="6" customFormat="1" hidden="1">
      <c r="A26" s="6" t="s">
        <v>38</v>
      </c>
      <c r="B26" s="15">
        <f t="shared" si="3"/>
        <v>0</v>
      </c>
      <c r="C26" s="15">
        <f t="shared" si="3"/>
        <v>0</v>
      </c>
      <c r="D26" s="15">
        <f t="shared" si="3"/>
        <v>0</v>
      </c>
      <c r="E26" s="15">
        <f t="shared" si="3"/>
        <v>0</v>
      </c>
      <c r="F26" s="15">
        <f t="shared" si="3"/>
        <v>0</v>
      </c>
      <c r="G26" s="15">
        <f t="shared" si="3"/>
        <v>0</v>
      </c>
      <c r="H26" s="15">
        <f t="shared" si="3"/>
        <v>0</v>
      </c>
      <c r="I26" s="15">
        <f t="shared" si="3"/>
        <v>0</v>
      </c>
      <c r="J26" s="15">
        <f t="shared" si="3"/>
        <v>0</v>
      </c>
      <c r="K26" s="15">
        <f t="shared" si="3"/>
        <v>0</v>
      </c>
      <c r="L26" s="15">
        <f t="shared" si="3"/>
        <v>0</v>
      </c>
      <c r="M26" s="15">
        <f t="shared" si="3"/>
        <v>0</v>
      </c>
      <c r="N26" s="15">
        <f>SUM(B26:M26)</f>
        <v>0</v>
      </c>
      <c r="O26" s="29"/>
    </row>
    <row r="27" spans="1:16" s="6" customFormat="1">
      <c r="A27" s="13" t="s">
        <v>39</v>
      </c>
      <c r="B27" s="12">
        <f t="shared" ref="B27:N27" si="4">SUM(B23:B26)</f>
        <v>840042</v>
      </c>
      <c r="C27" s="12">
        <f t="shared" si="4"/>
        <v>1740772</v>
      </c>
      <c r="D27" s="12">
        <f t="shared" si="4"/>
        <v>2794600.8925200002</v>
      </c>
      <c r="E27" s="12">
        <f t="shared" si="4"/>
        <v>2675075.9673800003</v>
      </c>
      <c r="F27" s="12">
        <f t="shared" si="4"/>
        <v>1758241.6097199998</v>
      </c>
      <c r="G27" s="12">
        <f t="shared" si="4"/>
        <v>1654233.9863100001</v>
      </c>
      <c r="H27" s="12">
        <f t="shared" si="4"/>
        <v>1884024.3693600004</v>
      </c>
      <c r="I27" s="12">
        <f t="shared" si="4"/>
        <v>2345925.31213</v>
      </c>
      <c r="J27" s="12">
        <f t="shared" si="4"/>
        <v>2498512.8132700003</v>
      </c>
      <c r="K27" s="12">
        <f t="shared" si="4"/>
        <v>2181067.3564300002</v>
      </c>
      <c r="L27" s="12">
        <f t="shared" si="4"/>
        <v>1823962.2717900001</v>
      </c>
      <c r="M27" s="12">
        <f>SUM(M23:M26)</f>
        <v>773712.09057999996</v>
      </c>
      <c r="N27" s="12">
        <f t="shared" si="4"/>
        <v>22970170.669490006</v>
      </c>
      <c r="O27" s="29"/>
      <c r="P27" s="29">
        <f>+N27</f>
        <v>22970170.669490006</v>
      </c>
    </row>
    <row r="28" spans="1:16" s="6" customFormat="1" ht="14.45" customHeight="1">
      <c r="B28" s="73">
        <f>+B27/B9</f>
        <v>0.51549601737871109</v>
      </c>
      <c r="C28" s="73">
        <f t="shared" ref="C28:N28" si="5">+C27/C9</f>
        <v>0.40638023496102815</v>
      </c>
      <c r="D28" s="73">
        <f t="shared" si="5"/>
        <v>0.62885553754245649</v>
      </c>
      <c r="E28" s="73">
        <f t="shared" si="5"/>
        <v>0.67356534819643565</v>
      </c>
      <c r="F28" s="73">
        <f t="shared" si="5"/>
        <v>0.67208178869497959</v>
      </c>
      <c r="G28" s="73">
        <f t="shared" si="5"/>
        <v>0.65471770207191204</v>
      </c>
      <c r="H28" s="73">
        <f t="shared" si="5"/>
        <v>0.46175761770716095</v>
      </c>
      <c r="I28" s="73">
        <f t="shared" si="5"/>
        <v>0.65443075323073652</v>
      </c>
      <c r="J28" s="73">
        <f t="shared" si="5"/>
        <v>0.65909745269058195</v>
      </c>
      <c r="K28" s="73">
        <f t="shared" si="5"/>
        <v>0.63648385402567453</v>
      </c>
      <c r="L28" s="73">
        <f t="shared" si="5"/>
        <v>0.60865701795391902</v>
      </c>
      <c r="M28" s="73">
        <f t="shared" si="5"/>
        <v>0.51569421185099995</v>
      </c>
      <c r="N28" s="73">
        <f t="shared" si="5"/>
        <v>0.59124094328104715</v>
      </c>
    </row>
    <row r="29" spans="1:16" s="6" customFormat="1" hidden="1">
      <c r="A29" s="13" t="s">
        <v>40</v>
      </c>
      <c r="B29" s="7"/>
      <c r="C29" s="7"/>
      <c r="D29" s="7"/>
      <c r="E29" s="7"/>
      <c r="F29" s="7"/>
      <c r="G29" s="7"/>
      <c r="H29" s="7"/>
      <c r="I29" s="7"/>
      <c r="J29" s="7"/>
      <c r="K29" s="7"/>
      <c r="L29" s="7"/>
      <c r="M29" s="7"/>
    </row>
    <row r="30" spans="1:16" s="6" customFormat="1" hidden="1">
      <c r="A30" s="6" t="s">
        <v>93</v>
      </c>
      <c r="B30" s="49">
        <v>599577</v>
      </c>
      <c r="C30" s="53">
        <v>671079</v>
      </c>
      <c r="D30" s="53">
        <v>783959.86009330465</v>
      </c>
      <c r="E30" s="53">
        <v>904980.62775222072</v>
      </c>
      <c r="F30" s="53">
        <v>686895.29853070469</v>
      </c>
      <c r="G30" s="53">
        <v>642815.15417670459</v>
      </c>
      <c r="H30" s="53">
        <v>742691.29158794135</v>
      </c>
      <c r="I30" s="53">
        <v>781375.03238776349</v>
      </c>
      <c r="J30" s="53">
        <v>800842.39032942755</v>
      </c>
      <c r="K30" s="53">
        <v>843636.89934994141</v>
      </c>
      <c r="L30" s="53">
        <v>694327.62761942751</v>
      </c>
      <c r="M30" s="53">
        <v>505922.77644506848</v>
      </c>
      <c r="N30" s="7">
        <f>SUM(B30:M30)</f>
        <v>8658102.9582725056</v>
      </c>
      <c r="O30" s="29"/>
    </row>
    <row r="31" spans="1:16" s="6" customFormat="1" hidden="1">
      <c r="A31" s="6" t="s">
        <v>42</v>
      </c>
      <c r="B31" s="49">
        <v>243836</v>
      </c>
      <c r="C31" s="53">
        <v>217946</v>
      </c>
      <c r="D31" s="53">
        <v>214302.05097862822</v>
      </c>
      <c r="E31" s="53">
        <v>243606.38590891552</v>
      </c>
      <c r="F31" s="53">
        <v>204442.60669276689</v>
      </c>
      <c r="G31" s="53">
        <v>206445.92073019079</v>
      </c>
      <c r="H31" s="53">
        <v>223886.15036140359</v>
      </c>
      <c r="I31" s="53">
        <v>211238.57951980905</v>
      </c>
      <c r="J31" s="53">
        <v>216879.11284126632</v>
      </c>
      <c r="K31" s="53">
        <v>235419.63067710202</v>
      </c>
      <c r="L31" s="53">
        <v>214783.16583566315</v>
      </c>
      <c r="M31" s="53">
        <v>196662.95050247436</v>
      </c>
      <c r="N31" s="7">
        <f>SUM(B31:M31)</f>
        <v>2629448.5540482202</v>
      </c>
      <c r="O31" s="29"/>
    </row>
    <row r="32" spans="1:16" s="6" customFormat="1" ht="15" hidden="1">
      <c r="A32" s="6" t="s">
        <v>38</v>
      </c>
      <c r="B32" s="68"/>
      <c r="C32" s="68"/>
      <c r="D32" s="68"/>
      <c r="E32" s="68"/>
      <c r="F32" s="68"/>
      <c r="G32" s="68"/>
      <c r="H32" s="68"/>
      <c r="I32" s="68"/>
      <c r="J32" s="68"/>
      <c r="K32" s="68"/>
      <c r="L32" s="68"/>
      <c r="M32" s="68"/>
      <c r="N32" s="7">
        <f>SUM(B32:M32)</f>
        <v>0</v>
      </c>
      <c r="O32" s="29"/>
    </row>
    <row r="33" spans="1:16" s="6" customFormat="1" hidden="1">
      <c r="B33" s="15"/>
      <c r="C33" s="15"/>
      <c r="D33" s="15"/>
      <c r="E33" s="15"/>
      <c r="F33" s="15"/>
      <c r="G33" s="15"/>
      <c r="H33" s="15"/>
      <c r="I33" s="15"/>
      <c r="J33" s="15"/>
      <c r="K33" s="15"/>
      <c r="L33" s="15"/>
      <c r="M33" s="15"/>
      <c r="N33" s="15">
        <f>SUM(B33:M33)</f>
        <v>0</v>
      </c>
      <c r="O33" s="29"/>
    </row>
    <row r="34" spans="1:16" s="6" customFormat="1">
      <c r="A34" s="13" t="s">
        <v>43</v>
      </c>
      <c r="B34" s="12">
        <f t="shared" ref="B34:N34" si="6">SUM(B30:B33)</f>
        <v>843413</v>
      </c>
      <c r="C34" s="12">
        <f t="shared" si="6"/>
        <v>889025</v>
      </c>
      <c r="D34" s="12">
        <f t="shared" si="6"/>
        <v>998261.91107193287</v>
      </c>
      <c r="E34" s="12">
        <f t="shared" si="6"/>
        <v>1148587.0136611362</v>
      </c>
      <c r="F34" s="12">
        <f t="shared" si="6"/>
        <v>891337.90522347158</v>
      </c>
      <c r="G34" s="12">
        <f t="shared" si="6"/>
        <v>849261.0749068954</v>
      </c>
      <c r="H34" s="12">
        <f t="shared" si="6"/>
        <v>966577.44194934494</v>
      </c>
      <c r="I34" s="12">
        <f t="shared" si="6"/>
        <v>992613.61190757249</v>
      </c>
      <c r="J34" s="12">
        <f t="shared" si="6"/>
        <v>1017721.5031706939</v>
      </c>
      <c r="K34" s="12">
        <f t="shared" si="6"/>
        <v>1079056.5300270435</v>
      </c>
      <c r="L34" s="12">
        <f t="shared" si="6"/>
        <v>909110.79345509061</v>
      </c>
      <c r="M34" s="12">
        <f t="shared" si="6"/>
        <v>702585.72694754286</v>
      </c>
      <c r="N34" s="12">
        <f t="shared" si="6"/>
        <v>11287551.512320725</v>
      </c>
      <c r="O34" s="29"/>
    </row>
    <row r="35" spans="1:16" s="6" customFormat="1">
      <c r="B35" s="7"/>
      <c r="C35" s="7"/>
      <c r="D35" s="7"/>
      <c r="E35" s="7"/>
      <c r="F35" s="7"/>
      <c r="G35" s="7"/>
      <c r="H35" s="7"/>
      <c r="I35" s="7"/>
      <c r="J35" s="7"/>
      <c r="K35" s="7"/>
      <c r="L35" s="7"/>
      <c r="M35" s="7"/>
    </row>
    <row r="36" spans="1:16" s="6" customFormat="1" hidden="1">
      <c r="A36" s="13" t="s">
        <v>44</v>
      </c>
      <c r="B36" s="7"/>
      <c r="C36" s="7"/>
      <c r="D36" s="7"/>
      <c r="E36" s="7"/>
      <c r="F36" s="7"/>
      <c r="G36" s="7"/>
      <c r="H36" s="7"/>
      <c r="I36" s="7"/>
      <c r="J36" s="7"/>
      <c r="K36" s="7"/>
      <c r="L36" s="7"/>
      <c r="M36" s="7"/>
    </row>
    <row r="37" spans="1:16" s="6" customFormat="1" hidden="1">
      <c r="A37" s="6" t="s">
        <v>45</v>
      </c>
      <c r="B37" s="53">
        <v>1312659</v>
      </c>
      <c r="C37" s="53">
        <v>1350844</v>
      </c>
      <c r="D37" s="53">
        <v>1582930.4110719329</v>
      </c>
      <c r="E37" s="53">
        <v>1774889.2836611362</v>
      </c>
      <c r="F37" s="53">
        <v>1438729.6452234716</v>
      </c>
      <c r="G37" s="66">
        <v>1429801.7349068953</v>
      </c>
      <c r="H37" s="66">
        <v>1473861.9419493449</v>
      </c>
      <c r="I37" s="66">
        <v>1630408.4119075725</v>
      </c>
      <c r="J37" s="66">
        <v>1636445.0631706938</v>
      </c>
      <c r="K37" s="53">
        <v>1704354.0300270435</v>
      </c>
      <c r="L37" s="53">
        <v>1425328.2934550906</v>
      </c>
      <c r="M37" s="53">
        <v>1205462.7296161538</v>
      </c>
      <c r="N37" s="7">
        <f>SUM(B37:M37)</f>
        <v>17965714.544989333</v>
      </c>
      <c r="O37" s="29"/>
    </row>
    <row r="38" spans="1:16" s="6" customFormat="1" hidden="1">
      <c r="A38" s="6" t="s">
        <v>46</v>
      </c>
      <c r="B38" s="7">
        <f>-B34</f>
        <v>-843413</v>
      </c>
      <c r="C38" s="7">
        <f t="shared" ref="C38:M38" si="7">-C34</f>
        <v>-889025</v>
      </c>
      <c r="D38" s="7">
        <f t="shared" si="7"/>
        <v>-998261.91107193287</v>
      </c>
      <c r="E38" s="7">
        <f t="shared" si="7"/>
        <v>-1148587.0136611362</v>
      </c>
      <c r="F38" s="7">
        <f t="shared" si="7"/>
        <v>-891337.90522347158</v>
      </c>
      <c r="G38" s="7">
        <f t="shared" si="7"/>
        <v>-849261.0749068954</v>
      </c>
      <c r="H38" s="7">
        <f t="shared" si="7"/>
        <v>-966577.44194934494</v>
      </c>
      <c r="I38" s="7">
        <f t="shared" si="7"/>
        <v>-992613.61190757249</v>
      </c>
      <c r="J38" s="7">
        <f t="shared" si="7"/>
        <v>-1017721.5031706939</v>
      </c>
      <c r="K38" s="7">
        <f t="shared" si="7"/>
        <v>-1079056.5300270435</v>
      </c>
      <c r="L38" s="7">
        <f t="shared" si="7"/>
        <v>-909110.79345509061</v>
      </c>
      <c r="M38" s="7">
        <f t="shared" si="7"/>
        <v>-702585.72694754286</v>
      </c>
      <c r="N38" s="7">
        <f>SUM(B38:M38)</f>
        <v>-11287551.512320723</v>
      </c>
      <c r="O38" s="29"/>
    </row>
    <row r="39" spans="1:16" s="6" customFormat="1" hidden="1">
      <c r="A39" s="6" t="s">
        <v>47</v>
      </c>
      <c r="B39" s="72">
        <v>-77862</v>
      </c>
      <c r="C39" s="72">
        <v>-77862</v>
      </c>
      <c r="D39" s="72">
        <v>-79726</v>
      </c>
      <c r="E39" s="72">
        <v>-83801</v>
      </c>
      <c r="F39" s="72">
        <v>-83801</v>
      </c>
      <c r="G39" s="72">
        <v>-83801</v>
      </c>
      <c r="H39" s="72">
        <v>-85493</v>
      </c>
      <c r="I39" s="72">
        <v>-85493</v>
      </c>
      <c r="J39" s="72">
        <v>-85493</v>
      </c>
      <c r="K39" s="72">
        <v>-85493</v>
      </c>
      <c r="L39" s="72">
        <v>-85493</v>
      </c>
      <c r="M39" s="72">
        <v>-85493</v>
      </c>
      <c r="N39" s="42">
        <f>SUM(B39:M39)</f>
        <v>-999811</v>
      </c>
      <c r="O39" s="88"/>
      <c r="P39" s="42"/>
    </row>
    <row r="40" spans="1:16" s="6" customFormat="1" hidden="1">
      <c r="A40" s="6" t="s">
        <v>124</v>
      </c>
      <c r="B40" s="53">
        <v>-8600</v>
      </c>
      <c r="C40" s="53">
        <v>-8600</v>
      </c>
      <c r="D40" s="53">
        <v>-8593</v>
      </c>
      <c r="E40" s="53">
        <v>-8593</v>
      </c>
      <c r="F40" s="53">
        <v>-8593</v>
      </c>
      <c r="G40" s="53">
        <v>-8776</v>
      </c>
      <c r="H40" s="53">
        <v>-8893</v>
      </c>
      <c r="I40" s="53">
        <v>-8893</v>
      </c>
      <c r="J40" s="53">
        <v>-8893</v>
      </c>
      <c r="K40" s="53">
        <v>-8893</v>
      </c>
      <c r="L40" s="53">
        <v>-8893</v>
      </c>
      <c r="M40" s="53">
        <v>-8893</v>
      </c>
      <c r="N40" s="42">
        <f>SUM(B40:M40)</f>
        <v>-105113</v>
      </c>
      <c r="O40" s="88"/>
      <c r="P40" s="58"/>
    </row>
    <row r="41" spans="1:16" s="6" customFormat="1" hidden="1">
      <c r="A41" s="6" t="s">
        <v>48</v>
      </c>
      <c r="B41" s="60">
        <v>-4150</v>
      </c>
      <c r="C41" s="60">
        <v>-4250</v>
      </c>
      <c r="D41" s="60">
        <v>-4250</v>
      </c>
      <c r="E41" s="60">
        <v>-4250</v>
      </c>
      <c r="F41" s="60">
        <v>-4250</v>
      </c>
      <c r="G41" s="60">
        <v>-10050</v>
      </c>
      <c r="H41" s="60">
        <v>-4250</v>
      </c>
      <c r="I41" s="60">
        <v>-4250</v>
      </c>
      <c r="J41" s="60">
        <v>-4550</v>
      </c>
      <c r="K41" s="60">
        <v>-4550</v>
      </c>
      <c r="L41" s="60">
        <v>-4550</v>
      </c>
      <c r="M41" s="60">
        <v>-90050</v>
      </c>
      <c r="N41" s="43">
        <f>SUM(B41:M41)</f>
        <v>-143400</v>
      </c>
      <c r="O41" s="88"/>
      <c r="P41" s="42">
        <f>SUM(N39:N41)</f>
        <v>-1248324</v>
      </c>
    </row>
    <row r="42" spans="1:16" s="6" customFormat="1">
      <c r="A42" s="13" t="s">
        <v>49</v>
      </c>
      <c r="B42" s="12">
        <f t="shared" ref="B42:N42" si="8">SUM(B37:B41)</f>
        <v>378634</v>
      </c>
      <c r="C42" s="12">
        <f t="shared" si="8"/>
        <v>371107</v>
      </c>
      <c r="D42" s="12">
        <f t="shared" si="8"/>
        <v>492099.5</v>
      </c>
      <c r="E42" s="12">
        <f t="shared" si="8"/>
        <v>529658.27</v>
      </c>
      <c r="F42" s="12">
        <f t="shared" si="8"/>
        <v>450747.74</v>
      </c>
      <c r="G42" s="12">
        <f t="shared" si="8"/>
        <v>477913.65999999992</v>
      </c>
      <c r="H42" s="12">
        <f t="shared" si="8"/>
        <v>408648.5</v>
      </c>
      <c r="I42" s="12">
        <f t="shared" si="8"/>
        <v>539158.80000000005</v>
      </c>
      <c r="J42" s="12">
        <f t="shared" si="8"/>
        <v>519787.55999999994</v>
      </c>
      <c r="K42" s="12">
        <f t="shared" si="8"/>
        <v>526361.5</v>
      </c>
      <c r="L42" s="12">
        <f t="shared" si="8"/>
        <v>417281.5</v>
      </c>
      <c r="M42" s="12">
        <f t="shared" si="8"/>
        <v>318441.00266861089</v>
      </c>
      <c r="N42" s="12">
        <f t="shared" si="8"/>
        <v>5429839.0326686092</v>
      </c>
      <c r="O42" s="29"/>
    </row>
    <row r="43" spans="1:16">
      <c r="A43" s="1"/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2"/>
      <c r="N43" s="12"/>
      <c r="O43" s="6"/>
    </row>
    <row r="44" spans="1:16" hidden="1">
      <c r="A44" s="13" t="s">
        <v>50</v>
      </c>
      <c r="B44" s="53">
        <v>313331</v>
      </c>
      <c r="C44" s="53">
        <v>400498</v>
      </c>
      <c r="D44" s="53">
        <v>299598</v>
      </c>
      <c r="E44" s="53">
        <v>401721</v>
      </c>
      <c r="F44" s="53">
        <v>399609</v>
      </c>
      <c r="G44" s="53">
        <v>347041</v>
      </c>
      <c r="H44" s="53">
        <v>380274</v>
      </c>
      <c r="I44" s="53">
        <v>344745</v>
      </c>
      <c r="J44" s="53">
        <v>339892</v>
      </c>
      <c r="K44" s="53">
        <v>384523</v>
      </c>
      <c r="L44" s="53">
        <v>298207</v>
      </c>
      <c r="M44" s="53">
        <v>669637</v>
      </c>
      <c r="N44" s="12">
        <f>SUM(B44:M44)</f>
        <v>4579076</v>
      </c>
      <c r="O44" s="29"/>
      <c r="P44" s="25"/>
    </row>
    <row r="45" spans="1:16" hidden="1">
      <c r="A45" s="6" t="s">
        <v>107</v>
      </c>
      <c r="B45" s="22"/>
      <c r="C45" s="22"/>
      <c r="D45" s="22"/>
      <c r="E45" s="22"/>
      <c r="F45" s="22"/>
      <c r="G45" s="22"/>
      <c r="H45" s="22"/>
      <c r="I45" s="22"/>
      <c r="J45" s="22"/>
      <c r="K45" s="22"/>
      <c r="L45" s="22"/>
      <c r="M45" s="22"/>
      <c r="N45" s="22">
        <f>SUM(B45:M45)</f>
        <v>0</v>
      </c>
      <c r="O45" s="29"/>
    </row>
    <row r="46" spans="1:16">
      <c r="A46" s="1" t="s">
        <v>50</v>
      </c>
      <c r="B46" s="12">
        <f>SUM(B44:B45)</f>
        <v>313331</v>
      </c>
      <c r="C46" s="12">
        <f>SUM(C44:C45)</f>
        <v>400498</v>
      </c>
      <c r="D46" s="12">
        <f t="shared" ref="D46:N46" si="9">SUM(D44:D45)</f>
        <v>299598</v>
      </c>
      <c r="E46" s="12">
        <f t="shared" si="9"/>
        <v>401721</v>
      </c>
      <c r="F46" s="12">
        <f t="shared" si="9"/>
        <v>399609</v>
      </c>
      <c r="G46" s="12">
        <f t="shared" si="9"/>
        <v>347041</v>
      </c>
      <c r="H46" s="12">
        <f t="shared" si="9"/>
        <v>380274</v>
      </c>
      <c r="I46" s="12">
        <f t="shared" si="9"/>
        <v>344745</v>
      </c>
      <c r="J46" s="12">
        <f t="shared" si="9"/>
        <v>339892</v>
      </c>
      <c r="K46" s="12">
        <f t="shared" si="9"/>
        <v>384523</v>
      </c>
      <c r="L46" s="12">
        <f t="shared" si="9"/>
        <v>298207</v>
      </c>
      <c r="M46" s="12">
        <f t="shared" si="9"/>
        <v>669637</v>
      </c>
      <c r="N46" s="12">
        <f t="shared" si="9"/>
        <v>4579076</v>
      </c>
      <c r="O46" s="29"/>
    </row>
    <row r="47" spans="1:16">
      <c r="B47" s="7"/>
      <c r="C47" s="7"/>
      <c r="D47" s="7"/>
      <c r="E47" s="7"/>
      <c r="F47" s="7"/>
      <c r="G47" s="7"/>
      <c r="H47" s="7"/>
      <c r="I47" s="7"/>
      <c r="J47" s="7"/>
      <c r="K47" s="6"/>
      <c r="L47" s="6"/>
      <c r="M47" s="6"/>
      <c r="N47" s="6"/>
      <c r="O47" s="6"/>
    </row>
    <row r="48" spans="1:16">
      <c r="A48" s="13" t="s">
        <v>52</v>
      </c>
      <c r="B48" s="19">
        <f t="shared" ref="B48:N48" si="10">+B20+B34+B42+B46</f>
        <v>2324916</v>
      </c>
      <c r="C48" s="19">
        <f t="shared" si="10"/>
        <v>4203462</v>
      </c>
      <c r="D48" s="19">
        <f t="shared" si="10"/>
        <v>3439305.8573019328</v>
      </c>
      <c r="E48" s="19">
        <f t="shared" si="10"/>
        <v>3376406.924941136</v>
      </c>
      <c r="F48" s="19">
        <f t="shared" si="10"/>
        <v>2599565.5969434716</v>
      </c>
      <c r="G48" s="19">
        <f t="shared" si="10"/>
        <v>2546618.7725768955</v>
      </c>
      <c r="H48" s="19">
        <f t="shared" si="10"/>
        <v>3951590.9775393447</v>
      </c>
      <c r="I48" s="19">
        <f t="shared" si="10"/>
        <v>3115272.8326875726</v>
      </c>
      <c r="J48" s="19">
        <f t="shared" si="10"/>
        <v>3169697.6409406937</v>
      </c>
      <c r="K48" s="19">
        <f t="shared" si="10"/>
        <v>3235617.8755670437</v>
      </c>
      <c r="L48" s="19">
        <f t="shared" si="10"/>
        <v>2797336.6702150907</v>
      </c>
      <c r="M48" s="19">
        <f t="shared" si="10"/>
        <v>2417282.7903261539</v>
      </c>
      <c r="N48" s="19">
        <f t="shared" si="10"/>
        <v>37177073.939039335</v>
      </c>
      <c r="O48" s="29"/>
      <c r="P48" s="25"/>
    </row>
    <row r="49" spans="1:26">
      <c r="B49" s="7"/>
      <c r="C49" s="7"/>
      <c r="D49" s="7"/>
      <c r="E49" s="7"/>
      <c r="F49" s="7"/>
      <c r="G49" s="7"/>
      <c r="H49" s="7"/>
      <c r="I49" s="7"/>
      <c r="J49" s="7"/>
      <c r="K49" s="6"/>
      <c r="L49" s="6"/>
      <c r="M49" s="6"/>
      <c r="N49" s="6"/>
      <c r="O49" s="6"/>
    </row>
    <row r="50" spans="1:26">
      <c r="A50" s="1" t="s">
        <v>53</v>
      </c>
      <c r="B50" s="12">
        <f t="shared" ref="B50:M50" si="11">+B13-B48</f>
        <v>-693145</v>
      </c>
      <c r="C50" s="12">
        <f t="shared" si="11"/>
        <v>80372</v>
      </c>
      <c r="D50" s="12">
        <f t="shared" si="11"/>
        <v>1004641.4814480674</v>
      </c>
      <c r="E50" s="12">
        <f t="shared" si="11"/>
        <v>595109.68371886434</v>
      </c>
      <c r="F50" s="12">
        <f t="shared" si="11"/>
        <v>16546.964496528264</v>
      </c>
      <c r="G50" s="12">
        <f t="shared" si="11"/>
        <v>-19981.748596895486</v>
      </c>
      <c r="H50" s="12">
        <f t="shared" si="11"/>
        <v>128524.42741065565</v>
      </c>
      <c r="I50" s="12">
        <f t="shared" si="11"/>
        <v>469407.90022242721</v>
      </c>
      <c r="J50" s="12">
        <f t="shared" si="11"/>
        <v>621111.75009930646</v>
      </c>
      <c r="K50" s="12">
        <f t="shared" si="11"/>
        <v>191126.32640295662</v>
      </c>
      <c r="L50" s="12">
        <f t="shared" si="11"/>
        <v>199362.9783349093</v>
      </c>
      <c r="M50" s="12">
        <f t="shared" si="11"/>
        <v>-916951.63903615391</v>
      </c>
      <c r="N50" s="12">
        <f>SUM(B50:M50)</f>
        <v>1676125.1245006658</v>
      </c>
      <c r="O50" s="7"/>
      <c r="P50" s="25">
        <f>+N50</f>
        <v>1676125.1245006658</v>
      </c>
    </row>
    <row r="51" spans="1:26" ht="7.5" customHeight="1">
      <c r="B51" s="7"/>
      <c r="C51" s="7"/>
      <c r="D51" s="7"/>
      <c r="E51" s="7"/>
      <c r="F51" s="7"/>
      <c r="G51" s="7"/>
      <c r="H51" s="7"/>
      <c r="I51" s="7"/>
      <c r="J51" s="7"/>
      <c r="K51" s="6"/>
      <c r="L51" s="6"/>
      <c r="M51" s="6"/>
      <c r="N51" s="6"/>
      <c r="O51" s="6"/>
    </row>
    <row r="52" spans="1:26">
      <c r="A52" s="1" t="s">
        <v>54</v>
      </c>
      <c r="B52" s="7"/>
      <c r="C52" s="7"/>
      <c r="D52" s="7"/>
      <c r="E52" s="7"/>
      <c r="F52" s="7"/>
      <c r="G52" s="7"/>
      <c r="H52" s="7"/>
      <c r="I52" s="7"/>
      <c r="J52" s="7"/>
      <c r="K52" s="6"/>
      <c r="L52" s="6"/>
      <c r="M52" s="6"/>
      <c r="N52" s="6"/>
      <c r="O52" s="6"/>
      <c r="P52" s="2">
        <f>SUM(P41:P50)</f>
        <v>427801.12450066581</v>
      </c>
    </row>
    <row r="53" spans="1:26" s="6" customFormat="1">
      <c r="A53" s="6" t="s">
        <v>55</v>
      </c>
      <c r="B53" s="10">
        <v>17969</v>
      </c>
      <c r="C53" s="10">
        <v>47133.55</v>
      </c>
      <c r="D53" s="10">
        <v>195000</v>
      </c>
      <c r="E53" s="10">
        <v>95000</v>
      </c>
      <c r="F53" s="10">
        <v>35000</v>
      </c>
      <c r="G53" s="10">
        <v>32000</v>
      </c>
      <c r="H53" s="23">
        <v>10000</v>
      </c>
      <c r="I53" s="10">
        <v>20000</v>
      </c>
      <c r="J53" s="10">
        <v>10000</v>
      </c>
      <c r="K53" s="10">
        <v>110000</v>
      </c>
      <c r="L53" s="10">
        <v>10000</v>
      </c>
      <c r="M53" s="10">
        <v>10000</v>
      </c>
      <c r="N53" s="10">
        <f>SUM(B53:M53)</f>
        <v>592102.55000000005</v>
      </c>
      <c r="O53" s="10"/>
      <c r="P53" s="40"/>
      <c r="Z53" s="40"/>
    </row>
    <row r="54" spans="1:26" s="6" customFormat="1">
      <c r="A54" s="6" t="s">
        <v>96</v>
      </c>
      <c r="B54" s="10"/>
      <c r="C54" s="10"/>
      <c r="D54" s="10"/>
      <c r="E54" s="10"/>
      <c r="F54" s="10">
        <v>90000</v>
      </c>
      <c r="G54" s="10"/>
      <c r="H54" s="10"/>
      <c r="I54" s="10"/>
      <c r="J54" s="10"/>
      <c r="K54" s="10"/>
      <c r="L54" s="10"/>
      <c r="M54" s="10"/>
      <c r="N54" s="10">
        <f>SUM(B54:M54)</f>
        <v>90000</v>
      </c>
    </row>
    <row r="55" spans="1:26" s="6" customFormat="1">
      <c r="A55" s="6" t="s">
        <v>111</v>
      </c>
      <c r="B55" s="10">
        <v>425857</v>
      </c>
      <c r="C55" s="10"/>
      <c r="D55" s="10"/>
      <c r="E55" s="10"/>
      <c r="F55" s="10"/>
      <c r="G55" s="10"/>
      <c r="H55" s="10"/>
      <c r="I55" s="10"/>
      <c r="J55" s="10"/>
      <c r="K55" s="10"/>
      <c r="L55" s="10">
        <v>0</v>
      </c>
      <c r="M55" s="56"/>
      <c r="N55" s="10">
        <f>SUM(B55:M55)</f>
        <v>425857</v>
      </c>
    </row>
    <row r="56" spans="1:26" s="6" customFormat="1">
      <c r="A56" s="37" t="s">
        <v>58</v>
      </c>
      <c r="B56" s="7">
        <v>-14346</v>
      </c>
      <c r="C56" s="7">
        <v>-15057</v>
      </c>
      <c r="D56" s="7">
        <v>-20000</v>
      </c>
      <c r="E56" s="7">
        <v>-25000</v>
      </c>
      <c r="F56" s="7">
        <v>-25000</v>
      </c>
      <c r="G56" s="7">
        <v>-20000</v>
      </c>
      <c r="H56" s="7">
        <v>-25000</v>
      </c>
      <c r="I56" s="7">
        <v>-25000</v>
      </c>
      <c r="J56" s="7">
        <v>-20000</v>
      </c>
      <c r="K56" s="7">
        <v>-25000</v>
      </c>
      <c r="L56" s="7">
        <v>-25000</v>
      </c>
      <c r="M56" s="7">
        <v>-20000</v>
      </c>
      <c r="N56" s="7">
        <f>SUM(B56:M56)</f>
        <v>-259403</v>
      </c>
      <c r="O56" s="7"/>
    </row>
    <row r="57" spans="1:26" s="6" customFormat="1">
      <c r="A57" s="6" t="s">
        <v>59</v>
      </c>
      <c r="B57" s="22">
        <v>-29008</v>
      </c>
      <c r="C57" s="22">
        <v>209614</v>
      </c>
      <c r="D57" s="22">
        <v>-25000</v>
      </c>
      <c r="E57" s="22">
        <v>-25000</v>
      </c>
      <c r="F57" s="22">
        <v>-25000</v>
      </c>
      <c r="G57" s="22">
        <v>-25000</v>
      </c>
      <c r="H57" s="22">
        <v>-25000</v>
      </c>
      <c r="I57" s="22">
        <v>-25000</v>
      </c>
      <c r="J57" s="22">
        <v>-25000</v>
      </c>
      <c r="K57" s="22">
        <v>-25000</v>
      </c>
      <c r="L57" s="22">
        <v>-25000</v>
      </c>
      <c r="M57" s="22">
        <v>-25000</v>
      </c>
      <c r="N57" s="22">
        <f>SUM(B57:M57)</f>
        <v>-69394</v>
      </c>
      <c r="O57" s="56"/>
    </row>
    <row r="58" spans="1:26" s="6" customFormat="1">
      <c r="A58" s="13" t="s">
        <v>60</v>
      </c>
      <c r="B58" s="19">
        <f t="shared" ref="B58:N58" si="12">SUM(B53:B57)</f>
        <v>400472</v>
      </c>
      <c r="C58" s="19">
        <f t="shared" si="12"/>
        <v>241690.55</v>
      </c>
      <c r="D58" s="19">
        <f t="shared" si="12"/>
        <v>150000</v>
      </c>
      <c r="E58" s="19">
        <f t="shared" si="12"/>
        <v>45000</v>
      </c>
      <c r="F58" s="19">
        <f t="shared" si="12"/>
        <v>75000</v>
      </c>
      <c r="G58" s="19">
        <f t="shared" si="12"/>
        <v>-13000</v>
      </c>
      <c r="H58" s="19">
        <f>SUM(H53:H57)</f>
        <v>-40000</v>
      </c>
      <c r="I58" s="19">
        <f t="shared" si="12"/>
        <v>-30000</v>
      </c>
      <c r="J58" s="19">
        <f t="shared" si="12"/>
        <v>-35000</v>
      </c>
      <c r="K58" s="19">
        <f t="shared" si="12"/>
        <v>60000</v>
      </c>
      <c r="L58" s="19">
        <f t="shared" si="12"/>
        <v>-40000</v>
      </c>
      <c r="M58" s="19">
        <f t="shared" si="12"/>
        <v>-35000</v>
      </c>
      <c r="N58" s="19">
        <f t="shared" si="12"/>
        <v>779162.55</v>
      </c>
      <c r="O58" s="29"/>
    </row>
    <row r="59" spans="1:26">
      <c r="B59" s="7"/>
      <c r="C59" s="7"/>
      <c r="D59" s="7"/>
      <c r="E59" s="7"/>
      <c r="F59" s="7"/>
      <c r="G59" s="7"/>
      <c r="H59" s="7"/>
      <c r="I59" s="7"/>
      <c r="J59" s="7"/>
      <c r="K59" s="7"/>
      <c r="L59" s="7"/>
      <c r="M59" s="7"/>
      <c r="N59" s="7"/>
      <c r="O59" s="6"/>
    </row>
    <row r="60" spans="1:26">
      <c r="A60" s="1" t="s">
        <v>61</v>
      </c>
      <c r="B60" s="12">
        <v>13598947</v>
      </c>
      <c r="C60" s="7"/>
      <c r="D60" s="7"/>
      <c r="E60" s="7"/>
      <c r="F60" s="7"/>
      <c r="G60" s="7"/>
      <c r="H60" s="7" t="s">
        <v>38</v>
      </c>
      <c r="I60" s="7"/>
      <c r="J60" s="7"/>
      <c r="K60" s="6"/>
      <c r="L60" s="6"/>
      <c r="M60" s="6"/>
      <c r="N60" s="6"/>
      <c r="O60" s="6"/>
    </row>
    <row r="61" spans="1:26">
      <c r="A61" s="13" t="s">
        <v>62</v>
      </c>
      <c r="B61" s="19">
        <f t="shared" ref="B61:N61" si="13">+B58+B48</f>
        <v>2725388</v>
      </c>
      <c r="C61" s="19">
        <f t="shared" si="13"/>
        <v>4445152.55</v>
      </c>
      <c r="D61" s="19">
        <f t="shared" si="13"/>
        <v>3589305.8573019328</v>
      </c>
      <c r="E61" s="19">
        <f t="shared" si="13"/>
        <v>3421406.924941136</v>
      </c>
      <c r="F61" s="19">
        <f t="shared" si="13"/>
        <v>2674565.5969434716</v>
      </c>
      <c r="G61" s="19">
        <f t="shared" si="13"/>
        <v>2533618.7725768955</v>
      </c>
      <c r="H61" s="19">
        <f t="shared" si="13"/>
        <v>3911590.9775393447</v>
      </c>
      <c r="I61" s="19">
        <f t="shared" si="13"/>
        <v>3085272.8326875726</v>
      </c>
      <c r="J61" s="19">
        <f t="shared" si="13"/>
        <v>3134697.6409406937</v>
      </c>
      <c r="K61" s="19">
        <f t="shared" si="13"/>
        <v>3295617.8755670437</v>
      </c>
      <c r="L61" s="19">
        <f t="shared" si="13"/>
        <v>2757336.6702150907</v>
      </c>
      <c r="M61" s="19">
        <f t="shared" si="13"/>
        <v>2382282.7903261539</v>
      </c>
      <c r="N61" s="19">
        <f t="shared" si="13"/>
        <v>37956236.489039332</v>
      </c>
      <c r="O61" s="29"/>
    </row>
    <row r="62" spans="1:26" ht="13.5" thickBot="1">
      <c r="A62" s="13" t="s">
        <v>63</v>
      </c>
      <c r="B62" s="14">
        <f t="shared" ref="B62:N62" si="14">+B13-B61</f>
        <v>-1093617</v>
      </c>
      <c r="C62" s="14">
        <f t="shared" si="14"/>
        <v>-161318.54999999981</v>
      </c>
      <c r="D62" s="14">
        <f t="shared" si="14"/>
        <v>854641.48144806735</v>
      </c>
      <c r="E62" s="14">
        <f t="shared" si="14"/>
        <v>550109.68371886434</v>
      </c>
      <c r="F62" s="14">
        <f t="shared" si="14"/>
        <v>-58453.035503471736</v>
      </c>
      <c r="G62" s="14">
        <f t="shared" si="14"/>
        <v>-6981.7485968954861</v>
      </c>
      <c r="H62" s="14">
        <f t="shared" si="14"/>
        <v>168524.42741065565</v>
      </c>
      <c r="I62" s="14">
        <f t="shared" si="14"/>
        <v>499407.90022242721</v>
      </c>
      <c r="J62" s="14">
        <f t="shared" si="14"/>
        <v>656111.75009930646</v>
      </c>
      <c r="K62" s="14">
        <f t="shared" si="14"/>
        <v>131126.32640295662</v>
      </c>
      <c r="L62" s="14">
        <f t="shared" si="14"/>
        <v>239362.9783349093</v>
      </c>
      <c r="M62" s="14">
        <f t="shared" si="14"/>
        <v>-881951.63903615391</v>
      </c>
      <c r="N62" s="14">
        <f t="shared" si="14"/>
        <v>896962.57450067252</v>
      </c>
      <c r="O62" s="29"/>
    </row>
    <row r="63" spans="1:26" s="6" customFormat="1" ht="13.5" thickTop="1">
      <c r="A63" s="13" t="s">
        <v>64</v>
      </c>
      <c r="B63" s="12">
        <f>+B62</f>
        <v>-1093617</v>
      </c>
      <c r="C63" s="12">
        <f t="shared" ref="C63:M63" si="15">B63+C62</f>
        <v>-1254935.5499999998</v>
      </c>
      <c r="D63" s="12">
        <f t="shared" si="15"/>
        <v>-400294.06855193246</v>
      </c>
      <c r="E63" s="12">
        <f t="shared" si="15"/>
        <v>149815.61516693188</v>
      </c>
      <c r="F63" s="12">
        <f t="shared" si="15"/>
        <v>91362.579663460143</v>
      </c>
      <c r="G63" s="12">
        <f t="shared" si="15"/>
        <v>84380.831066564657</v>
      </c>
      <c r="H63" s="12">
        <f t="shared" si="15"/>
        <v>252905.25847722031</v>
      </c>
      <c r="I63" s="12">
        <f t="shared" si="15"/>
        <v>752313.15869964752</v>
      </c>
      <c r="J63" s="12">
        <f t="shared" si="15"/>
        <v>1408424.908798954</v>
      </c>
      <c r="K63" s="12">
        <f t="shared" si="15"/>
        <v>1539551.2352019106</v>
      </c>
      <c r="L63" s="12">
        <f t="shared" si="15"/>
        <v>1778914.2135368199</v>
      </c>
      <c r="M63" s="12">
        <f t="shared" si="15"/>
        <v>896962.574500666</v>
      </c>
      <c r="N63" s="12"/>
    </row>
    <row r="64" spans="1:26">
      <c r="A64" s="13" t="s">
        <v>65</v>
      </c>
      <c r="B64" s="12">
        <f t="shared" ref="B64:M64" si="16">+$B$60+B63</f>
        <v>12505330</v>
      </c>
      <c r="C64" s="12">
        <f t="shared" si="16"/>
        <v>12344011.449999999</v>
      </c>
      <c r="D64" s="12">
        <f t="shared" si="16"/>
        <v>13198652.931448068</v>
      </c>
      <c r="E64" s="12">
        <f t="shared" si="16"/>
        <v>13748762.615166932</v>
      </c>
      <c r="F64" s="12">
        <f t="shared" si="16"/>
        <v>13690309.579663459</v>
      </c>
      <c r="G64" s="12">
        <f t="shared" si="16"/>
        <v>13683327.831066564</v>
      </c>
      <c r="H64" s="12">
        <f t="shared" si="16"/>
        <v>13851852.25847722</v>
      </c>
      <c r="I64" s="12">
        <f t="shared" si="16"/>
        <v>14351260.158699647</v>
      </c>
      <c r="J64" s="12">
        <f t="shared" si="16"/>
        <v>15007371.908798954</v>
      </c>
      <c r="K64" s="12">
        <f t="shared" si="16"/>
        <v>15138498.23520191</v>
      </c>
      <c r="L64" s="12">
        <f t="shared" si="16"/>
        <v>15377861.213536819</v>
      </c>
      <c r="M64" s="12">
        <f t="shared" si="16"/>
        <v>14495909.574500665</v>
      </c>
      <c r="N64" s="12"/>
      <c r="O64" s="6"/>
    </row>
    <row r="65" spans="1:15">
      <c r="A65" s="6"/>
      <c r="B65" s="7"/>
      <c r="C65" s="7"/>
      <c r="D65" s="7"/>
      <c r="E65" s="7"/>
      <c r="F65" s="7"/>
      <c r="G65" s="7"/>
      <c r="H65" s="7"/>
      <c r="I65" s="7"/>
      <c r="J65" s="7"/>
      <c r="K65" s="6"/>
      <c r="L65" s="6"/>
      <c r="M65" s="6"/>
      <c r="N65" s="6"/>
      <c r="O65" s="6"/>
    </row>
    <row r="66" spans="1:15" s="6" customFormat="1">
      <c r="A66" s="17" t="s">
        <v>114</v>
      </c>
      <c r="B66" s="18"/>
      <c r="C66" s="18"/>
      <c r="D66" s="18"/>
      <c r="E66" s="18"/>
      <c r="F66" s="18"/>
      <c r="G66" s="18"/>
      <c r="H66" s="18"/>
      <c r="I66" s="18"/>
      <c r="J66" s="18"/>
      <c r="K66" s="18"/>
      <c r="L66" s="18"/>
      <c r="M66" s="18"/>
      <c r="N66" s="18"/>
    </row>
    <row r="67" spans="1:15" ht="13.5" thickBot="1">
      <c r="A67" s="13" t="s">
        <v>67</v>
      </c>
      <c r="B67" s="30">
        <v>-1263474.9897115808</v>
      </c>
      <c r="C67" s="30">
        <v>-102010.94887173455</v>
      </c>
      <c r="D67" s="14">
        <v>854641.48144806735</v>
      </c>
      <c r="E67" s="14">
        <v>550109.68371886434</v>
      </c>
      <c r="F67" s="14">
        <v>-58453.035503471736</v>
      </c>
      <c r="G67" s="14">
        <v>-6981.7485968954861</v>
      </c>
      <c r="H67" s="14">
        <v>168524.42741065565</v>
      </c>
      <c r="I67" s="14">
        <v>499407.90022242721</v>
      </c>
      <c r="J67" s="14">
        <v>656111.75009930646</v>
      </c>
      <c r="K67" s="14">
        <v>131126.32640295662</v>
      </c>
      <c r="L67" s="14">
        <v>239362.9783349093</v>
      </c>
      <c r="M67" s="14">
        <v>-881951.63903615391</v>
      </c>
      <c r="N67" s="16"/>
      <c r="O67" s="6"/>
    </row>
    <row r="68" spans="1:15" ht="13.5" thickTop="1">
      <c r="A68" s="13" t="s">
        <v>64</v>
      </c>
      <c r="B68" s="32">
        <f>+B67</f>
        <v>-1263474.9897115808</v>
      </c>
      <c r="C68" s="32">
        <f>+B68+C67</f>
        <v>-1365485.9385833154</v>
      </c>
      <c r="D68" s="12">
        <f t="shared" ref="D68:M68" si="17">+C68+D67</f>
        <v>-510844.457135248</v>
      </c>
      <c r="E68" s="12">
        <f t="shared" si="17"/>
        <v>39265.226583616342</v>
      </c>
      <c r="F68" s="12">
        <f t="shared" si="17"/>
        <v>-19187.808919855393</v>
      </c>
      <c r="G68" s="12">
        <f t="shared" si="17"/>
        <v>-26169.55751675088</v>
      </c>
      <c r="H68" s="12">
        <f t="shared" si="17"/>
        <v>142354.86989390478</v>
      </c>
      <c r="I68" s="12">
        <f t="shared" si="17"/>
        <v>641762.77011633199</v>
      </c>
      <c r="J68" s="12">
        <f t="shared" si="17"/>
        <v>1297874.5202156384</v>
      </c>
      <c r="K68" s="12">
        <f t="shared" si="17"/>
        <v>1429000.8466185951</v>
      </c>
      <c r="L68" s="12">
        <f t="shared" si="17"/>
        <v>1668363.8249535044</v>
      </c>
      <c r="M68" s="12">
        <f t="shared" si="17"/>
        <v>786412.18591735046</v>
      </c>
      <c r="N68" s="16"/>
      <c r="O68" s="6"/>
    </row>
    <row r="69" spans="1:15">
      <c r="A69" s="13" t="s">
        <v>65</v>
      </c>
      <c r="B69" s="12">
        <v>12917512</v>
      </c>
      <c r="C69" s="12">
        <v>12793700</v>
      </c>
      <c r="D69" s="12">
        <v>13941855</v>
      </c>
      <c r="E69" s="12">
        <v>14525011</v>
      </c>
      <c r="F69" s="12">
        <v>14399159</v>
      </c>
      <c r="G69" s="12">
        <v>14361469</v>
      </c>
      <c r="H69" s="12">
        <v>14462138</v>
      </c>
      <c r="I69" s="12">
        <v>15244556</v>
      </c>
      <c r="J69" s="12">
        <v>15579898</v>
      </c>
      <c r="K69" s="12">
        <v>15948341</v>
      </c>
      <c r="L69" s="12">
        <v>16058562</v>
      </c>
      <c r="M69" s="12">
        <v>14998982</v>
      </c>
      <c r="N69" s="12"/>
      <c r="O69" s="6"/>
    </row>
    <row r="70" spans="1:15">
      <c r="A70" s="6"/>
      <c r="B70" s="6"/>
      <c r="C70" s="6"/>
      <c r="D70" s="6"/>
      <c r="E70" s="6"/>
      <c r="F70" s="6"/>
      <c r="H70" s="6"/>
      <c r="I70" s="6"/>
      <c r="J70" s="6"/>
      <c r="K70" s="6"/>
      <c r="L70" s="6"/>
      <c r="M70" s="6"/>
      <c r="N70" s="6"/>
      <c r="O70" s="6"/>
    </row>
    <row r="71" spans="1:15">
      <c r="A71" s="24" t="s">
        <v>68</v>
      </c>
      <c r="B71" s="18"/>
      <c r="C71" s="18"/>
      <c r="D71" s="18"/>
      <c r="E71" s="18"/>
      <c r="F71" s="18"/>
      <c r="G71" s="18"/>
      <c r="H71" s="18"/>
      <c r="I71" s="18"/>
      <c r="J71" s="18"/>
      <c r="K71" s="18"/>
      <c r="L71" s="18"/>
      <c r="M71" s="18"/>
      <c r="N71" s="18"/>
      <c r="O71" s="6"/>
    </row>
    <row r="72" spans="1:15">
      <c r="A72" s="13" t="s">
        <v>63</v>
      </c>
      <c r="B72" s="31">
        <f t="shared" ref="B72:N74" si="18">+B62-B67</f>
        <v>169857.9897115808</v>
      </c>
      <c r="C72" s="31">
        <f t="shared" si="18"/>
        <v>-59307.601128265262</v>
      </c>
      <c r="D72" s="31">
        <f t="shared" si="18"/>
        <v>0</v>
      </c>
      <c r="E72" s="31">
        <f t="shared" si="18"/>
        <v>0</v>
      </c>
      <c r="F72" s="31">
        <f t="shared" si="18"/>
        <v>0</v>
      </c>
      <c r="G72" s="31">
        <f t="shared" si="18"/>
        <v>0</v>
      </c>
      <c r="H72" s="31">
        <f t="shared" si="18"/>
        <v>0</v>
      </c>
      <c r="I72" s="31">
        <f t="shared" si="18"/>
        <v>0</v>
      </c>
      <c r="J72" s="31">
        <f t="shared" si="18"/>
        <v>0</v>
      </c>
      <c r="K72" s="31">
        <f t="shared" si="18"/>
        <v>0</v>
      </c>
      <c r="L72" s="31">
        <f t="shared" si="18"/>
        <v>0</v>
      </c>
      <c r="M72" s="31">
        <f t="shared" si="18"/>
        <v>0</v>
      </c>
      <c r="N72" s="6"/>
      <c r="O72" s="6"/>
    </row>
    <row r="73" spans="1:15" s="6" customFormat="1">
      <c r="A73" s="13" t="s">
        <v>64</v>
      </c>
      <c r="B73" s="31">
        <f t="shared" si="18"/>
        <v>169857.9897115808</v>
      </c>
      <c r="C73" s="31">
        <f t="shared" si="18"/>
        <v>110550.38858331554</v>
      </c>
      <c r="D73" s="31">
        <f t="shared" si="18"/>
        <v>110550.38858331554</v>
      </c>
      <c r="E73" s="31">
        <f t="shared" si="18"/>
        <v>110550.38858331554</v>
      </c>
      <c r="F73" s="31">
        <f t="shared" si="18"/>
        <v>110550.38858331554</v>
      </c>
      <c r="G73" s="31">
        <f t="shared" si="18"/>
        <v>110550.38858331554</v>
      </c>
      <c r="H73" s="31">
        <f t="shared" si="18"/>
        <v>110550.38858331554</v>
      </c>
      <c r="I73" s="31">
        <f t="shared" si="18"/>
        <v>110550.38858331554</v>
      </c>
      <c r="J73" s="31">
        <f t="shared" si="18"/>
        <v>110550.38858331554</v>
      </c>
      <c r="K73" s="31">
        <f t="shared" si="18"/>
        <v>110550.38858331554</v>
      </c>
      <c r="L73" s="31">
        <f t="shared" si="18"/>
        <v>110550.38858331554</v>
      </c>
      <c r="M73" s="31">
        <f t="shared" si="18"/>
        <v>110550.38858331554</v>
      </c>
      <c r="N73" s="16">
        <f t="shared" si="18"/>
        <v>0</v>
      </c>
    </row>
    <row r="74" spans="1:15">
      <c r="A74" s="1" t="s">
        <v>65</v>
      </c>
      <c r="B74" s="16">
        <f t="shared" si="18"/>
        <v>-412182</v>
      </c>
      <c r="C74" s="16">
        <f t="shared" si="18"/>
        <v>-449688.55000000075</v>
      </c>
      <c r="D74" s="16">
        <f t="shared" si="18"/>
        <v>-743202.06855193153</v>
      </c>
      <c r="E74" s="16">
        <f t="shared" si="18"/>
        <v>-776248.38483306766</v>
      </c>
      <c r="F74" s="16">
        <f t="shared" si="18"/>
        <v>-708849.42033654079</v>
      </c>
      <c r="G74" s="16">
        <f t="shared" si="18"/>
        <v>-678141.16893343627</v>
      </c>
      <c r="H74" s="16">
        <f t="shared" si="18"/>
        <v>-610285.74152277969</v>
      </c>
      <c r="I74" s="16">
        <f t="shared" si="18"/>
        <v>-893295.84130035341</v>
      </c>
      <c r="J74" s="16">
        <f t="shared" si="18"/>
        <v>-572526.09120104648</v>
      </c>
      <c r="K74" s="16">
        <f t="shared" si="18"/>
        <v>-809842.76479808986</v>
      </c>
      <c r="L74" s="16">
        <f t="shared" si="18"/>
        <v>-680700.78646318056</v>
      </c>
      <c r="M74" s="16">
        <f t="shared" si="18"/>
        <v>-503072.42549933493</v>
      </c>
      <c r="N74" s="16"/>
      <c r="O74" s="6"/>
    </row>
    <row r="75" spans="1:15">
      <c r="B75" s="6"/>
      <c r="C75" s="6"/>
      <c r="D75" s="6"/>
      <c r="E75" s="6"/>
      <c r="F75" s="6"/>
      <c r="H75" s="6"/>
      <c r="I75" s="6"/>
      <c r="J75" s="6"/>
      <c r="K75" s="6"/>
      <c r="L75" s="6"/>
      <c r="M75" s="6"/>
      <c r="N75" s="6"/>
    </row>
    <row r="76" spans="1:15">
      <c r="A76" s="1"/>
      <c r="B76" s="4"/>
      <c r="C76" s="8"/>
      <c r="D76" s="8"/>
      <c r="E76" s="8"/>
      <c r="F76" s="8"/>
      <c r="H76" s="20"/>
      <c r="J76" s="6"/>
      <c r="K76" s="6"/>
    </row>
    <row r="77" spans="1:15">
      <c r="A77" s="1"/>
      <c r="B77" s="4"/>
      <c r="C77" s="8"/>
      <c r="D77" s="8"/>
      <c r="E77" s="8"/>
      <c r="F77" s="8"/>
      <c r="H77" s="85"/>
      <c r="I77" s="86"/>
      <c r="J77" s="85"/>
    </row>
    <row r="78" spans="1:15">
      <c r="A78" s="1"/>
      <c r="B78" s="4"/>
      <c r="D78" s="8"/>
      <c r="E78" s="8"/>
      <c r="F78" s="8"/>
      <c r="H78" s="61"/>
      <c r="J78" s="6"/>
    </row>
    <row r="79" spans="1:15">
      <c r="E79" s="6"/>
      <c r="H79" s="20"/>
      <c r="J79" s="6"/>
      <c r="N79" s="25"/>
    </row>
    <row r="80" spans="1:15">
      <c r="A80" t="s">
        <v>69</v>
      </c>
      <c r="B80" t="s">
        <v>69</v>
      </c>
      <c r="C80" t="s">
        <v>69</v>
      </c>
      <c r="D80" t="s">
        <v>69</v>
      </c>
      <c r="E80" s="6" t="s">
        <v>69</v>
      </c>
      <c r="F80" t="s">
        <v>69</v>
      </c>
      <c r="G80" s="6" t="s">
        <v>69</v>
      </c>
      <c r="H80" t="s">
        <v>69</v>
      </c>
      <c r="I80" t="s">
        <v>69</v>
      </c>
      <c r="J80" s="6" t="s">
        <v>69</v>
      </c>
      <c r="K80" t="s">
        <v>69</v>
      </c>
      <c r="L80" t="s">
        <v>69</v>
      </c>
      <c r="M80" t="s">
        <v>69</v>
      </c>
      <c r="N80" t="s">
        <v>69</v>
      </c>
    </row>
    <row r="82" spans="6:8">
      <c r="F82">
        <v>11636.78</v>
      </c>
      <c r="H82">
        <v>73191.26999999999</v>
      </c>
    </row>
    <row r="84" spans="6:8">
      <c r="F84" s="2">
        <f>SUM(B56:F56)</f>
        <v>-99403</v>
      </c>
    </row>
    <row r="85" spans="6:8">
      <c r="F85" s="2">
        <f>SUM(B57:F57)</f>
        <v>105606</v>
      </c>
    </row>
  </sheetData>
  <pageMargins left="0.28000000000000003" right="0.25" top="0.99" bottom="0.75" header="0.63" footer="0.23"/>
  <pageSetup scale="60" orientation="landscape" r:id="rId1"/>
  <headerFooter alignWithMargins="0">
    <oddHeader xml:space="preserve">&amp;C&amp;"Arial,Bold"&amp;11 49ER SHOPS, INC.
&amp;UFY2019/2020 OPERATIONAL CASH FLOW </oddHeader>
    <oddFooter>&amp;CCash Flow - FY2019/2020
Aug 2019</oddFooter>
  </headerFooter>
  <legacyDrawing r:id="rId2"/>
</worksheet>
</file>

<file path=xl/worksheets/sheet4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92D050"/>
    <pageSetUpPr fitToPage="1"/>
  </sheetPr>
  <dimension ref="A1:Z85"/>
  <sheetViews>
    <sheetView showGridLines="0" topLeftCell="A49" zoomScale="90" zoomScaleNormal="90" workbookViewId="0">
      <selection activeCell="C57" sqref="C57"/>
    </sheetView>
  </sheetViews>
  <sheetFormatPr defaultRowHeight="12.75"/>
  <cols>
    <col min="1" max="1" width="35.42578125" customWidth="1"/>
    <col min="2" max="2" width="14" customWidth="1"/>
    <col min="3" max="3" width="14.5703125" customWidth="1"/>
    <col min="4" max="4" width="14" style="6" customWidth="1"/>
    <col min="5" max="6" width="13.5703125" customWidth="1"/>
    <col min="7" max="7" width="16.5703125" style="6" customWidth="1"/>
    <col min="8" max="8" width="14.140625" customWidth="1"/>
    <col min="9" max="9" width="14.42578125" customWidth="1"/>
    <col min="10" max="10" width="13.85546875" customWidth="1"/>
    <col min="11" max="11" width="15.140625" customWidth="1"/>
    <col min="12" max="12" width="13.5703125" customWidth="1"/>
    <col min="13" max="13" width="14.42578125" customWidth="1"/>
    <col min="14" max="14" width="16.5703125" customWidth="1"/>
    <col min="15" max="15" width="12.42578125" bestFit="1" customWidth="1"/>
    <col min="16" max="16" width="14.140625" customWidth="1"/>
  </cols>
  <sheetData>
    <row r="1" spans="1:16" ht="13.5" thickBot="1">
      <c r="A1" s="46" t="s">
        <v>128</v>
      </c>
      <c r="E1" s="6"/>
      <c r="F1" s="6"/>
      <c r="J1" s="6"/>
      <c r="K1" s="6"/>
      <c r="N1" s="3"/>
    </row>
    <row r="2" spans="1:16">
      <c r="B2" s="45" t="s">
        <v>24</v>
      </c>
      <c r="C2" s="45" t="s">
        <v>24</v>
      </c>
      <c r="D2" s="45" t="s">
        <v>24</v>
      </c>
      <c r="E2" s="45" t="s">
        <v>76</v>
      </c>
      <c r="F2" s="45" t="s">
        <v>76</v>
      </c>
      <c r="G2" s="45" t="s">
        <v>76</v>
      </c>
      <c r="H2" s="45" t="s">
        <v>76</v>
      </c>
      <c r="I2" s="45" t="s">
        <v>76</v>
      </c>
      <c r="J2" s="45" t="s">
        <v>76</v>
      </c>
      <c r="K2" s="45" t="s">
        <v>76</v>
      </c>
      <c r="L2" s="45" t="s">
        <v>76</v>
      </c>
      <c r="M2" s="45" t="s">
        <v>76</v>
      </c>
      <c r="N2" s="55" t="s">
        <v>25</v>
      </c>
    </row>
    <row r="3" spans="1:16" s="5" customFormat="1">
      <c r="B3" s="11">
        <v>43648</v>
      </c>
      <c r="C3" s="90">
        <v>43679</v>
      </c>
      <c r="D3" s="90">
        <v>43710</v>
      </c>
      <c r="E3" s="11">
        <v>43740</v>
      </c>
      <c r="F3" s="11">
        <v>43771</v>
      </c>
      <c r="G3" s="11">
        <v>43801</v>
      </c>
      <c r="H3" s="11">
        <v>43832</v>
      </c>
      <c r="I3" s="11">
        <v>43863</v>
      </c>
      <c r="J3" s="11">
        <v>43892</v>
      </c>
      <c r="K3" s="11">
        <v>43923</v>
      </c>
      <c r="L3" s="11">
        <v>43953</v>
      </c>
      <c r="M3" s="11">
        <v>43984</v>
      </c>
      <c r="N3" s="57" t="s">
        <v>123</v>
      </c>
    </row>
    <row r="4" spans="1:16" hidden="1">
      <c r="A4" s="1" t="s">
        <v>27</v>
      </c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>
        <f>SUM(B4:M4)</f>
        <v>0</v>
      </c>
      <c r="O4" s="29"/>
    </row>
    <row r="5" spans="1:16" s="6" customFormat="1" hidden="1">
      <c r="A5" s="6" t="s">
        <v>28</v>
      </c>
      <c r="B5" s="49">
        <v>1506911</v>
      </c>
      <c r="C5" s="53">
        <v>4218296</v>
      </c>
      <c r="D5" s="53">
        <v>4008767</v>
      </c>
      <c r="E5" s="53">
        <v>3848072.6086600004</v>
      </c>
      <c r="F5" s="53">
        <v>2455124.5614399998</v>
      </c>
      <c r="G5" s="53">
        <v>2427666.0239800001</v>
      </c>
      <c r="H5" s="53">
        <v>3962386.4049500003</v>
      </c>
      <c r="I5" s="53">
        <v>3413283.7329099998</v>
      </c>
      <c r="J5" s="53">
        <v>3663286.3910400001</v>
      </c>
      <c r="K5" s="53">
        <v>3303515.2019700003</v>
      </c>
      <c r="L5" s="53">
        <v>2866321.64855</v>
      </c>
      <c r="M5" s="53">
        <v>1394806.15129</v>
      </c>
      <c r="N5" s="12">
        <f>SUM(B5:M5)</f>
        <v>37068436.724790007</v>
      </c>
      <c r="O5" s="29"/>
    </row>
    <row r="6" spans="1:16" s="6" customFormat="1" hidden="1">
      <c r="A6" s="6" t="s">
        <v>29</v>
      </c>
      <c r="B6" s="49">
        <v>122669</v>
      </c>
      <c r="C6" s="53">
        <v>65308</v>
      </c>
      <c r="D6" s="53">
        <v>368424</v>
      </c>
      <c r="E6" s="53">
        <v>123444</v>
      </c>
      <c r="F6" s="53">
        <v>160988</v>
      </c>
      <c r="G6" s="53">
        <v>98971</v>
      </c>
      <c r="H6" s="53">
        <v>117729</v>
      </c>
      <c r="I6" s="53">
        <v>171397</v>
      </c>
      <c r="J6" s="53">
        <v>127523</v>
      </c>
      <c r="K6" s="53">
        <v>123229</v>
      </c>
      <c r="L6" s="53">
        <v>130378</v>
      </c>
      <c r="M6" s="53">
        <v>105525</v>
      </c>
      <c r="N6" s="7">
        <f>SUM(B6:M6)</f>
        <v>1715585</v>
      </c>
      <c r="O6" s="29"/>
    </row>
    <row r="7" spans="1:16" s="6" customFormat="1" hidden="1">
      <c r="B7" s="7"/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7">
        <f>SUM(B7:M7)</f>
        <v>0</v>
      </c>
      <c r="O7" s="29"/>
    </row>
    <row r="8" spans="1:16" s="6" customFormat="1" hidden="1">
      <c r="B8" s="15"/>
      <c r="C8" s="15"/>
      <c r="D8" s="15"/>
      <c r="E8" s="15"/>
      <c r="F8" s="15"/>
      <c r="G8" s="15"/>
      <c r="H8" s="15"/>
      <c r="I8" s="15"/>
      <c r="J8" s="15"/>
      <c r="K8" s="15"/>
      <c r="L8" s="15"/>
      <c r="M8" s="15"/>
      <c r="N8" s="15">
        <f>SUM(B8:M8)</f>
        <v>0</v>
      </c>
      <c r="O8" s="29"/>
    </row>
    <row r="9" spans="1:16" s="6" customFormat="1">
      <c r="A9" s="13" t="s">
        <v>30</v>
      </c>
      <c r="B9" s="12">
        <f t="shared" ref="B9:N9" si="0">SUM(B5:B8)</f>
        <v>1629580</v>
      </c>
      <c r="C9" s="12">
        <f t="shared" si="0"/>
        <v>4283604</v>
      </c>
      <c r="D9" s="12">
        <f t="shared" si="0"/>
        <v>4377191</v>
      </c>
      <c r="E9" s="12">
        <f t="shared" si="0"/>
        <v>3971516.6086600004</v>
      </c>
      <c r="F9" s="12">
        <f t="shared" si="0"/>
        <v>2616112.5614399998</v>
      </c>
      <c r="G9" s="12">
        <f t="shared" si="0"/>
        <v>2526637.0239800001</v>
      </c>
      <c r="H9" s="12">
        <f t="shared" si="0"/>
        <v>4080115.4049500003</v>
      </c>
      <c r="I9" s="12">
        <f t="shared" si="0"/>
        <v>3584680.7329099998</v>
      </c>
      <c r="J9" s="12">
        <f t="shared" si="0"/>
        <v>3790809.3910400001</v>
      </c>
      <c r="K9" s="12">
        <f t="shared" si="0"/>
        <v>3426744.2019700003</v>
      </c>
      <c r="L9" s="12">
        <f t="shared" si="0"/>
        <v>2996699.64855</v>
      </c>
      <c r="M9" s="12">
        <f t="shared" si="0"/>
        <v>1500331.15129</v>
      </c>
      <c r="N9" s="12">
        <f t="shared" si="0"/>
        <v>38784021.724790007</v>
      </c>
      <c r="O9" s="29"/>
      <c r="P9" s="29">
        <f>+N9</f>
        <v>38784021.724790007</v>
      </c>
    </row>
    <row r="10" spans="1:16" s="6" customFormat="1" ht="6.75" customHeight="1"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29"/>
    </row>
    <row r="11" spans="1:16" s="6" customFormat="1">
      <c r="A11" s="13" t="s">
        <v>31</v>
      </c>
      <c r="B11" s="7">
        <v>2191</v>
      </c>
      <c r="C11" s="7">
        <v>230</v>
      </c>
      <c r="D11" s="7">
        <v>408.4</v>
      </c>
      <c r="E11" s="7"/>
      <c r="F11" s="7"/>
      <c r="G11" s="7"/>
      <c r="H11" s="7"/>
      <c r="I11" s="7"/>
      <c r="J11" s="7"/>
      <c r="K11" s="7"/>
      <c r="L11" s="7"/>
      <c r="M11" s="7"/>
      <c r="N11" s="7">
        <f>SUM(B11:M11)</f>
        <v>2829.4</v>
      </c>
      <c r="O11" s="29"/>
    </row>
    <row r="12" spans="1:16" s="6" customFormat="1" ht="7.5" customHeight="1">
      <c r="B12" s="7"/>
      <c r="C12" s="7"/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  <c r="O12" s="29"/>
    </row>
    <row r="13" spans="1:16" s="6" customFormat="1" ht="13.5" thickBot="1">
      <c r="A13" s="13" t="s">
        <v>32</v>
      </c>
      <c r="B13" s="14">
        <f t="shared" ref="B13:N13" si="1">B9+B11</f>
        <v>1631771</v>
      </c>
      <c r="C13" s="14">
        <f>C9+C11</f>
        <v>4283834</v>
      </c>
      <c r="D13" s="14">
        <f t="shared" si="1"/>
        <v>4377599.4000000004</v>
      </c>
      <c r="E13" s="14">
        <f t="shared" si="1"/>
        <v>3971516.6086600004</v>
      </c>
      <c r="F13" s="14">
        <f t="shared" si="1"/>
        <v>2616112.5614399998</v>
      </c>
      <c r="G13" s="14">
        <f t="shared" si="1"/>
        <v>2526637.0239800001</v>
      </c>
      <c r="H13" s="14">
        <f t="shared" si="1"/>
        <v>4080115.4049500003</v>
      </c>
      <c r="I13" s="14">
        <f t="shared" si="1"/>
        <v>3584680.7329099998</v>
      </c>
      <c r="J13" s="14">
        <f t="shared" si="1"/>
        <v>3790809.3910400001</v>
      </c>
      <c r="K13" s="14">
        <f t="shared" si="1"/>
        <v>3426744.2019700003</v>
      </c>
      <c r="L13" s="14">
        <f t="shared" si="1"/>
        <v>2996699.64855</v>
      </c>
      <c r="M13" s="14">
        <f t="shared" si="1"/>
        <v>1500331.15129</v>
      </c>
      <c r="N13" s="14">
        <f t="shared" si="1"/>
        <v>38786851.124790005</v>
      </c>
      <c r="O13" s="29"/>
    </row>
    <row r="14" spans="1:16" s="6" customFormat="1" ht="13.5" thickTop="1">
      <c r="B14" s="7"/>
      <c r="C14" s="7"/>
      <c r="D14" s="7"/>
      <c r="E14" s="7"/>
      <c r="F14" s="7"/>
      <c r="G14" s="7"/>
      <c r="H14" s="7"/>
      <c r="I14" s="7"/>
      <c r="J14" s="7"/>
      <c r="K14" s="7"/>
      <c r="L14" s="7"/>
      <c r="M14" s="7"/>
    </row>
    <row r="15" spans="1:16" s="6" customFormat="1" hidden="1">
      <c r="A15" s="13" t="s">
        <v>33</v>
      </c>
      <c r="B15" s="7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</row>
    <row r="16" spans="1:16" s="6" customFormat="1" hidden="1">
      <c r="A16" s="6" t="s">
        <v>34</v>
      </c>
      <c r="B16" s="49">
        <v>789538</v>
      </c>
      <c r="C16" s="53">
        <v>2542832</v>
      </c>
      <c r="D16" s="53">
        <v>1670912</v>
      </c>
      <c r="E16" s="53">
        <v>1296440.6412800001</v>
      </c>
      <c r="F16" s="53">
        <v>857870.95172000001</v>
      </c>
      <c r="G16" s="53">
        <v>872403.03766999999</v>
      </c>
      <c r="H16" s="53">
        <v>2196091.03559</v>
      </c>
      <c r="I16" s="53">
        <v>1238755.4207799998</v>
      </c>
      <c r="J16" s="53">
        <v>1292296.5777699999</v>
      </c>
      <c r="K16" s="53">
        <v>1245676.8455400001</v>
      </c>
      <c r="L16" s="53">
        <v>1172737.3767599999</v>
      </c>
      <c r="M16" s="53">
        <v>726619.06070999999</v>
      </c>
      <c r="N16" s="7">
        <f>SUM(B16:M16)</f>
        <v>15902172.94782</v>
      </c>
      <c r="O16" s="29"/>
      <c r="P16" s="7">
        <f>-N16</f>
        <v>-15902172.94782</v>
      </c>
    </row>
    <row r="17" spans="1:16" s="6" customFormat="1" hidden="1">
      <c r="B17" s="27"/>
      <c r="C17" s="27"/>
      <c r="D17" s="27"/>
      <c r="E17" s="27"/>
      <c r="F17" s="27"/>
      <c r="G17" s="27"/>
      <c r="H17" s="27"/>
      <c r="I17" s="27"/>
      <c r="J17" s="27"/>
      <c r="K17" s="27"/>
      <c r="L17" s="27"/>
      <c r="M17" s="27"/>
      <c r="N17" s="7">
        <f>SUM(B17:M17)</f>
        <v>0</v>
      </c>
    </row>
    <row r="18" spans="1:16" s="6" customFormat="1" hidden="1">
      <c r="B18" s="7"/>
      <c r="C18" s="7"/>
      <c r="D18" s="7"/>
      <c r="E18" s="7"/>
      <c r="F18" s="7"/>
      <c r="G18" s="7"/>
      <c r="H18" s="7"/>
      <c r="I18" s="7"/>
      <c r="J18" s="7"/>
      <c r="K18" s="7"/>
      <c r="L18" s="7"/>
      <c r="M18" s="7"/>
      <c r="N18" s="7">
        <v>0</v>
      </c>
    </row>
    <row r="19" spans="1:16" s="6" customFormat="1" hidden="1">
      <c r="B19" s="15"/>
      <c r="C19" s="15"/>
      <c r="D19" s="15"/>
      <c r="E19" s="15"/>
      <c r="F19" s="15"/>
      <c r="G19" s="15"/>
      <c r="H19" s="15"/>
      <c r="I19" s="15"/>
      <c r="J19" s="15"/>
      <c r="K19" s="15"/>
      <c r="L19" s="15"/>
      <c r="M19" s="15"/>
      <c r="N19" s="15">
        <f>SUM(B19:M19)</f>
        <v>0</v>
      </c>
    </row>
    <row r="20" spans="1:16" s="6" customFormat="1">
      <c r="A20" s="13" t="s">
        <v>35</v>
      </c>
      <c r="B20" s="12">
        <f t="shared" ref="B20:N20" si="2">SUM(B16:B19)</f>
        <v>789538</v>
      </c>
      <c r="C20" s="12">
        <f t="shared" si="2"/>
        <v>2542832</v>
      </c>
      <c r="D20" s="12">
        <f t="shared" si="2"/>
        <v>1670912</v>
      </c>
      <c r="E20" s="12">
        <f t="shared" si="2"/>
        <v>1296440.6412800001</v>
      </c>
      <c r="F20" s="12">
        <f t="shared" si="2"/>
        <v>857870.95172000001</v>
      </c>
      <c r="G20" s="12">
        <f t="shared" si="2"/>
        <v>872403.03766999999</v>
      </c>
      <c r="H20" s="12">
        <f t="shared" si="2"/>
        <v>2196091.03559</v>
      </c>
      <c r="I20" s="12">
        <f t="shared" si="2"/>
        <v>1238755.4207799998</v>
      </c>
      <c r="J20" s="12">
        <f t="shared" si="2"/>
        <v>1292296.5777699999</v>
      </c>
      <c r="K20" s="12">
        <f t="shared" si="2"/>
        <v>1245676.8455400001</v>
      </c>
      <c r="L20" s="12">
        <f t="shared" si="2"/>
        <v>1172737.3767599999</v>
      </c>
      <c r="M20" s="12">
        <f t="shared" si="2"/>
        <v>726619.06070999999</v>
      </c>
      <c r="N20" s="12">
        <f t="shared" si="2"/>
        <v>15902172.94782</v>
      </c>
      <c r="O20" s="29"/>
    </row>
    <row r="21" spans="1:16" s="6" customFormat="1">
      <c r="B21" s="7"/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</row>
    <row r="22" spans="1:16" s="6" customFormat="1" hidden="1">
      <c r="A22" s="13" t="s">
        <v>36</v>
      </c>
      <c r="B22" s="7"/>
      <c r="C22" s="7"/>
      <c r="D22" s="7"/>
      <c r="E22" s="7"/>
      <c r="F22" s="7"/>
      <c r="G22" s="7"/>
      <c r="H22" s="7"/>
      <c r="I22" s="7"/>
      <c r="J22" s="7"/>
      <c r="K22" s="7"/>
      <c r="L22" s="7"/>
      <c r="M22" s="7"/>
    </row>
    <row r="23" spans="1:16" s="6" customFormat="1" hidden="1">
      <c r="A23" s="6" t="s">
        <v>37</v>
      </c>
      <c r="B23" s="7">
        <f t="shared" ref="B23:M26" si="3">+B5-B16</f>
        <v>717373</v>
      </c>
      <c r="C23" s="7">
        <f t="shared" si="3"/>
        <v>1675464</v>
      </c>
      <c r="D23" s="7">
        <f t="shared" si="3"/>
        <v>2337855</v>
      </c>
      <c r="E23" s="7">
        <f t="shared" si="3"/>
        <v>2551631.9673800003</v>
      </c>
      <c r="F23" s="7">
        <f t="shared" si="3"/>
        <v>1597253.6097199998</v>
      </c>
      <c r="G23" s="7">
        <f t="shared" si="3"/>
        <v>1555262.9863100001</v>
      </c>
      <c r="H23" s="7">
        <f t="shared" si="3"/>
        <v>1766295.3693600004</v>
      </c>
      <c r="I23" s="7">
        <f t="shared" si="3"/>
        <v>2174528.31213</v>
      </c>
      <c r="J23" s="7">
        <f t="shared" si="3"/>
        <v>2370989.8132700003</v>
      </c>
      <c r="K23" s="7">
        <f t="shared" si="3"/>
        <v>2057838.3564300002</v>
      </c>
      <c r="L23" s="7">
        <f t="shared" si="3"/>
        <v>1693584.2717900001</v>
      </c>
      <c r="M23" s="7">
        <f t="shared" si="3"/>
        <v>668187.09057999996</v>
      </c>
      <c r="N23" s="7">
        <f>SUM(B23:M23)</f>
        <v>21166263.776970003</v>
      </c>
      <c r="O23" s="29"/>
    </row>
    <row r="24" spans="1:16" s="6" customFormat="1" hidden="1">
      <c r="A24" s="6" t="s">
        <v>37</v>
      </c>
      <c r="B24" s="7">
        <f t="shared" si="3"/>
        <v>122669</v>
      </c>
      <c r="C24" s="7">
        <f t="shared" si="3"/>
        <v>65308</v>
      </c>
      <c r="D24" s="7">
        <f t="shared" si="3"/>
        <v>368424</v>
      </c>
      <c r="E24" s="7">
        <f t="shared" si="3"/>
        <v>123444</v>
      </c>
      <c r="F24" s="7">
        <f t="shared" si="3"/>
        <v>160988</v>
      </c>
      <c r="G24" s="7">
        <f t="shared" si="3"/>
        <v>98971</v>
      </c>
      <c r="H24" s="7">
        <f t="shared" si="3"/>
        <v>117729</v>
      </c>
      <c r="I24" s="7">
        <f t="shared" si="3"/>
        <v>171397</v>
      </c>
      <c r="J24" s="7">
        <f t="shared" si="3"/>
        <v>127523</v>
      </c>
      <c r="K24" s="7">
        <f t="shared" si="3"/>
        <v>123229</v>
      </c>
      <c r="L24" s="7">
        <f t="shared" si="3"/>
        <v>130378</v>
      </c>
      <c r="M24" s="7">
        <f t="shared" si="3"/>
        <v>105525</v>
      </c>
      <c r="N24" s="7">
        <f>SUM(B24:M24)</f>
        <v>1715585</v>
      </c>
      <c r="O24" s="29"/>
    </row>
    <row r="25" spans="1:16" s="6" customFormat="1" hidden="1">
      <c r="A25" s="6" t="s">
        <v>38</v>
      </c>
      <c r="B25" s="7">
        <f t="shared" si="3"/>
        <v>0</v>
      </c>
      <c r="C25" s="7">
        <f t="shared" si="3"/>
        <v>0</v>
      </c>
      <c r="D25" s="7">
        <f t="shared" si="3"/>
        <v>0</v>
      </c>
      <c r="E25" s="7">
        <f t="shared" si="3"/>
        <v>0</v>
      </c>
      <c r="F25" s="7">
        <f t="shared" si="3"/>
        <v>0</v>
      </c>
      <c r="G25" s="7">
        <f t="shared" si="3"/>
        <v>0</v>
      </c>
      <c r="H25" s="7">
        <f t="shared" si="3"/>
        <v>0</v>
      </c>
      <c r="I25" s="7">
        <f t="shared" si="3"/>
        <v>0</v>
      </c>
      <c r="J25" s="7">
        <f t="shared" si="3"/>
        <v>0</v>
      </c>
      <c r="K25" s="7">
        <f t="shared" si="3"/>
        <v>0</v>
      </c>
      <c r="L25" s="7">
        <f t="shared" si="3"/>
        <v>0</v>
      </c>
      <c r="M25" s="7">
        <f t="shared" si="3"/>
        <v>0</v>
      </c>
      <c r="N25" s="7">
        <f>SUM(B25:M25)</f>
        <v>0</v>
      </c>
      <c r="O25" s="29"/>
    </row>
    <row r="26" spans="1:16" s="6" customFormat="1" hidden="1">
      <c r="A26" s="6" t="s">
        <v>38</v>
      </c>
      <c r="B26" s="15">
        <f t="shared" si="3"/>
        <v>0</v>
      </c>
      <c r="C26" s="15">
        <f t="shared" si="3"/>
        <v>0</v>
      </c>
      <c r="D26" s="15">
        <f t="shared" si="3"/>
        <v>0</v>
      </c>
      <c r="E26" s="15">
        <f t="shared" si="3"/>
        <v>0</v>
      </c>
      <c r="F26" s="15">
        <f t="shared" si="3"/>
        <v>0</v>
      </c>
      <c r="G26" s="15">
        <f t="shared" si="3"/>
        <v>0</v>
      </c>
      <c r="H26" s="15">
        <f t="shared" si="3"/>
        <v>0</v>
      </c>
      <c r="I26" s="15">
        <f t="shared" si="3"/>
        <v>0</v>
      </c>
      <c r="J26" s="15">
        <f t="shared" si="3"/>
        <v>0</v>
      </c>
      <c r="K26" s="15">
        <f t="shared" si="3"/>
        <v>0</v>
      </c>
      <c r="L26" s="15">
        <f t="shared" si="3"/>
        <v>0</v>
      </c>
      <c r="M26" s="15">
        <f t="shared" si="3"/>
        <v>0</v>
      </c>
      <c r="N26" s="15">
        <f>SUM(B26:M26)</f>
        <v>0</v>
      </c>
      <c r="O26" s="29"/>
    </row>
    <row r="27" spans="1:16" s="6" customFormat="1">
      <c r="A27" s="13" t="s">
        <v>39</v>
      </c>
      <c r="B27" s="12">
        <f t="shared" ref="B27:N27" si="4">SUM(B23:B26)</f>
        <v>840042</v>
      </c>
      <c r="C27" s="12">
        <f t="shared" si="4"/>
        <v>1740772</v>
      </c>
      <c r="D27" s="12">
        <f t="shared" si="4"/>
        <v>2706279</v>
      </c>
      <c r="E27" s="12">
        <f t="shared" si="4"/>
        <v>2675075.9673800003</v>
      </c>
      <c r="F27" s="12">
        <f t="shared" si="4"/>
        <v>1758241.6097199998</v>
      </c>
      <c r="G27" s="12">
        <f t="shared" si="4"/>
        <v>1654233.9863100001</v>
      </c>
      <c r="H27" s="12">
        <f t="shared" si="4"/>
        <v>1884024.3693600004</v>
      </c>
      <c r="I27" s="12">
        <f t="shared" si="4"/>
        <v>2345925.31213</v>
      </c>
      <c r="J27" s="12">
        <f t="shared" si="4"/>
        <v>2498512.8132700003</v>
      </c>
      <c r="K27" s="12">
        <f t="shared" si="4"/>
        <v>2181067.3564300002</v>
      </c>
      <c r="L27" s="12">
        <f t="shared" si="4"/>
        <v>1823962.2717900001</v>
      </c>
      <c r="M27" s="12">
        <f>SUM(M23:M26)</f>
        <v>773712.09057999996</v>
      </c>
      <c r="N27" s="12">
        <f t="shared" si="4"/>
        <v>22881848.776970003</v>
      </c>
      <c r="O27" s="29"/>
      <c r="P27" s="29">
        <f>+N27</f>
        <v>22881848.776970003</v>
      </c>
    </row>
    <row r="28" spans="1:16" s="6" customFormat="1" ht="14.45" customHeight="1">
      <c r="B28" s="73">
        <f>+B27/B9</f>
        <v>0.51549601737871109</v>
      </c>
      <c r="C28" s="73">
        <f t="shared" ref="C28:N28" si="5">+C27/C9</f>
        <v>0.40638023496102815</v>
      </c>
      <c r="D28" s="73">
        <f t="shared" si="5"/>
        <v>0.61826842831395756</v>
      </c>
      <c r="E28" s="73">
        <f t="shared" si="5"/>
        <v>0.67356534819643565</v>
      </c>
      <c r="F28" s="73">
        <f t="shared" si="5"/>
        <v>0.67208178869497959</v>
      </c>
      <c r="G28" s="73">
        <f t="shared" si="5"/>
        <v>0.65471770207191204</v>
      </c>
      <c r="H28" s="73">
        <f t="shared" si="5"/>
        <v>0.46175761770716095</v>
      </c>
      <c r="I28" s="73">
        <f t="shared" si="5"/>
        <v>0.65443075323073652</v>
      </c>
      <c r="J28" s="73">
        <f t="shared" si="5"/>
        <v>0.65909745269058195</v>
      </c>
      <c r="K28" s="73">
        <f t="shared" si="5"/>
        <v>0.63648385402567453</v>
      </c>
      <c r="L28" s="73">
        <f t="shared" si="5"/>
        <v>0.60865701795391902</v>
      </c>
      <c r="M28" s="73">
        <f t="shared" si="5"/>
        <v>0.51569421185099995</v>
      </c>
      <c r="N28" s="73">
        <f t="shared" si="5"/>
        <v>0.58998133147043808</v>
      </c>
    </row>
    <row r="29" spans="1:16" s="6" customFormat="1" hidden="1">
      <c r="A29" s="13" t="s">
        <v>40</v>
      </c>
      <c r="B29" s="7"/>
      <c r="C29" s="7"/>
      <c r="D29" s="7"/>
      <c r="E29" s="7"/>
      <c r="F29" s="7"/>
      <c r="G29" s="7"/>
      <c r="H29" s="7"/>
      <c r="I29" s="7"/>
      <c r="J29" s="7"/>
      <c r="K29" s="7"/>
      <c r="L29" s="7"/>
      <c r="M29" s="7"/>
    </row>
    <row r="30" spans="1:16" s="6" customFormat="1" hidden="1">
      <c r="A30" s="6" t="s">
        <v>93</v>
      </c>
      <c r="B30" s="49">
        <v>599577</v>
      </c>
      <c r="C30" s="53">
        <v>671079</v>
      </c>
      <c r="D30" s="53">
        <v>793811</v>
      </c>
      <c r="E30" s="53">
        <v>904980.62775222072</v>
      </c>
      <c r="F30" s="53">
        <v>686895.29853070469</v>
      </c>
      <c r="G30" s="53">
        <v>642815.15417670459</v>
      </c>
      <c r="H30" s="53">
        <v>742691.29158794135</v>
      </c>
      <c r="I30" s="53">
        <v>781375.03238776349</v>
      </c>
      <c r="J30" s="53">
        <v>800842.39032942755</v>
      </c>
      <c r="K30" s="53">
        <v>843636.89934994141</v>
      </c>
      <c r="L30" s="53">
        <v>694327.62761942751</v>
      </c>
      <c r="M30" s="53">
        <v>505922.77644506848</v>
      </c>
      <c r="N30" s="7">
        <f>SUM(B30:M30)</f>
        <v>8667954.0981792007</v>
      </c>
      <c r="O30" s="29"/>
    </row>
    <row r="31" spans="1:16" s="6" customFormat="1" hidden="1">
      <c r="A31" s="6" t="s">
        <v>42</v>
      </c>
      <c r="B31" s="49">
        <v>243836</v>
      </c>
      <c r="C31" s="53">
        <v>217946</v>
      </c>
      <c r="D31" s="53">
        <v>239113</v>
      </c>
      <c r="E31" s="53">
        <v>243606.38590891552</v>
      </c>
      <c r="F31" s="53">
        <v>204442.60669276689</v>
      </c>
      <c r="G31" s="53">
        <v>206445.92073019079</v>
      </c>
      <c r="H31" s="53">
        <v>223886.15036140359</v>
      </c>
      <c r="I31" s="53">
        <v>211238.57951980905</v>
      </c>
      <c r="J31" s="53">
        <v>216879.11284126632</v>
      </c>
      <c r="K31" s="53">
        <v>235419.63067710202</v>
      </c>
      <c r="L31" s="53">
        <v>214783.16583566315</v>
      </c>
      <c r="M31" s="53">
        <v>196662.95050247436</v>
      </c>
      <c r="N31" s="7">
        <f>SUM(B31:M31)</f>
        <v>2654259.5030695917</v>
      </c>
      <c r="O31" s="29"/>
    </row>
    <row r="32" spans="1:16" s="6" customFormat="1" ht="15" hidden="1">
      <c r="A32" s="6" t="s">
        <v>38</v>
      </c>
      <c r="B32" s="68"/>
      <c r="C32" s="68"/>
      <c r="D32" s="68"/>
      <c r="E32" s="68"/>
      <c r="F32" s="68"/>
      <c r="G32" s="68"/>
      <c r="H32" s="68"/>
      <c r="I32" s="68"/>
      <c r="J32" s="68"/>
      <c r="K32" s="68"/>
      <c r="L32" s="68"/>
      <c r="M32" s="68"/>
      <c r="N32" s="7">
        <f>SUM(B32:M32)</f>
        <v>0</v>
      </c>
      <c r="O32" s="29"/>
    </row>
    <row r="33" spans="1:16" s="6" customFormat="1" hidden="1">
      <c r="B33" s="15"/>
      <c r="C33" s="15"/>
      <c r="D33" s="15"/>
      <c r="E33" s="15"/>
      <c r="F33" s="15"/>
      <c r="G33" s="15"/>
      <c r="H33" s="15"/>
      <c r="I33" s="15"/>
      <c r="J33" s="15"/>
      <c r="K33" s="15"/>
      <c r="L33" s="15"/>
      <c r="M33" s="15"/>
      <c r="N33" s="15">
        <f>SUM(B33:M33)</f>
        <v>0</v>
      </c>
      <c r="O33" s="29"/>
    </row>
    <row r="34" spans="1:16" s="6" customFormat="1">
      <c r="A34" s="13" t="s">
        <v>43</v>
      </c>
      <c r="B34" s="12">
        <f t="shared" ref="B34:N34" si="6">SUM(B30:B33)</f>
        <v>843413</v>
      </c>
      <c r="C34" s="12">
        <f t="shared" si="6"/>
        <v>889025</v>
      </c>
      <c r="D34" s="12">
        <f t="shared" si="6"/>
        <v>1032924</v>
      </c>
      <c r="E34" s="12">
        <f t="shared" si="6"/>
        <v>1148587.0136611362</v>
      </c>
      <c r="F34" s="12">
        <f t="shared" si="6"/>
        <v>891337.90522347158</v>
      </c>
      <c r="G34" s="12">
        <f t="shared" si="6"/>
        <v>849261.0749068954</v>
      </c>
      <c r="H34" s="12">
        <f t="shared" si="6"/>
        <v>966577.44194934494</v>
      </c>
      <c r="I34" s="12">
        <f t="shared" si="6"/>
        <v>992613.61190757249</v>
      </c>
      <c r="J34" s="12">
        <f t="shared" si="6"/>
        <v>1017721.5031706939</v>
      </c>
      <c r="K34" s="12">
        <f t="shared" si="6"/>
        <v>1079056.5300270435</v>
      </c>
      <c r="L34" s="12">
        <f t="shared" si="6"/>
        <v>909110.79345509061</v>
      </c>
      <c r="M34" s="12">
        <f t="shared" si="6"/>
        <v>702585.72694754286</v>
      </c>
      <c r="N34" s="12">
        <f t="shared" si="6"/>
        <v>11322213.601248793</v>
      </c>
      <c r="O34" s="29"/>
    </row>
    <row r="35" spans="1:16" s="6" customFormat="1">
      <c r="B35" s="7"/>
      <c r="C35" s="7"/>
      <c r="D35" s="7"/>
      <c r="E35" s="7"/>
      <c r="F35" s="7"/>
      <c r="G35" s="7"/>
      <c r="H35" s="7"/>
      <c r="I35" s="7"/>
      <c r="J35" s="7"/>
      <c r="K35" s="7"/>
      <c r="L35" s="7"/>
      <c r="M35" s="7"/>
    </row>
    <row r="36" spans="1:16" s="6" customFormat="1" hidden="1">
      <c r="A36" s="13" t="s">
        <v>44</v>
      </c>
      <c r="B36" s="7"/>
      <c r="C36" s="7"/>
      <c r="D36" s="7"/>
      <c r="E36" s="7"/>
      <c r="F36" s="7"/>
      <c r="G36" s="7"/>
      <c r="H36" s="7"/>
      <c r="I36" s="7"/>
      <c r="J36" s="7"/>
      <c r="K36" s="7"/>
      <c r="L36" s="7"/>
      <c r="M36" s="7"/>
    </row>
    <row r="37" spans="1:16" s="6" customFormat="1" hidden="1">
      <c r="A37" s="6" t="s">
        <v>45</v>
      </c>
      <c r="B37" s="53">
        <v>1312659</v>
      </c>
      <c r="C37" s="53">
        <v>1350844</v>
      </c>
      <c r="D37" s="53">
        <v>1621977</v>
      </c>
      <c r="E37" s="53">
        <v>1774889.2836611362</v>
      </c>
      <c r="F37" s="53">
        <v>1438729.6452234716</v>
      </c>
      <c r="G37" s="66">
        <v>1429801.7349068953</v>
      </c>
      <c r="H37" s="66">
        <v>1473861.9419493449</v>
      </c>
      <c r="I37" s="66">
        <v>1630408.4119075725</v>
      </c>
      <c r="J37" s="66">
        <v>1636445.0631706938</v>
      </c>
      <c r="K37" s="53">
        <v>1704354.0300270435</v>
      </c>
      <c r="L37" s="53">
        <v>1425328.2934550906</v>
      </c>
      <c r="M37" s="53">
        <v>1205462.7296161538</v>
      </c>
      <c r="N37" s="7">
        <f>SUM(B37:M37)</f>
        <v>18004761.133917402</v>
      </c>
      <c r="O37" s="29"/>
    </row>
    <row r="38" spans="1:16" s="6" customFormat="1" hidden="1">
      <c r="A38" s="6" t="s">
        <v>46</v>
      </c>
      <c r="B38" s="7">
        <f>-B34</f>
        <v>-843413</v>
      </c>
      <c r="C38" s="7">
        <f t="shared" ref="C38:M38" si="7">-C34</f>
        <v>-889025</v>
      </c>
      <c r="D38" s="7">
        <f t="shared" si="7"/>
        <v>-1032924</v>
      </c>
      <c r="E38" s="7">
        <f t="shared" si="7"/>
        <v>-1148587.0136611362</v>
      </c>
      <c r="F38" s="7">
        <f t="shared" si="7"/>
        <v>-891337.90522347158</v>
      </c>
      <c r="G38" s="7">
        <f t="shared" si="7"/>
        <v>-849261.0749068954</v>
      </c>
      <c r="H38" s="7">
        <f t="shared" si="7"/>
        <v>-966577.44194934494</v>
      </c>
      <c r="I38" s="7">
        <f t="shared" si="7"/>
        <v>-992613.61190757249</v>
      </c>
      <c r="J38" s="7">
        <f t="shared" si="7"/>
        <v>-1017721.5031706939</v>
      </c>
      <c r="K38" s="7">
        <f t="shared" si="7"/>
        <v>-1079056.5300270435</v>
      </c>
      <c r="L38" s="7">
        <f t="shared" si="7"/>
        <v>-909110.79345509061</v>
      </c>
      <c r="M38" s="7">
        <f t="shared" si="7"/>
        <v>-702585.72694754286</v>
      </c>
      <c r="N38" s="7">
        <f>SUM(B38:M38)</f>
        <v>-11322213.60124879</v>
      </c>
      <c r="O38" s="29"/>
    </row>
    <row r="39" spans="1:16" s="6" customFormat="1" hidden="1">
      <c r="A39" s="6" t="s">
        <v>47</v>
      </c>
      <c r="B39" s="72">
        <v>-77862</v>
      </c>
      <c r="C39" s="72">
        <v>-77862</v>
      </c>
      <c r="D39" s="72">
        <v>-77862</v>
      </c>
      <c r="E39" s="72">
        <v>-83801</v>
      </c>
      <c r="F39" s="72">
        <v>-83801</v>
      </c>
      <c r="G39" s="72">
        <v>-83801</v>
      </c>
      <c r="H39" s="72">
        <v>-85493</v>
      </c>
      <c r="I39" s="72">
        <v>-85493</v>
      </c>
      <c r="J39" s="72">
        <v>-85493</v>
      </c>
      <c r="K39" s="72">
        <v>-85493</v>
      </c>
      <c r="L39" s="72">
        <v>-85493</v>
      </c>
      <c r="M39" s="72">
        <v>-85493</v>
      </c>
      <c r="N39" s="42">
        <f>SUM(B39:M39)</f>
        <v>-997947</v>
      </c>
      <c r="O39" s="88"/>
      <c r="P39" s="42"/>
    </row>
    <row r="40" spans="1:16" s="6" customFormat="1" hidden="1">
      <c r="A40" s="6" t="s">
        <v>124</v>
      </c>
      <c r="B40" s="53">
        <v>-8600</v>
      </c>
      <c r="C40" s="53">
        <v>-8600</v>
      </c>
      <c r="D40" s="53">
        <v>-8600</v>
      </c>
      <c r="E40" s="53">
        <v>-8593</v>
      </c>
      <c r="F40" s="53">
        <v>-8593</v>
      </c>
      <c r="G40" s="53">
        <v>-8776</v>
      </c>
      <c r="H40" s="53">
        <v>-8893</v>
      </c>
      <c r="I40" s="53">
        <v>-8893</v>
      </c>
      <c r="J40" s="53">
        <v>-8893</v>
      </c>
      <c r="K40" s="53">
        <v>-8893</v>
      </c>
      <c r="L40" s="53">
        <v>-8893</v>
      </c>
      <c r="M40" s="53">
        <v>-8893</v>
      </c>
      <c r="N40" s="42">
        <f>SUM(B40:M40)</f>
        <v>-105120</v>
      </c>
      <c r="O40" s="88"/>
      <c r="P40" s="58"/>
    </row>
    <row r="41" spans="1:16" s="6" customFormat="1" hidden="1">
      <c r="A41" s="6" t="s">
        <v>48</v>
      </c>
      <c r="B41" s="60">
        <v>-4150</v>
      </c>
      <c r="C41" s="60">
        <v>-4250</v>
      </c>
      <c r="D41" s="60">
        <v>-4250</v>
      </c>
      <c r="E41" s="60">
        <v>-4250</v>
      </c>
      <c r="F41" s="60">
        <v>-4250</v>
      </c>
      <c r="G41" s="60">
        <v>-10050</v>
      </c>
      <c r="H41" s="60">
        <v>-4250</v>
      </c>
      <c r="I41" s="60">
        <v>-4250</v>
      </c>
      <c r="J41" s="60">
        <v>-4550</v>
      </c>
      <c r="K41" s="60">
        <v>-4550</v>
      </c>
      <c r="L41" s="60">
        <v>-4550</v>
      </c>
      <c r="M41" s="60">
        <v>-90050</v>
      </c>
      <c r="N41" s="43">
        <f>SUM(B41:M41)</f>
        <v>-143400</v>
      </c>
      <c r="O41" s="88"/>
      <c r="P41" s="42">
        <f>SUM(N39:N41)</f>
        <v>-1246467</v>
      </c>
    </row>
    <row r="42" spans="1:16" s="6" customFormat="1">
      <c r="A42" s="13" t="s">
        <v>49</v>
      </c>
      <c r="B42" s="12">
        <f t="shared" ref="B42:N42" si="8">SUM(B37:B41)</f>
        <v>378634</v>
      </c>
      <c r="C42" s="12">
        <f t="shared" si="8"/>
        <v>371107</v>
      </c>
      <c r="D42" s="12">
        <f t="shared" si="8"/>
        <v>498341</v>
      </c>
      <c r="E42" s="12">
        <f t="shared" si="8"/>
        <v>529658.27</v>
      </c>
      <c r="F42" s="12">
        <f t="shared" si="8"/>
        <v>450747.74</v>
      </c>
      <c r="G42" s="12">
        <f t="shared" si="8"/>
        <v>477913.65999999992</v>
      </c>
      <c r="H42" s="12">
        <f t="shared" si="8"/>
        <v>408648.5</v>
      </c>
      <c r="I42" s="12">
        <f t="shared" si="8"/>
        <v>539158.80000000005</v>
      </c>
      <c r="J42" s="12">
        <f t="shared" si="8"/>
        <v>519787.55999999994</v>
      </c>
      <c r="K42" s="12">
        <f t="shared" si="8"/>
        <v>526361.5</v>
      </c>
      <c r="L42" s="12">
        <f t="shared" si="8"/>
        <v>417281.5</v>
      </c>
      <c r="M42" s="12">
        <f t="shared" si="8"/>
        <v>318441.00266861089</v>
      </c>
      <c r="N42" s="12">
        <f t="shared" si="8"/>
        <v>5436080.5326686129</v>
      </c>
      <c r="O42" s="29"/>
    </row>
    <row r="43" spans="1:16">
      <c r="A43" s="1"/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2"/>
      <c r="N43" s="12"/>
      <c r="O43" s="6"/>
    </row>
    <row r="44" spans="1:16" hidden="1">
      <c r="A44" s="13" t="s">
        <v>50</v>
      </c>
      <c r="B44" s="53">
        <v>313331</v>
      </c>
      <c r="C44" s="53">
        <v>400498</v>
      </c>
      <c r="D44" s="53">
        <v>331729</v>
      </c>
      <c r="E44" s="53">
        <v>401721</v>
      </c>
      <c r="F44" s="53">
        <v>399609</v>
      </c>
      <c r="G44" s="53">
        <v>347041</v>
      </c>
      <c r="H44" s="53">
        <v>380274</v>
      </c>
      <c r="I44" s="53">
        <v>344745</v>
      </c>
      <c r="J44" s="53">
        <v>339892</v>
      </c>
      <c r="K44" s="53">
        <v>384523</v>
      </c>
      <c r="L44" s="53">
        <v>298207</v>
      </c>
      <c r="M44" s="53">
        <v>669637</v>
      </c>
      <c r="N44" s="12">
        <f>SUM(B44:M44)</f>
        <v>4611207</v>
      </c>
      <c r="O44" s="29"/>
      <c r="P44" s="25"/>
    </row>
    <row r="45" spans="1:16" hidden="1">
      <c r="A45" s="6" t="s">
        <v>107</v>
      </c>
      <c r="B45" s="22"/>
      <c r="C45" s="22"/>
      <c r="D45" s="22"/>
      <c r="E45" s="22"/>
      <c r="F45" s="22"/>
      <c r="G45" s="22"/>
      <c r="H45" s="22"/>
      <c r="I45" s="22"/>
      <c r="J45" s="22"/>
      <c r="K45" s="22"/>
      <c r="L45" s="22"/>
      <c r="M45" s="22"/>
      <c r="N45" s="22">
        <f>SUM(B45:M45)</f>
        <v>0</v>
      </c>
      <c r="O45" s="29"/>
    </row>
    <row r="46" spans="1:16">
      <c r="A46" s="1" t="s">
        <v>50</v>
      </c>
      <c r="B46" s="12">
        <f>SUM(B44:B45)</f>
        <v>313331</v>
      </c>
      <c r="C46" s="12">
        <f>SUM(C44:C45)</f>
        <v>400498</v>
      </c>
      <c r="D46" s="12">
        <f t="shared" ref="D46:N46" si="9">SUM(D44:D45)</f>
        <v>331729</v>
      </c>
      <c r="E46" s="12">
        <f t="shared" si="9"/>
        <v>401721</v>
      </c>
      <c r="F46" s="12">
        <f t="shared" si="9"/>
        <v>399609</v>
      </c>
      <c r="G46" s="12">
        <f t="shared" si="9"/>
        <v>347041</v>
      </c>
      <c r="H46" s="12">
        <f t="shared" si="9"/>
        <v>380274</v>
      </c>
      <c r="I46" s="12">
        <f t="shared" si="9"/>
        <v>344745</v>
      </c>
      <c r="J46" s="12">
        <f t="shared" si="9"/>
        <v>339892</v>
      </c>
      <c r="K46" s="12">
        <f t="shared" si="9"/>
        <v>384523</v>
      </c>
      <c r="L46" s="12">
        <f t="shared" si="9"/>
        <v>298207</v>
      </c>
      <c r="M46" s="12">
        <f t="shared" si="9"/>
        <v>669637</v>
      </c>
      <c r="N46" s="12">
        <f t="shared" si="9"/>
        <v>4611207</v>
      </c>
      <c r="O46" s="29"/>
    </row>
    <row r="47" spans="1:16">
      <c r="B47" s="7"/>
      <c r="C47" s="7"/>
      <c r="D47" s="7"/>
      <c r="E47" s="7"/>
      <c r="F47" s="7"/>
      <c r="G47" s="7"/>
      <c r="H47" s="7"/>
      <c r="I47" s="7"/>
      <c r="J47" s="7"/>
      <c r="K47" s="6"/>
      <c r="L47" s="6"/>
      <c r="M47" s="6"/>
      <c r="N47" s="6"/>
      <c r="O47" s="6"/>
    </row>
    <row r="48" spans="1:16">
      <c r="A48" s="13" t="s">
        <v>52</v>
      </c>
      <c r="B48" s="19">
        <f t="shared" ref="B48:N48" si="10">+B20+B34+B42+B46</f>
        <v>2324916</v>
      </c>
      <c r="C48" s="19">
        <f t="shared" si="10"/>
        <v>4203462</v>
      </c>
      <c r="D48" s="19">
        <f t="shared" si="10"/>
        <v>3533906</v>
      </c>
      <c r="E48" s="19">
        <f t="shared" si="10"/>
        <v>3376406.924941136</v>
      </c>
      <c r="F48" s="19">
        <f t="shared" si="10"/>
        <v>2599565.5969434716</v>
      </c>
      <c r="G48" s="19">
        <f t="shared" si="10"/>
        <v>2546618.7725768955</v>
      </c>
      <c r="H48" s="19">
        <f t="shared" si="10"/>
        <v>3951590.9775393447</v>
      </c>
      <c r="I48" s="19">
        <f t="shared" si="10"/>
        <v>3115272.8326875726</v>
      </c>
      <c r="J48" s="19">
        <f t="shared" si="10"/>
        <v>3169697.6409406937</v>
      </c>
      <c r="K48" s="19">
        <f t="shared" si="10"/>
        <v>3235617.8755670437</v>
      </c>
      <c r="L48" s="19">
        <f t="shared" si="10"/>
        <v>2797336.6702150907</v>
      </c>
      <c r="M48" s="19">
        <f t="shared" si="10"/>
        <v>2417282.7903261539</v>
      </c>
      <c r="N48" s="19">
        <f t="shared" si="10"/>
        <v>37271674.081737407</v>
      </c>
      <c r="O48" s="29"/>
      <c r="P48" s="25"/>
    </row>
    <row r="49" spans="1:26">
      <c r="B49" s="7"/>
      <c r="C49" s="7"/>
      <c r="D49" s="7"/>
      <c r="E49" s="7"/>
      <c r="F49" s="7"/>
      <c r="G49" s="7"/>
      <c r="H49" s="7"/>
      <c r="I49" s="7"/>
      <c r="J49" s="7"/>
      <c r="K49" s="6"/>
      <c r="L49" s="6"/>
      <c r="M49" s="6"/>
      <c r="N49" s="6"/>
      <c r="O49" s="6"/>
    </row>
    <row r="50" spans="1:26">
      <c r="A50" s="1" t="s">
        <v>53</v>
      </c>
      <c r="B50" s="12">
        <f t="shared" ref="B50:M50" si="11">+B13-B48</f>
        <v>-693145</v>
      </c>
      <c r="C50" s="12">
        <f t="shared" si="11"/>
        <v>80372</v>
      </c>
      <c r="D50" s="12">
        <f t="shared" si="11"/>
        <v>843693.40000000037</v>
      </c>
      <c r="E50" s="12">
        <f t="shared" si="11"/>
        <v>595109.68371886434</v>
      </c>
      <c r="F50" s="12">
        <f t="shared" si="11"/>
        <v>16546.964496528264</v>
      </c>
      <c r="G50" s="12">
        <f t="shared" si="11"/>
        <v>-19981.748596895486</v>
      </c>
      <c r="H50" s="12">
        <f t="shared" si="11"/>
        <v>128524.42741065565</v>
      </c>
      <c r="I50" s="12">
        <f t="shared" si="11"/>
        <v>469407.90022242721</v>
      </c>
      <c r="J50" s="12">
        <f t="shared" si="11"/>
        <v>621111.75009930646</v>
      </c>
      <c r="K50" s="12">
        <f t="shared" si="11"/>
        <v>191126.32640295662</v>
      </c>
      <c r="L50" s="12">
        <f t="shared" si="11"/>
        <v>199362.9783349093</v>
      </c>
      <c r="M50" s="12">
        <f t="shared" si="11"/>
        <v>-916951.63903615391</v>
      </c>
      <c r="N50" s="12">
        <f>SUM(B50:M50)</f>
        <v>1515177.0430525988</v>
      </c>
      <c r="O50" s="7"/>
      <c r="P50" s="25">
        <f>+N50</f>
        <v>1515177.0430525988</v>
      </c>
    </row>
    <row r="51" spans="1:26" ht="7.5" customHeight="1">
      <c r="B51" s="7"/>
      <c r="C51" s="7"/>
      <c r="D51" s="7"/>
      <c r="E51" s="7"/>
      <c r="F51" s="7"/>
      <c r="G51" s="7"/>
      <c r="H51" s="7"/>
      <c r="I51" s="7"/>
      <c r="J51" s="7"/>
      <c r="K51" s="6"/>
      <c r="L51" s="6"/>
      <c r="M51" s="6"/>
      <c r="N51" s="6"/>
      <c r="O51" s="6"/>
    </row>
    <row r="52" spans="1:26">
      <c r="A52" s="1" t="s">
        <v>54</v>
      </c>
      <c r="B52" s="7"/>
      <c r="C52" s="7"/>
      <c r="D52" s="7"/>
      <c r="E52" s="7"/>
      <c r="F52" s="7"/>
      <c r="G52" s="7"/>
      <c r="H52" s="7"/>
      <c r="I52" s="7"/>
      <c r="J52" s="7"/>
      <c r="K52" s="6"/>
      <c r="L52" s="6"/>
      <c r="M52" s="6"/>
      <c r="N52" s="6"/>
      <c r="O52" s="6"/>
      <c r="P52" s="2">
        <f>SUM(P41:P50)</f>
        <v>268710.04305259883</v>
      </c>
    </row>
    <row r="53" spans="1:26" s="6" customFormat="1">
      <c r="A53" s="6" t="s">
        <v>55</v>
      </c>
      <c r="B53" s="10">
        <v>17969</v>
      </c>
      <c r="C53" s="10">
        <v>47133.55</v>
      </c>
      <c r="D53" s="10">
        <v>79271.41</v>
      </c>
      <c r="E53" s="10">
        <v>95000</v>
      </c>
      <c r="F53" s="10">
        <v>35000</v>
      </c>
      <c r="G53" s="10">
        <v>32000</v>
      </c>
      <c r="H53" s="23">
        <v>10000</v>
      </c>
      <c r="I53" s="10">
        <v>20000</v>
      </c>
      <c r="J53" s="10">
        <v>10000</v>
      </c>
      <c r="K53" s="10">
        <v>110000</v>
      </c>
      <c r="L53" s="10">
        <v>10000</v>
      </c>
      <c r="M53" s="10">
        <v>10000</v>
      </c>
      <c r="N53" s="10">
        <f>SUM(B53:M53)</f>
        <v>476373.96</v>
      </c>
      <c r="O53" s="10"/>
      <c r="P53" s="40"/>
      <c r="Z53" s="40"/>
    </row>
    <row r="54" spans="1:26" s="6" customFormat="1">
      <c r="A54" s="6" t="s">
        <v>96</v>
      </c>
      <c r="B54" s="10"/>
      <c r="C54" s="10"/>
      <c r="D54" s="10"/>
      <c r="E54" s="10"/>
      <c r="F54" s="10">
        <v>90000</v>
      </c>
      <c r="G54" s="10"/>
      <c r="H54" s="10"/>
      <c r="I54" s="10"/>
      <c r="J54" s="10"/>
      <c r="K54" s="10"/>
      <c r="L54" s="10"/>
      <c r="M54" s="10"/>
      <c r="N54" s="10">
        <f>SUM(B54:M54)</f>
        <v>90000</v>
      </c>
    </row>
    <row r="55" spans="1:26" s="6" customFormat="1">
      <c r="A55" s="6" t="s">
        <v>111</v>
      </c>
      <c r="B55" s="10">
        <v>425857</v>
      </c>
      <c r="C55" s="10"/>
      <c r="D55" s="10"/>
      <c r="E55" s="10"/>
      <c r="F55" s="10"/>
      <c r="G55" s="10"/>
      <c r="H55" s="10"/>
      <c r="I55" s="10"/>
      <c r="J55" s="10"/>
      <c r="K55" s="10"/>
      <c r="L55" s="10">
        <v>0</v>
      </c>
      <c r="M55" s="56"/>
      <c r="N55" s="10">
        <f>SUM(B55:M55)</f>
        <v>425857</v>
      </c>
    </row>
    <row r="56" spans="1:26" s="6" customFormat="1">
      <c r="A56" s="37" t="s">
        <v>58</v>
      </c>
      <c r="B56" s="7">
        <v>-14346</v>
      </c>
      <c r="C56" s="7">
        <v>-15057</v>
      </c>
      <c r="D56" s="7">
        <v>-19542</v>
      </c>
      <c r="E56" s="7">
        <v>-25000</v>
      </c>
      <c r="F56" s="7">
        <v>-25000</v>
      </c>
      <c r="G56" s="7">
        <v>-20000</v>
      </c>
      <c r="H56" s="7">
        <v>-25000</v>
      </c>
      <c r="I56" s="7">
        <v>-25000</v>
      </c>
      <c r="J56" s="7">
        <v>-20000</v>
      </c>
      <c r="K56" s="7">
        <v>-25000</v>
      </c>
      <c r="L56" s="7">
        <v>-25000</v>
      </c>
      <c r="M56" s="7">
        <v>-20000</v>
      </c>
      <c r="N56" s="7">
        <f>SUM(B56:M56)</f>
        <v>-258945</v>
      </c>
      <c r="O56" s="7"/>
    </row>
    <row r="57" spans="1:26" s="6" customFormat="1">
      <c r="A57" s="6" t="s">
        <v>59</v>
      </c>
      <c r="B57" s="22">
        <v>-29008</v>
      </c>
      <c r="C57" s="22">
        <v>209614</v>
      </c>
      <c r="D57" s="22">
        <v>-83076</v>
      </c>
      <c r="E57" s="22">
        <v>-25000</v>
      </c>
      <c r="F57" s="22">
        <v>-25000</v>
      </c>
      <c r="G57" s="22">
        <v>-25000</v>
      </c>
      <c r="H57" s="22">
        <v>-25000</v>
      </c>
      <c r="I57" s="22">
        <v>-25000</v>
      </c>
      <c r="J57" s="22">
        <v>-25000</v>
      </c>
      <c r="K57" s="22">
        <v>-25000</v>
      </c>
      <c r="L57" s="22">
        <v>-25000</v>
      </c>
      <c r="M57" s="22">
        <v>-25000</v>
      </c>
      <c r="N57" s="22">
        <f>SUM(B57:M57)</f>
        <v>-127470</v>
      </c>
      <c r="O57" s="56"/>
    </row>
    <row r="58" spans="1:26" s="6" customFormat="1">
      <c r="A58" s="13" t="s">
        <v>60</v>
      </c>
      <c r="B58" s="19">
        <f t="shared" ref="B58:N58" si="12">SUM(B53:B57)</f>
        <v>400472</v>
      </c>
      <c r="C58" s="19">
        <f t="shared" si="12"/>
        <v>241690.55</v>
      </c>
      <c r="D58" s="19">
        <f t="shared" si="12"/>
        <v>-23346.589999999997</v>
      </c>
      <c r="E58" s="19">
        <f t="shared" si="12"/>
        <v>45000</v>
      </c>
      <c r="F58" s="19">
        <f t="shared" si="12"/>
        <v>75000</v>
      </c>
      <c r="G58" s="19">
        <f t="shared" si="12"/>
        <v>-13000</v>
      </c>
      <c r="H58" s="19">
        <f>SUM(H53:H57)</f>
        <v>-40000</v>
      </c>
      <c r="I58" s="19">
        <f t="shared" si="12"/>
        <v>-30000</v>
      </c>
      <c r="J58" s="19">
        <f t="shared" si="12"/>
        <v>-35000</v>
      </c>
      <c r="K58" s="19">
        <f t="shared" si="12"/>
        <v>60000</v>
      </c>
      <c r="L58" s="19">
        <f t="shared" si="12"/>
        <v>-40000</v>
      </c>
      <c r="M58" s="19">
        <f t="shared" si="12"/>
        <v>-35000</v>
      </c>
      <c r="N58" s="19">
        <f t="shared" si="12"/>
        <v>605815.96</v>
      </c>
      <c r="O58" s="29"/>
    </row>
    <row r="59" spans="1:26">
      <c r="B59" s="7"/>
      <c r="C59" s="7"/>
      <c r="D59" s="7"/>
      <c r="E59" s="7"/>
      <c r="F59" s="7"/>
      <c r="G59" s="7"/>
      <c r="H59" s="7"/>
      <c r="I59" s="7"/>
      <c r="J59" s="7"/>
      <c r="K59" s="7"/>
      <c r="L59" s="7"/>
      <c r="M59" s="7"/>
      <c r="N59" s="7"/>
      <c r="O59" s="6"/>
    </row>
    <row r="60" spans="1:26">
      <c r="A60" s="1" t="s">
        <v>61</v>
      </c>
      <c r="B60" s="12">
        <v>13598947</v>
      </c>
      <c r="C60" s="7"/>
      <c r="D60" s="7"/>
      <c r="E60" s="7"/>
      <c r="F60" s="7"/>
      <c r="G60" s="7"/>
      <c r="H60" s="7" t="s">
        <v>38</v>
      </c>
      <c r="I60" s="7"/>
      <c r="J60" s="7"/>
      <c r="K60" s="6"/>
      <c r="L60" s="6"/>
      <c r="M60" s="6"/>
      <c r="N60" s="6"/>
      <c r="O60" s="6"/>
    </row>
    <row r="61" spans="1:26">
      <c r="A61" s="13" t="s">
        <v>62</v>
      </c>
      <c r="B61" s="19">
        <f t="shared" ref="B61:N61" si="13">+B58+B48</f>
        <v>2725388</v>
      </c>
      <c r="C61" s="19">
        <f t="shared" si="13"/>
        <v>4445152.55</v>
      </c>
      <c r="D61" s="19">
        <f t="shared" si="13"/>
        <v>3510559.41</v>
      </c>
      <c r="E61" s="19">
        <f t="shared" si="13"/>
        <v>3421406.924941136</v>
      </c>
      <c r="F61" s="19">
        <f t="shared" si="13"/>
        <v>2674565.5969434716</v>
      </c>
      <c r="G61" s="19">
        <f t="shared" si="13"/>
        <v>2533618.7725768955</v>
      </c>
      <c r="H61" s="19">
        <f t="shared" si="13"/>
        <v>3911590.9775393447</v>
      </c>
      <c r="I61" s="19">
        <f t="shared" si="13"/>
        <v>3085272.8326875726</v>
      </c>
      <c r="J61" s="19">
        <f t="shared" si="13"/>
        <v>3134697.6409406937</v>
      </c>
      <c r="K61" s="19">
        <f t="shared" si="13"/>
        <v>3295617.8755670437</v>
      </c>
      <c r="L61" s="19">
        <f t="shared" si="13"/>
        <v>2757336.6702150907</v>
      </c>
      <c r="M61" s="19">
        <f t="shared" si="13"/>
        <v>2382282.7903261539</v>
      </c>
      <c r="N61" s="19">
        <f t="shared" si="13"/>
        <v>37877490.041737407</v>
      </c>
      <c r="O61" s="29"/>
    </row>
    <row r="62" spans="1:26" ht="13.5" thickBot="1">
      <c r="A62" s="13" t="s">
        <v>63</v>
      </c>
      <c r="B62" s="14">
        <f t="shared" ref="B62:N62" si="14">+B13-B61</f>
        <v>-1093617</v>
      </c>
      <c r="C62" s="14">
        <f t="shared" si="14"/>
        <v>-161318.54999999981</v>
      </c>
      <c r="D62" s="14">
        <f t="shared" si="14"/>
        <v>867039.99000000022</v>
      </c>
      <c r="E62" s="14">
        <f t="shared" si="14"/>
        <v>550109.68371886434</v>
      </c>
      <c r="F62" s="14">
        <f t="shared" si="14"/>
        <v>-58453.035503471736</v>
      </c>
      <c r="G62" s="14">
        <f t="shared" si="14"/>
        <v>-6981.7485968954861</v>
      </c>
      <c r="H62" s="14">
        <f t="shared" si="14"/>
        <v>168524.42741065565</v>
      </c>
      <c r="I62" s="14">
        <f t="shared" si="14"/>
        <v>499407.90022242721</v>
      </c>
      <c r="J62" s="14">
        <f t="shared" si="14"/>
        <v>656111.75009930646</v>
      </c>
      <c r="K62" s="14">
        <f t="shared" si="14"/>
        <v>131126.32640295662</v>
      </c>
      <c r="L62" s="14">
        <f t="shared" si="14"/>
        <v>239362.9783349093</v>
      </c>
      <c r="M62" s="14">
        <f t="shared" si="14"/>
        <v>-881951.63903615391</v>
      </c>
      <c r="N62" s="14">
        <f t="shared" si="14"/>
        <v>909361.08305259794</v>
      </c>
      <c r="O62" s="29"/>
    </row>
    <row r="63" spans="1:26" s="6" customFormat="1" ht="13.5" thickTop="1">
      <c r="A63" s="13" t="s">
        <v>64</v>
      </c>
      <c r="B63" s="12">
        <f>+B62</f>
        <v>-1093617</v>
      </c>
      <c r="C63" s="12">
        <f t="shared" ref="C63:M63" si="15">B63+C62</f>
        <v>-1254935.5499999998</v>
      </c>
      <c r="D63" s="12">
        <f t="shared" si="15"/>
        <v>-387895.55999999959</v>
      </c>
      <c r="E63" s="12">
        <f t="shared" si="15"/>
        <v>162214.12371886475</v>
      </c>
      <c r="F63" s="12">
        <f t="shared" si="15"/>
        <v>103761.08821539301</v>
      </c>
      <c r="G63" s="12">
        <f t="shared" si="15"/>
        <v>96779.339618497528</v>
      </c>
      <c r="H63" s="12">
        <f t="shared" si="15"/>
        <v>265303.76702915318</v>
      </c>
      <c r="I63" s="12">
        <f t="shared" si="15"/>
        <v>764711.66725158039</v>
      </c>
      <c r="J63" s="12">
        <f t="shared" si="15"/>
        <v>1420823.4173508869</v>
      </c>
      <c r="K63" s="12">
        <f t="shared" si="15"/>
        <v>1551949.7437538435</v>
      </c>
      <c r="L63" s="12">
        <f t="shared" si="15"/>
        <v>1791312.7220887528</v>
      </c>
      <c r="M63" s="12">
        <f t="shared" si="15"/>
        <v>909361.08305259887</v>
      </c>
      <c r="N63" s="12"/>
    </row>
    <row r="64" spans="1:26">
      <c r="A64" s="13" t="s">
        <v>65</v>
      </c>
      <c r="B64" s="12">
        <f t="shared" ref="B64:M64" si="16">+$B$60+B63</f>
        <v>12505330</v>
      </c>
      <c r="C64" s="12">
        <f t="shared" si="16"/>
        <v>12344011.449999999</v>
      </c>
      <c r="D64" s="12">
        <f t="shared" si="16"/>
        <v>13211051.440000001</v>
      </c>
      <c r="E64" s="12">
        <f t="shared" si="16"/>
        <v>13761161.123718865</v>
      </c>
      <c r="F64" s="12">
        <f t="shared" si="16"/>
        <v>13702708.088215392</v>
      </c>
      <c r="G64" s="12">
        <f t="shared" si="16"/>
        <v>13695726.339618497</v>
      </c>
      <c r="H64" s="12">
        <f t="shared" si="16"/>
        <v>13864250.767029153</v>
      </c>
      <c r="I64" s="12">
        <f t="shared" si="16"/>
        <v>14363658.667251579</v>
      </c>
      <c r="J64" s="12">
        <f t="shared" si="16"/>
        <v>15019770.417350886</v>
      </c>
      <c r="K64" s="12">
        <f t="shared" si="16"/>
        <v>15150896.743753843</v>
      </c>
      <c r="L64" s="12">
        <f t="shared" si="16"/>
        <v>15390259.722088752</v>
      </c>
      <c r="M64" s="12">
        <f t="shared" si="16"/>
        <v>14508308.083052598</v>
      </c>
      <c r="N64" s="12"/>
      <c r="O64" s="6"/>
    </row>
    <row r="65" spans="1:15">
      <c r="A65" s="6"/>
      <c r="B65" s="7"/>
      <c r="C65" s="7"/>
      <c r="D65" s="7"/>
      <c r="E65" s="7"/>
      <c r="F65" s="7"/>
      <c r="G65" s="7"/>
      <c r="H65" s="7"/>
      <c r="I65" s="7"/>
      <c r="J65" s="7"/>
      <c r="K65" s="6"/>
      <c r="L65" s="6"/>
      <c r="M65" s="6"/>
      <c r="N65" s="6"/>
      <c r="O65" s="6"/>
    </row>
    <row r="66" spans="1:15" s="6" customFormat="1">
      <c r="A66" s="17" t="s">
        <v>114</v>
      </c>
      <c r="B66" s="18"/>
      <c r="C66" s="18"/>
      <c r="D66" s="18"/>
      <c r="E66" s="18"/>
      <c r="F66" s="18"/>
      <c r="G66" s="18"/>
      <c r="H66" s="18"/>
      <c r="I66" s="18"/>
      <c r="J66" s="18"/>
      <c r="K66" s="18"/>
      <c r="L66" s="18"/>
      <c r="M66" s="18"/>
      <c r="N66" s="18"/>
    </row>
    <row r="67" spans="1:15" ht="13.5" thickBot="1">
      <c r="A67" s="13" t="s">
        <v>67</v>
      </c>
      <c r="B67" s="30">
        <v>-1263474.9897115808</v>
      </c>
      <c r="C67" s="30">
        <v>-102010.94887173455</v>
      </c>
      <c r="D67" s="14">
        <v>854641.48144806735</v>
      </c>
      <c r="E67" s="14">
        <v>550109.68371886434</v>
      </c>
      <c r="F67" s="14">
        <v>-58453.035503471736</v>
      </c>
      <c r="G67" s="14">
        <v>-6981.7485968954861</v>
      </c>
      <c r="H67" s="14">
        <v>168524.42741065565</v>
      </c>
      <c r="I67" s="14">
        <v>499407.90022242721</v>
      </c>
      <c r="J67" s="14">
        <v>656111.75009930646</v>
      </c>
      <c r="K67" s="14">
        <v>131126.32640295662</v>
      </c>
      <c r="L67" s="14">
        <v>239362.9783349093</v>
      </c>
      <c r="M67" s="14">
        <v>-881951.63903615391</v>
      </c>
      <c r="N67" s="16"/>
      <c r="O67" s="6"/>
    </row>
    <row r="68" spans="1:15" ht="13.5" thickTop="1">
      <c r="A68" s="13" t="s">
        <v>64</v>
      </c>
      <c r="B68" s="32">
        <f>+B67</f>
        <v>-1263474.9897115808</v>
      </c>
      <c r="C68" s="32">
        <f>+B68+C67</f>
        <v>-1365485.9385833154</v>
      </c>
      <c r="D68" s="12">
        <f t="shared" ref="D68:M68" si="17">+C68+D67</f>
        <v>-510844.457135248</v>
      </c>
      <c r="E68" s="12">
        <f t="shared" si="17"/>
        <v>39265.226583616342</v>
      </c>
      <c r="F68" s="12">
        <f t="shared" si="17"/>
        <v>-19187.808919855393</v>
      </c>
      <c r="G68" s="12">
        <f t="shared" si="17"/>
        <v>-26169.55751675088</v>
      </c>
      <c r="H68" s="12">
        <f t="shared" si="17"/>
        <v>142354.86989390478</v>
      </c>
      <c r="I68" s="12">
        <f t="shared" si="17"/>
        <v>641762.77011633199</v>
      </c>
      <c r="J68" s="12">
        <f t="shared" si="17"/>
        <v>1297874.5202156384</v>
      </c>
      <c r="K68" s="12">
        <f t="shared" si="17"/>
        <v>1429000.8466185951</v>
      </c>
      <c r="L68" s="12">
        <f t="shared" si="17"/>
        <v>1668363.8249535044</v>
      </c>
      <c r="M68" s="12">
        <f t="shared" si="17"/>
        <v>786412.18591735046</v>
      </c>
      <c r="N68" s="16"/>
      <c r="O68" s="6"/>
    </row>
    <row r="69" spans="1:15">
      <c r="A69" s="13" t="s">
        <v>65</v>
      </c>
      <c r="B69" s="12">
        <v>12917512</v>
      </c>
      <c r="C69" s="12">
        <v>12793700</v>
      </c>
      <c r="D69" s="12">
        <v>13941855</v>
      </c>
      <c r="E69" s="12">
        <v>14525011</v>
      </c>
      <c r="F69" s="12">
        <v>14399159</v>
      </c>
      <c r="G69" s="12">
        <v>14361469</v>
      </c>
      <c r="H69" s="12">
        <v>14462138</v>
      </c>
      <c r="I69" s="12">
        <v>15244556</v>
      </c>
      <c r="J69" s="12">
        <v>15579898</v>
      </c>
      <c r="K69" s="12">
        <v>15948341</v>
      </c>
      <c r="L69" s="12">
        <v>16058562</v>
      </c>
      <c r="M69" s="12">
        <v>14998982</v>
      </c>
      <c r="N69" s="12"/>
      <c r="O69" s="6"/>
    </row>
    <row r="70" spans="1:15">
      <c r="A70" s="6"/>
      <c r="B70" s="6"/>
      <c r="C70" s="6"/>
      <c r="E70" s="6"/>
      <c r="F70" s="6"/>
      <c r="H70" s="6"/>
      <c r="I70" s="6"/>
      <c r="J70" s="6"/>
      <c r="K70" s="6"/>
      <c r="L70" s="6"/>
      <c r="M70" s="6"/>
      <c r="N70" s="6"/>
      <c r="O70" s="6"/>
    </row>
    <row r="71" spans="1:15">
      <c r="A71" s="24" t="s">
        <v>68</v>
      </c>
      <c r="B71" s="18"/>
      <c r="C71" s="18"/>
      <c r="D71" s="18"/>
      <c r="E71" s="18"/>
      <c r="F71" s="18"/>
      <c r="G71" s="18"/>
      <c r="H71" s="18"/>
      <c r="I71" s="18"/>
      <c r="J71" s="18"/>
      <c r="K71" s="18"/>
      <c r="L71" s="18"/>
      <c r="M71" s="18"/>
      <c r="N71" s="18"/>
      <c r="O71" s="6"/>
    </row>
    <row r="72" spans="1:15">
      <c r="A72" s="13" t="s">
        <v>63</v>
      </c>
      <c r="B72" s="31">
        <f t="shared" ref="B72:N74" si="18">+B62-B67</f>
        <v>169857.9897115808</v>
      </c>
      <c r="C72" s="31">
        <f t="shared" si="18"/>
        <v>-59307.601128265262</v>
      </c>
      <c r="D72" s="16">
        <f t="shared" si="18"/>
        <v>12398.508551932871</v>
      </c>
      <c r="E72" s="31">
        <f t="shared" si="18"/>
        <v>0</v>
      </c>
      <c r="F72" s="31">
        <f t="shared" si="18"/>
        <v>0</v>
      </c>
      <c r="G72" s="31">
        <f t="shared" si="18"/>
        <v>0</v>
      </c>
      <c r="H72" s="31">
        <f t="shared" si="18"/>
        <v>0</v>
      </c>
      <c r="I72" s="31">
        <f t="shared" si="18"/>
        <v>0</v>
      </c>
      <c r="J72" s="31">
        <f t="shared" si="18"/>
        <v>0</v>
      </c>
      <c r="K72" s="31">
        <f t="shared" si="18"/>
        <v>0</v>
      </c>
      <c r="L72" s="31">
        <f t="shared" si="18"/>
        <v>0</v>
      </c>
      <c r="M72" s="31">
        <f t="shared" si="18"/>
        <v>0</v>
      </c>
      <c r="N72" s="6"/>
      <c r="O72" s="6"/>
    </row>
    <row r="73" spans="1:15" s="6" customFormat="1">
      <c r="A73" s="13" t="s">
        <v>64</v>
      </c>
      <c r="B73" s="31">
        <f t="shared" si="18"/>
        <v>169857.9897115808</v>
      </c>
      <c r="C73" s="31">
        <f t="shared" si="18"/>
        <v>110550.38858331554</v>
      </c>
      <c r="D73" s="16">
        <f t="shared" si="18"/>
        <v>122948.89713524841</v>
      </c>
      <c r="E73" s="31">
        <f t="shared" si="18"/>
        <v>122948.89713524841</v>
      </c>
      <c r="F73" s="31">
        <f t="shared" si="18"/>
        <v>122948.89713524841</v>
      </c>
      <c r="G73" s="31">
        <f t="shared" si="18"/>
        <v>122948.89713524841</v>
      </c>
      <c r="H73" s="31">
        <f t="shared" si="18"/>
        <v>122948.89713524841</v>
      </c>
      <c r="I73" s="31">
        <f t="shared" si="18"/>
        <v>122948.89713524841</v>
      </c>
      <c r="J73" s="31">
        <f t="shared" si="18"/>
        <v>122948.89713524841</v>
      </c>
      <c r="K73" s="31">
        <f t="shared" si="18"/>
        <v>122948.89713524841</v>
      </c>
      <c r="L73" s="31">
        <f t="shared" si="18"/>
        <v>122948.89713524841</v>
      </c>
      <c r="M73" s="31">
        <f t="shared" si="18"/>
        <v>122948.89713524841</v>
      </c>
      <c r="N73" s="16">
        <f t="shared" si="18"/>
        <v>0</v>
      </c>
    </row>
    <row r="74" spans="1:15">
      <c r="A74" s="1" t="s">
        <v>65</v>
      </c>
      <c r="B74" s="16">
        <f t="shared" si="18"/>
        <v>-412182</v>
      </c>
      <c r="C74" s="16">
        <f t="shared" si="18"/>
        <v>-449688.55000000075</v>
      </c>
      <c r="D74" s="16">
        <f t="shared" si="18"/>
        <v>-730803.55999999866</v>
      </c>
      <c r="E74" s="16">
        <f t="shared" si="18"/>
        <v>-763849.87628113478</v>
      </c>
      <c r="F74" s="16">
        <f t="shared" si="18"/>
        <v>-696450.91178460792</v>
      </c>
      <c r="G74" s="16">
        <f t="shared" si="18"/>
        <v>-665742.6603815034</v>
      </c>
      <c r="H74" s="16">
        <f t="shared" si="18"/>
        <v>-597887.23297084682</v>
      </c>
      <c r="I74" s="16">
        <f t="shared" si="18"/>
        <v>-880897.33274842054</v>
      </c>
      <c r="J74" s="16">
        <f t="shared" si="18"/>
        <v>-560127.58264911361</v>
      </c>
      <c r="K74" s="16">
        <f t="shared" si="18"/>
        <v>-797444.25624615699</v>
      </c>
      <c r="L74" s="16">
        <f t="shared" si="18"/>
        <v>-668302.27791124769</v>
      </c>
      <c r="M74" s="16">
        <f t="shared" si="18"/>
        <v>-490673.91694740206</v>
      </c>
      <c r="N74" s="16"/>
      <c r="O74" s="6"/>
    </row>
    <row r="75" spans="1:15">
      <c r="B75" s="6"/>
      <c r="C75" s="6"/>
      <c r="E75" s="6"/>
      <c r="F75" s="6"/>
      <c r="H75" s="6"/>
      <c r="I75" s="6"/>
      <c r="J75" s="6"/>
      <c r="K75" s="6"/>
      <c r="L75" s="6"/>
      <c r="M75" s="6"/>
      <c r="N75" s="6"/>
    </row>
    <row r="76" spans="1:15">
      <c r="A76" s="1"/>
      <c r="B76" s="4"/>
      <c r="C76" s="8"/>
      <c r="D76" s="8"/>
      <c r="E76" s="8"/>
      <c r="F76" s="8"/>
      <c r="H76" s="20"/>
      <c r="J76" s="6"/>
      <c r="K76" s="6"/>
    </row>
    <row r="77" spans="1:15">
      <c r="A77" s="1"/>
      <c r="B77" s="4"/>
      <c r="C77" s="8"/>
      <c r="D77" s="8"/>
      <c r="E77" s="8"/>
      <c r="F77" s="8"/>
      <c r="H77" s="85"/>
      <c r="I77" s="86"/>
      <c r="J77" s="85"/>
    </row>
    <row r="78" spans="1:15">
      <c r="A78" s="1"/>
      <c r="B78" s="4"/>
      <c r="D78" s="8"/>
      <c r="E78" s="8"/>
      <c r="F78" s="8"/>
      <c r="H78" s="61"/>
      <c r="J78" s="6"/>
    </row>
    <row r="79" spans="1:15">
      <c r="E79" s="6"/>
      <c r="H79" s="20"/>
      <c r="J79" s="6"/>
      <c r="N79" s="25"/>
    </row>
    <row r="80" spans="1:15">
      <c r="A80" t="s">
        <v>69</v>
      </c>
      <c r="B80" t="s">
        <v>69</v>
      </c>
      <c r="C80" t="s">
        <v>69</v>
      </c>
      <c r="D80" s="6" t="s">
        <v>69</v>
      </c>
      <c r="E80" s="6" t="s">
        <v>69</v>
      </c>
      <c r="F80" t="s">
        <v>69</v>
      </c>
      <c r="G80" s="6" t="s">
        <v>69</v>
      </c>
      <c r="H80" t="s">
        <v>69</v>
      </c>
      <c r="I80" t="s">
        <v>69</v>
      </c>
      <c r="J80" s="6" t="s">
        <v>69</v>
      </c>
      <c r="K80" t="s">
        <v>69</v>
      </c>
      <c r="L80" t="s">
        <v>69</v>
      </c>
      <c r="M80" t="s">
        <v>69</v>
      </c>
      <c r="N80" t="s">
        <v>69</v>
      </c>
    </row>
    <row r="82" spans="6:8">
      <c r="F82">
        <v>11636.78</v>
      </c>
      <c r="H82">
        <v>73191.26999999999</v>
      </c>
    </row>
    <row r="84" spans="6:8">
      <c r="F84" s="2">
        <f>SUM(B56:F56)</f>
        <v>-98945</v>
      </c>
    </row>
    <row r="85" spans="6:8">
      <c r="F85" s="2">
        <f>SUM(B57:F57)</f>
        <v>47530</v>
      </c>
    </row>
  </sheetData>
  <pageMargins left="0.28000000000000003" right="0.25" top="0.99" bottom="0.75" header="0.63" footer="0.23"/>
  <pageSetup scale="60" orientation="landscape" r:id="rId1"/>
  <headerFooter alignWithMargins="0">
    <oddHeader xml:space="preserve">&amp;C&amp;"Arial,Bold"&amp;11 49ER SHOPS, INC.
&amp;UFY2019/2020 OPERATIONAL CASH FLOW </oddHeader>
    <oddFooter>&amp;CCash Flow - FY2019/2020
September 2019</oddFooter>
  </headerFooter>
  <legacyDrawing r:id="rId2"/>
</worksheet>
</file>

<file path=xl/worksheets/sheet4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92D050"/>
    <pageSetUpPr fitToPage="1"/>
  </sheetPr>
  <dimension ref="A1:Z85"/>
  <sheetViews>
    <sheetView showGridLines="0" zoomScale="90" zoomScaleNormal="90" workbookViewId="0">
      <selection activeCell="C57" sqref="C57"/>
    </sheetView>
  </sheetViews>
  <sheetFormatPr defaultRowHeight="12.75"/>
  <cols>
    <col min="1" max="1" width="35.42578125" customWidth="1"/>
    <col min="2" max="2" width="14" customWidth="1"/>
    <col min="3" max="3" width="14.5703125" customWidth="1"/>
    <col min="4" max="4" width="14" style="6" customWidth="1"/>
    <col min="5" max="6" width="13.5703125" customWidth="1"/>
    <col min="7" max="7" width="16.5703125" style="6" customWidth="1"/>
    <col min="8" max="8" width="14.140625" customWidth="1"/>
    <col min="9" max="9" width="14.42578125" customWidth="1"/>
    <col min="10" max="10" width="13.85546875" customWidth="1"/>
    <col min="11" max="11" width="15.140625" customWidth="1"/>
    <col min="12" max="12" width="13.5703125" customWidth="1"/>
    <col min="13" max="13" width="14.42578125" customWidth="1"/>
    <col min="14" max="14" width="16.5703125" customWidth="1"/>
    <col min="15" max="15" width="12.42578125" bestFit="1" customWidth="1"/>
    <col min="16" max="16" width="14.140625" customWidth="1"/>
  </cols>
  <sheetData>
    <row r="1" spans="1:16" ht="13.5" thickBot="1">
      <c r="A1" s="46" t="s">
        <v>129</v>
      </c>
      <c r="E1" s="6"/>
      <c r="F1" s="6"/>
      <c r="J1" s="6"/>
      <c r="K1" s="6"/>
      <c r="N1" s="3"/>
    </row>
    <row r="2" spans="1:16">
      <c r="B2" s="45" t="s">
        <v>24</v>
      </c>
      <c r="C2" s="45" t="s">
        <v>24</v>
      </c>
      <c r="D2" s="45" t="s">
        <v>24</v>
      </c>
      <c r="E2" s="45" t="s">
        <v>24</v>
      </c>
      <c r="F2" s="45" t="s">
        <v>76</v>
      </c>
      <c r="G2" s="45" t="s">
        <v>76</v>
      </c>
      <c r="H2" s="45" t="s">
        <v>76</v>
      </c>
      <c r="I2" s="45" t="s">
        <v>76</v>
      </c>
      <c r="J2" s="45" t="s">
        <v>76</v>
      </c>
      <c r="K2" s="45" t="s">
        <v>76</v>
      </c>
      <c r="L2" s="45" t="s">
        <v>76</v>
      </c>
      <c r="M2" s="45" t="s">
        <v>76</v>
      </c>
      <c r="N2" s="55" t="s">
        <v>25</v>
      </c>
    </row>
    <row r="3" spans="1:16" s="5" customFormat="1">
      <c r="B3" s="11">
        <v>43648</v>
      </c>
      <c r="C3" s="90">
        <v>43679</v>
      </c>
      <c r="D3" s="90">
        <v>43710</v>
      </c>
      <c r="E3" s="11">
        <v>43740</v>
      </c>
      <c r="F3" s="11">
        <v>43771</v>
      </c>
      <c r="G3" s="11">
        <v>43801</v>
      </c>
      <c r="H3" s="11">
        <v>43832</v>
      </c>
      <c r="I3" s="11">
        <v>43863</v>
      </c>
      <c r="J3" s="11">
        <v>43892</v>
      </c>
      <c r="K3" s="11">
        <v>43923</v>
      </c>
      <c r="L3" s="11">
        <v>43953</v>
      </c>
      <c r="M3" s="11">
        <v>43984</v>
      </c>
      <c r="N3" s="57" t="s">
        <v>123</v>
      </c>
    </row>
    <row r="4" spans="1:16">
      <c r="A4" s="1" t="s">
        <v>27</v>
      </c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>
        <f>SUM(B4:M4)</f>
        <v>0</v>
      </c>
      <c r="O4" s="29"/>
    </row>
    <row r="5" spans="1:16" s="6" customFormat="1" hidden="1">
      <c r="A5" s="6" t="s">
        <v>28</v>
      </c>
      <c r="B5" s="49">
        <v>1506911</v>
      </c>
      <c r="C5" s="53">
        <v>4218296</v>
      </c>
      <c r="D5" s="53">
        <v>4008767</v>
      </c>
      <c r="E5" s="53">
        <v>3723428</v>
      </c>
      <c r="F5" s="53">
        <v>2455124.5614399998</v>
      </c>
      <c r="G5" s="53">
        <v>2427666.0239800001</v>
      </c>
      <c r="H5" s="53">
        <v>3962386.4049500003</v>
      </c>
      <c r="I5" s="53">
        <v>3413283.7329099998</v>
      </c>
      <c r="J5" s="53">
        <v>3663286.3910400001</v>
      </c>
      <c r="K5" s="53">
        <v>3303515.2019700003</v>
      </c>
      <c r="L5" s="53">
        <v>2866321.64855</v>
      </c>
      <c r="M5" s="53">
        <v>1394806.15129</v>
      </c>
      <c r="N5" s="12">
        <f>SUM(B5:M5)</f>
        <v>36943792.116130002</v>
      </c>
      <c r="O5" s="29"/>
    </row>
    <row r="6" spans="1:16" s="6" customFormat="1" hidden="1">
      <c r="A6" s="6" t="s">
        <v>29</v>
      </c>
      <c r="B6" s="49">
        <v>122669</v>
      </c>
      <c r="C6" s="53">
        <v>65308</v>
      </c>
      <c r="D6" s="53">
        <v>368424</v>
      </c>
      <c r="E6" s="53">
        <v>265657</v>
      </c>
      <c r="F6" s="53">
        <v>160988</v>
      </c>
      <c r="G6" s="53">
        <v>98971</v>
      </c>
      <c r="H6" s="53">
        <v>117729</v>
      </c>
      <c r="I6" s="53">
        <v>171397</v>
      </c>
      <c r="J6" s="53">
        <v>127523</v>
      </c>
      <c r="K6" s="53">
        <v>123229</v>
      </c>
      <c r="L6" s="53">
        <v>130378</v>
      </c>
      <c r="M6" s="53">
        <v>105525</v>
      </c>
      <c r="N6" s="7">
        <f>SUM(B6:M6)</f>
        <v>1857798</v>
      </c>
      <c r="O6" s="29"/>
    </row>
    <row r="7" spans="1:16" s="6" customFormat="1" hidden="1">
      <c r="B7" s="7"/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7">
        <f>SUM(B7:M7)</f>
        <v>0</v>
      </c>
      <c r="O7" s="29"/>
    </row>
    <row r="8" spans="1:16" s="6" customFormat="1" hidden="1">
      <c r="B8" s="15"/>
      <c r="C8" s="15"/>
      <c r="D8" s="15"/>
      <c r="E8" s="15"/>
      <c r="F8" s="15"/>
      <c r="G8" s="15"/>
      <c r="H8" s="15"/>
      <c r="I8" s="15"/>
      <c r="J8" s="15"/>
      <c r="K8" s="15"/>
      <c r="L8" s="15"/>
      <c r="M8" s="15"/>
      <c r="N8" s="15">
        <f>SUM(B8:M8)</f>
        <v>0</v>
      </c>
      <c r="O8" s="29"/>
    </row>
    <row r="9" spans="1:16" s="6" customFormat="1">
      <c r="A9" s="13" t="s">
        <v>30</v>
      </c>
      <c r="B9" s="12">
        <f t="shared" ref="B9:N9" si="0">SUM(B5:B8)</f>
        <v>1629580</v>
      </c>
      <c r="C9" s="12">
        <f t="shared" si="0"/>
        <v>4283604</v>
      </c>
      <c r="D9" s="12">
        <f t="shared" si="0"/>
        <v>4377191</v>
      </c>
      <c r="E9" s="12">
        <f t="shared" si="0"/>
        <v>3989085</v>
      </c>
      <c r="F9" s="12">
        <f t="shared" si="0"/>
        <v>2616112.5614399998</v>
      </c>
      <c r="G9" s="12">
        <f t="shared" si="0"/>
        <v>2526637.0239800001</v>
      </c>
      <c r="H9" s="12">
        <f t="shared" si="0"/>
        <v>4080115.4049500003</v>
      </c>
      <c r="I9" s="12">
        <f t="shared" si="0"/>
        <v>3584680.7329099998</v>
      </c>
      <c r="J9" s="12">
        <f t="shared" si="0"/>
        <v>3790809.3910400001</v>
      </c>
      <c r="K9" s="12">
        <f t="shared" si="0"/>
        <v>3426744.2019700003</v>
      </c>
      <c r="L9" s="12">
        <f t="shared" si="0"/>
        <v>2996699.64855</v>
      </c>
      <c r="M9" s="12">
        <f t="shared" si="0"/>
        <v>1500331.15129</v>
      </c>
      <c r="N9" s="12">
        <f t="shared" si="0"/>
        <v>38801590.116130002</v>
      </c>
      <c r="O9" s="29"/>
      <c r="P9" s="29">
        <f>+N9</f>
        <v>38801590.116130002</v>
      </c>
    </row>
    <row r="10" spans="1:16" s="6" customFormat="1" ht="6.75" customHeight="1"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29"/>
    </row>
    <row r="11" spans="1:16" s="6" customFormat="1">
      <c r="A11" s="13" t="s">
        <v>31</v>
      </c>
      <c r="B11" s="7">
        <v>2191</v>
      </c>
      <c r="C11" s="7">
        <v>230</v>
      </c>
      <c r="D11" s="7">
        <v>408.4</v>
      </c>
      <c r="E11" s="7">
        <v>-227</v>
      </c>
      <c r="F11" s="7"/>
      <c r="G11" s="7"/>
      <c r="H11" s="7"/>
      <c r="I11" s="7"/>
      <c r="J11" s="7"/>
      <c r="K11" s="7"/>
      <c r="L11" s="7"/>
      <c r="M11" s="7"/>
      <c r="N11" s="7">
        <f>SUM(B11:M11)</f>
        <v>2602.4</v>
      </c>
      <c r="O11" s="29"/>
    </row>
    <row r="12" spans="1:16" s="6" customFormat="1" ht="7.5" customHeight="1">
      <c r="B12" s="7"/>
      <c r="C12" s="7"/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  <c r="O12" s="29"/>
    </row>
    <row r="13" spans="1:16" s="6" customFormat="1" ht="13.5" thickBot="1">
      <c r="A13" s="13" t="s">
        <v>32</v>
      </c>
      <c r="B13" s="14">
        <f t="shared" ref="B13:N13" si="1">B9+B11</f>
        <v>1631771</v>
      </c>
      <c r="C13" s="14">
        <f>C9+C11</f>
        <v>4283834</v>
      </c>
      <c r="D13" s="14">
        <f t="shared" si="1"/>
        <v>4377599.4000000004</v>
      </c>
      <c r="E13" s="14">
        <f t="shared" si="1"/>
        <v>3988858</v>
      </c>
      <c r="F13" s="14">
        <f t="shared" si="1"/>
        <v>2616112.5614399998</v>
      </c>
      <c r="G13" s="14">
        <f t="shared" si="1"/>
        <v>2526637.0239800001</v>
      </c>
      <c r="H13" s="14">
        <f t="shared" si="1"/>
        <v>4080115.4049500003</v>
      </c>
      <c r="I13" s="14">
        <f t="shared" si="1"/>
        <v>3584680.7329099998</v>
      </c>
      <c r="J13" s="14">
        <f t="shared" si="1"/>
        <v>3790809.3910400001</v>
      </c>
      <c r="K13" s="14">
        <f t="shared" si="1"/>
        <v>3426744.2019700003</v>
      </c>
      <c r="L13" s="14">
        <f t="shared" si="1"/>
        <v>2996699.64855</v>
      </c>
      <c r="M13" s="14">
        <f t="shared" si="1"/>
        <v>1500331.15129</v>
      </c>
      <c r="N13" s="14">
        <f t="shared" si="1"/>
        <v>38804192.51613</v>
      </c>
      <c r="O13" s="29"/>
    </row>
    <row r="14" spans="1:16" s="6" customFormat="1" ht="13.5" thickTop="1">
      <c r="B14" s="7"/>
      <c r="C14" s="7"/>
      <c r="D14" s="7"/>
      <c r="E14" s="7"/>
      <c r="F14" s="7"/>
      <c r="G14" s="7"/>
      <c r="H14" s="7"/>
      <c r="I14" s="7"/>
      <c r="J14" s="7"/>
      <c r="K14" s="7"/>
      <c r="L14" s="7"/>
      <c r="M14" s="7"/>
    </row>
    <row r="15" spans="1:16" s="6" customFormat="1" ht="1.5" customHeight="1">
      <c r="A15" s="13" t="s">
        <v>33</v>
      </c>
      <c r="B15" s="7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</row>
    <row r="16" spans="1:16" s="6" customFormat="1" ht="1.5" hidden="1" customHeight="1">
      <c r="A16" s="6" t="s">
        <v>34</v>
      </c>
      <c r="B16" s="49">
        <v>789538</v>
      </c>
      <c r="C16" s="53">
        <v>2542832</v>
      </c>
      <c r="D16" s="53">
        <v>1670912</v>
      </c>
      <c r="E16" s="53">
        <v>1241006</v>
      </c>
      <c r="F16" s="53">
        <v>857870.95172000001</v>
      </c>
      <c r="G16" s="53">
        <v>872403.03766999999</v>
      </c>
      <c r="H16" s="53">
        <v>2196091.03559</v>
      </c>
      <c r="I16" s="53">
        <v>1238755.4207799998</v>
      </c>
      <c r="J16" s="53">
        <v>1292296.5777699999</v>
      </c>
      <c r="K16" s="53">
        <v>1245676.8455400001</v>
      </c>
      <c r="L16" s="53">
        <v>1172737.3767599999</v>
      </c>
      <c r="M16" s="53">
        <v>726619.06070999999</v>
      </c>
      <c r="N16" s="7">
        <f>SUM(B16:M16)</f>
        <v>15846738.306540001</v>
      </c>
      <c r="O16" s="29"/>
      <c r="P16" s="7">
        <f>-N16</f>
        <v>-15846738.306540001</v>
      </c>
    </row>
    <row r="17" spans="1:16" s="6" customFormat="1" hidden="1">
      <c r="B17" s="27"/>
      <c r="C17" s="27"/>
      <c r="D17" s="27"/>
      <c r="E17" s="27"/>
      <c r="F17" s="27"/>
      <c r="G17" s="27"/>
      <c r="H17" s="27"/>
      <c r="I17" s="27"/>
      <c r="J17" s="27"/>
      <c r="K17" s="27"/>
      <c r="L17" s="27"/>
      <c r="M17" s="27"/>
      <c r="N17" s="7">
        <f>SUM(B17:M17)</f>
        <v>0</v>
      </c>
    </row>
    <row r="18" spans="1:16" s="6" customFormat="1" hidden="1">
      <c r="B18" s="7"/>
      <c r="C18" s="7"/>
      <c r="D18" s="7"/>
      <c r="E18" s="7"/>
      <c r="F18" s="7"/>
      <c r="G18" s="7"/>
      <c r="H18" s="7"/>
      <c r="I18" s="7"/>
      <c r="J18" s="7"/>
      <c r="K18" s="7"/>
      <c r="L18" s="7"/>
      <c r="M18" s="7"/>
      <c r="N18" s="7">
        <v>0</v>
      </c>
    </row>
    <row r="19" spans="1:16" s="6" customFormat="1" hidden="1">
      <c r="B19" s="15"/>
      <c r="C19" s="15"/>
      <c r="D19" s="15"/>
      <c r="E19" s="15"/>
      <c r="F19" s="15"/>
      <c r="G19" s="15"/>
      <c r="H19" s="15"/>
      <c r="I19" s="15"/>
      <c r="J19" s="15"/>
      <c r="K19" s="15"/>
      <c r="L19" s="15"/>
      <c r="M19" s="15"/>
      <c r="N19" s="15">
        <f>SUM(B19:M19)</f>
        <v>0</v>
      </c>
    </row>
    <row r="20" spans="1:16" s="6" customFormat="1">
      <c r="A20" s="13" t="s">
        <v>35</v>
      </c>
      <c r="B20" s="12">
        <f t="shared" ref="B20:N20" si="2">SUM(B16:B19)</f>
        <v>789538</v>
      </c>
      <c r="C20" s="12">
        <f t="shared" si="2"/>
        <v>2542832</v>
      </c>
      <c r="D20" s="12">
        <f t="shared" si="2"/>
        <v>1670912</v>
      </c>
      <c r="E20" s="12">
        <f t="shared" si="2"/>
        <v>1241006</v>
      </c>
      <c r="F20" s="12">
        <f t="shared" si="2"/>
        <v>857870.95172000001</v>
      </c>
      <c r="G20" s="12">
        <f t="shared" si="2"/>
        <v>872403.03766999999</v>
      </c>
      <c r="H20" s="12">
        <f t="shared" si="2"/>
        <v>2196091.03559</v>
      </c>
      <c r="I20" s="12">
        <f t="shared" si="2"/>
        <v>1238755.4207799998</v>
      </c>
      <c r="J20" s="12">
        <f t="shared" si="2"/>
        <v>1292296.5777699999</v>
      </c>
      <c r="K20" s="12">
        <f t="shared" si="2"/>
        <v>1245676.8455400001</v>
      </c>
      <c r="L20" s="12">
        <f t="shared" si="2"/>
        <v>1172737.3767599999</v>
      </c>
      <c r="M20" s="12">
        <f t="shared" si="2"/>
        <v>726619.06070999999</v>
      </c>
      <c r="N20" s="12">
        <f t="shared" si="2"/>
        <v>15846738.306540001</v>
      </c>
      <c r="O20" s="29"/>
    </row>
    <row r="21" spans="1:16" s="6" customFormat="1">
      <c r="B21" s="7"/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</row>
    <row r="22" spans="1:16" s="6" customFormat="1" ht="3" customHeight="1">
      <c r="A22" s="13" t="s">
        <v>36</v>
      </c>
      <c r="B22" s="7"/>
      <c r="C22" s="7"/>
      <c r="D22" s="7"/>
      <c r="E22" s="7"/>
      <c r="F22" s="7"/>
      <c r="G22" s="7"/>
      <c r="H22" s="7"/>
      <c r="I22" s="7"/>
      <c r="J22" s="7"/>
      <c r="K22" s="7"/>
      <c r="L22" s="7"/>
      <c r="M22" s="7"/>
    </row>
    <row r="23" spans="1:16" s="6" customFormat="1" hidden="1">
      <c r="A23" s="6" t="s">
        <v>37</v>
      </c>
      <c r="B23" s="7">
        <f t="shared" ref="B23:M26" si="3">+B5-B16</f>
        <v>717373</v>
      </c>
      <c r="C23" s="7">
        <f t="shared" si="3"/>
        <v>1675464</v>
      </c>
      <c r="D23" s="7">
        <f t="shared" si="3"/>
        <v>2337855</v>
      </c>
      <c r="E23" s="7">
        <f t="shared" si="3"/>
        <v>2482422</v>
      </c>
      <c r="F23" s="7">
        <f t="shared" si="3"/>
        <v>1597253.6097199998</v>
      </c>
      <c r="G23" s="7">
        <f t="shared" si="3"/>
        <v>1555262.9863100001</v>
      </c>
      <c r="H23" s="7">
        <f t="shared" si="3"/>
        <v>1766295.3693600004</v>
      </c>
      <c r="I23" s="7">
        <f t="shared" si="3"/>
        <v>2174528.31213</v>
      </c>
      <c r="J23" s="7">
        <f t="shared" si="3"/>
        <v>2370989.8132700003</v>
      </c>
      <c r="K23" s="7">
        <f t="shared" si="3"/>
        <v>2057838.3564300002</v>
      </c>
      <c r="L23" s="7">
        <f t="shared" si="3"/>
        <v>1693584.2717900001</v>
      </c>
      <c r="M23" s="7">
        <f t="shared" si="3"/>
        <v>668187.09057999996</v>
      </c>
      <c r="N23" s="7">
        <f>SUM(B23:M23)</f>
        <v>21097053.809590004</v>
      </c>
      <c r="O23" s="29"/>
    </row>
    <row r="24" spans="1:16" s="6" customFormat="1" hidden="1">
      <c r="A24" s="6" t="s">
        <v>37</v>
      </c>
      <c r="B24" s="7">
        <f t="shared" si="3"/>
        <v>122669</v>
      </c>
      <c r="C24" s="7">
        <f t="shared" si="3"/>
        <v>65308</v>
      </c>
      <c r="D24" s="7">
        <f t="shared" si="3"/>
        <v>368424</v>
      </c>
      <c r="E24" s="7">
        <f t="shared" si="3"/>
        <v>265657</v>
      </c>
      <c r="F24" s="7">
        <f t="shared" si="3"/>
        <v>160988</v>
      </c>
      <c r="G24" s="7">
        <f t="shared" si="3"/>
        <v>98971</v>
      </c>
      <c r="H24" s="7">
        <f t="shared" si="3"/>
        <v>117729</v>
      </c>
      <c r="I24" s="7">
        <f t="shared" si="3"/>
        <v>171397</v>
      </c>
      <c r="J24" s="7">
        <f t="shared" si="3"/>
        <v>127523</v>
      </c>
      <c r="K24" s="7">
        <f t="shared" si="3"/>
        <v>123229</v>
      </c>
      <c r="L24" s="7">
        <f t="shared" si="3"/>
        <v>130378</v>
      </c>
      <c r="M24" s="7">
        <f t="shared" si="3"/>
        <v>105525</v>
      </c>
      <c r="N24" s="7">
        <f>SUM(B24:M24)</f>
        <v>1857798</v>
      </c>
      <c r="O24" s="29"/>
    </row>
    <row r="25" spans="1:16" s="6" customFormat="1" hidden="1">
      <c r="A25" s="6" t="s">
        <v>38</v>
      </c>
      <c r="B25" s="7">
        <f t="shared" si="3"/>
        <v>0</v>
      </c>
      <c r="C25" s="7">
        <f t="shared" si="3"/>
        <v>0</v>
      </c>
      <c r="D25" s="7">
        <f t="shared" si="3"/>
        <v>0</v>
      </c>
      <c r="E25" s="7">
        <f t="shared" si="3"/>
        <v>0</v>
      </c>
      <c r="F25" s="7">
        <f t="shared" si="3"/>
        <v>0</v>
      </c>
      <c r="G25" s="7">
        <f t="shared" si="3"/>
        <v>0</v>
      </c>
      <c r="H25" s="7">
        <f t="shared" si="3"/>
        <v>0</v>
      </c>
      <c r="I25" s="7">
        <f t="shared" si="3"/>
        <v>0</v>
      </c>
      <c r="J25" s="7">
        <f t="shared" si="3"/>
        <v>0</v>
      </c>
      <c r="K25" s="7">
        <f t="shared" si="3"/>
        <v>0</v>
      </c>
      <c r="L25" s="7">
        <f t="shared" si="3"/>
        <v>0</v>
      </c>
      <c r="M25" s="7">
        <f t="shared" si="3"/>
        <v>0</v>
      </c>
      <c r="N25" s="7">
        <f>SUM(B25:M25)</f>
        <v>0</v>
      </c>
      <c r="O25" s="29"/>
    </row>
    <row r="26" spans="1:16" s="6" customFormat="1" hidden="1">
      <c r="A26" s="6" t="s">
        <v>38</v>
      </c>
      <c r="B26" s="15">
        <f t="shared" si="3"/>
        <v>0</v>
      </c>
      <c r="C26" s="15">
        <f t="shared" si="3"/>
        <v>0</v>
      </c>
      <c r="D26" s="15">
        <f t="shared" si="3"/>
        <v>0</v>
      </c>
      <c r="E26" s="15">
        <f t="shared" si="3"/>
        <v>0</v>
      </c>
      <c r="F26" s="15">
        <f t="shared" si="3"/>
        <v>0</v>
      </c>
      <c r="G26" s="15">
        <f t="shared" si="3"/>
        <v>0</v>
      </c>
      <c r="H26" s="15">
        <f t="shared" si="3"/>
        <v>0</v>
      </c>
      <c r="I26" s="15">
        <f t="shared" si="3"/>
        <v>0</v>
      </c>
      <c r="J26" s="15">
        <f t="shared" si="3"/>
        <v>0</v>
      </c>
      <c r="K26" s="15">
        <f t="shared" si="3"/>
        <v>0</v>
      </c>
      <c r="L26" s="15">
        <f t="shared" si="3"/>
        <v>0</v>
      </c>
      <c r="M26" s="15">
        <f t="shared" si="3"/>
        <v>0</v>
      </c>
      <c r="N26" s="15">
        <f>SUM(B26:M26)</f>
        <v>0</v>
      </c>
      <c r="O26" s="29"/>
    </row>
    <row r="27" spans="1:16" s="6" customFormat="1">
      <c r="A27" s="13" t="s">
        <v>39</v>
      </c>
      <c r="B27" s="12">
        <f t="shared" ref="B27:N27" si="4">SUM(B23:B26)</f>
        <v>840042</v>
      </c>
      <c r="C27" s="12">
        <f t="shared" si="4"/>
        <v>1740772</v>
      </c>
      <c r="D27" s="12">
        <f t="shared" si="4"/>
        <v>2706279</v>
      </c>
      <c r="E27" s="12">
        <f t="shared" si="4"/>
        <v>2748079</v>
      </c>
      <c r="F27" s="12">
        <f t="shared" si="4"/>
        <v>1758241.6097199998</v>
      </c>
      <c r="G27" s="12">
        <f t="shared" si="4"/>
        <v>1654233.9863100001</v>
      </c>
      <c r="H27" s="12">
        <f t="shared" si="4"/>
        <v>1884024.3693600004</v>
      </c>
      <c r="I27" s="12">
        <f t="shared" si="4"/>
        <v>2345925.31213</v>
      </c>
      <c r="J27" s="12">
        <f t="shared" si="4"/>
        <v>2498512.8132700003</v>
      </c>
      <c r="K27" s="12">
        <f t="shared" si="4"/>
        <v>2181067.3564300002</v>
      </c>
      <c r="L27" s="12">
        <f t="shared" si="4"/>
        <v>1823962.2717900001</v>
      </c>
      <c r="M27" s="12">
        <f>SUM(M23:M26)</f>
        <v>773712.09057999996</v>
      </c>
      <c r="N27" s="12">
        <f t="shared" si="4"/>
        <v>22954851.809590004</v>
      </c>
      <c r="O27" s="29"/>
      <c r="P27" s="29">
        <f>+N27</f>
        <v>22954851.809590004</v>
      </c>
    </row>
    <row r="28" spans="1:16" s="6" customFormat="1" ht="14.25" customHeight="1">
      <c r="B28" s="73">
        <f>+B27/B9</f>
        <v>0.51549601737871109</v>
      </c>
      <c r="C28" s="73">
        <f t="shared" ref="C28:N28" si="5">+C27/C9</f>
        <v>0.40638023496102815</v>
      </c>
      <c r="D28" s="73">
        <f t="shared" si="5"/>
        <v>0.61826842831395756</v>
      </c>
      <c r="E28" s="73">
        <f t="shared" si="5"/>
        <v>0.68889958474186441</v>
      </c>
      <c r="F28" s="73">
        <f t="shared" si="5"/>
        <v>0.67208178869497959</v>
      </c>
      <c r="G28" s="73">
        <f t="shared" si="5"/>
        <v>0.65471770207191204</v>
      </c>
      <c r="H28" s="73">
        <f t="shared" si="5"/>
        <v>0.46175761770716095</v>
      </c>
      <c r="I28" s="73">
        <f t="shared" si="5"/>
        <v>0.65443075323073652</v>
      </c>
      <c r="J28" s="73">
        <f t="shared" si="5"/>
        <v>0.65909745269058195</v>
      </c>
      <c r="K28" s="73">
        <f t="shared" si="5"/>
        <v>0.63648385402567453</v>
      </c>
      <c r="L28" s="73">
        <f t="shared" si="5"/>
        <v>0.60865701795391902</v>
      </c>
      <c r="M28" s="73">
        <f t="shared" si="5"/>
        <v>0.51569421185099995</v>
      </c>
      <c r="N28" s="73">
        <f t="shared" si="5"/>
        <v>0.59159564700539335</v>
      </c>
    </row>
    <row r="29" spans="1:16" s="6" customFormat="1" ht="3" customHeight="1">
      <c r="A29" s="13" t="s">
        <v>40</v>
      </c>
      <c r="B29" s="7"/>
      <c r="C29" s="7"/>
      <c r="D29" s="7"/>
      <c r="E29" s="7"/>
      <c r="F29" s="7"/>
      <c r="G29" s="7"/>
      <c r="H29" s="7"/>
      <c r="I29" s="7"/>
      <c r="J29" s="7"/>
      <c r="K29" s="7"/>
      <c r="L29" s="7"/>
      <c r="M29" s="7"/>
    </row>
    <row r="30" spans="1:16" s="6" customFormat="1" hidden="1">
      <c r="A30" s="6" t="s">
        <v>93</v>
      </c>
      <c r="B30" s="49">
        <v>599577</v>
      </c>
      <c r="C30" s="53">
        <v>671079</v>
      </c>
      <c r="D30" s="53">
        <v>793811</v>
      </c>
      <c r="E30" s="53">
        <v>957117</v>
      </c>
      <c r="F30" s="53">
        <v>686895.29853070469</v>
      </c>
      <c r="G30" s="53">
        <v>642815.15417670459</v>
      </c>
      <c r="H30" s="53">
        <v>742691.29158794135</v>
      </c>
      <c r="I30" s="53">
        <v>781375.03238776349</v>
      </c>
      <c r="J30" s="53">
        <v>800842.39032942755</v>
      </c>
      <c r="K30" s="53">
        <v>843636.89934994141</v>
      </c>
      <c r="L30" s="53">
        <v>694327.62761942751</v>
      </c>
      <c r="M30" s="53">
        <v>505922.77644506848</v>
      </c>
      <c r="N30" s="7">
        <f>SUM(B30:M30)</f>
        <v>8720090.4704269804</v>
      </c>
      <c r="O30" s="29"/>
    </row>
    <row r="31" spans="1:16" s="6" customFormat="1" hidden="1">
      <c r="A31" s="6" t="s">
        <v>42</v>
      </c>
      <c r="B31" s="49">
        <v>243836</v>
      </c>
      <c r="C31" s="53">
        <v>217946</v>
      </c>
      <c r="D31" s="53">
        <v>239113</v>
      </c>
      <c r="E31" s="53">
        <v>257850</v>
      </c>
      <c r="F31" s="53">
        <v>204442.60669276689</v>
      </c>
      <c r="G31" s="53">
        <v>206445.92073019079</v>
      </c>
      <c r="H31" s="53">
        <v>223886.15036140359</v>
      </c>
      <c r="I31" s="53">
        <v>211238.57951980905</v>
      </c>
      <c r="J31" s="53">
        <v>216879.11284126632</v>
      </c>
      <c r="K31" s="53">
        <v>235419.63067710202</v>
      </c>
      <c r="L31" s="53">
        <v>214783.16583566315</v>
      </c>
      <c r="M31" s="53">
        <v>196662.95050247436</v>
      </c>
      <c r="N31" s="7">
        <f>SUM(B31:M31)</f>
        <v>2668503.117160676</v>
      </c>
      <c r="O31" s="29"/>
    </row>
    <row r="32" spans="1:16" s="6" customFormat="1" ht="15" hidden="1">
      <c r="A32" s="6" t="s">
        <v>38</v>
      </c>
      <c r="B32" s="68"/>
      <c r="C32" s="68"/>
      <c r="D32" s="68"/>
      <c r="E32" s="68"/>
      <c r="F32" s="68"/>
      <c r="G32" s="68"/>
      <c r="H32" s="68"/>
      <c r="I32" s="68"/>
      <c r="J32" s="68"/>
      <c r="K32" s="68"/>
      <c r="L32" s="68"/>
      <c r="M32" s="68"/>
      <c r="N32" s="7">
        <f>SUM(B32:M32)</f>
        <v>0</v>
      </c>
      <c r="O32" s="29"/>
    </row>
    <row r="33" spans="1:16" s="6" customFormat="1" hidden="1">
      <c r="B33" s="15"/>
      <c r="C33" s="15"/>
      <c r="D33" s="15"/>
      <c r="E33" s="15"/>
      <c r="F33" s="15"/>
      <c r="G33" s="15"/>
      <c r="H33" s="15"/>
      <c r="I33" s="15"/>
      <c r="J33" s="15"/>
      <c r="K33" s="15"/>
      <c r="L33" s="15"/>
      <c r="M33" s="15"/>
      <c r="N33" s="15">
        <f>SUM(B33:M33)</f>
        <v>0</v>
      </c>
      <c r="O33" s="29"/>
    </row>
    <row r="34" spans="1:16" s="6" customFormat="1">
      <c r="A34" s="13" t="s">
        <v>43</v>
      </c>
      <c r="B34" s="12">
        <f t="shared" ref="B34:N34" si="6">SUM(B30:B33)</f>
        <v>843413</v>
      </c>
      <c r="C34" s="12">
        <f t="shared" si="6"/>
        <v>889025</v>
      </c>
      <c r="D34" s="12">
        <f t="shared" si="6"/>
        <v>1032924</v>
      </c>
      <c r="E34" s="12">
        <f t="shared" si="6"/>
        <v>1214967</v>
      </c>
      <c r="F34" s="12">
        <f t="shared" si="6"/>
        <v>891337.90522347158</v>
      </c>
      <c r="G34" s="12">
        <f t="shared" si="6"/>
        <v>849261.0749068954</v>
      </c>
      <c r="H34" s="12">
        <f t="shared" si="6"/>
        <v>966577.44194934494</v>
      </c>
      <c r="I34" s="12">
        <f t="shared" si="6"/>
        <v>992613.61190757249</v>
      </c>
      <c r="J34" s="12">
        <f t="shared" si="6"/>
        <v>1017721.5031706939</v>
      </c>
      <c r="K34" s="12">
        <f t="shared" si="6"/>
        <v>1079056.5300270435</v>
      </c>
      <c r="L34" s="12">
        <f t="shared" si="6"/>
        <v>909110.79345509061</v>
      </c>
      <c r="M34" s="12">
        <f t="shared" si="6"/>
        <v>702585.72694754286</v>
      </c>
      <c r="N34" s="12">
        <f t="shared" si="6"/>
        <v>11388593.587587656</v>
      </c>
      <c r="O34" s="29"/>
    </row>
    <row r="35" spans="1:16" s="6" customFormat="1">
      <c r="B35" s="7"/>
      <c r="C35" s="7"/>
      <c r="D35" s="7"/>
      <c r="E35" s="7"/>
      <c r="F35" s="7"/>
      <c r="G35" s="7"/>
      <c r="H35" s="7"/>
      <c r="I35" s="7"/>
      <c r="J35" s="7"/>
      <c r="K35" s="7"/>
      <c r="L35" s="7"/>
      <c r="M35" s="7"/>
    </row>
    <row r="36" spans="1:16" s="6" customFormat="1" ht="3" customHeight="1">
      <c r="A36" s="13" t="s">
        <v>44</v>
      </c>
      <c r="B36" s="7"/>
      <c r="C36" s="7"/>
      <c r="D36" s="7"/>
      <c r="E36" s="7"/>
      <c r="F36" s="7"/>
      <c r="G36" s="7"/>
      <c r="H36" s="7"/>
      <c r="I36" s="7"/>
      <c r="J36" s="7"/>
      <c r="K36" s="7"/>
      <c r="L36" s="7"/>
      <c r="M36" s="7"/>
    </row>
    <row r="37" spans="1:16" s="6" customFormat="1" hidden="1">
      <c r="A37" s="6" t="s">
        <v>45</v>
      </c>
      <c r="B37" s="53">
        <v>1312659</v>
      </c>
      <c r="C37" s="53">
        <v>1350844</v>
      </c>
      <c r="D37" s="53">
        <v>1621977</v>
      </c>
      <c r="E37" s="53">
        <v>1862721</v>
      </c>
      <c r="F37" s="53">
        <v>1438729.6452234716</v>
      </c>
      <c r="G37" s="66">
        <v>1429801.7349068953</v>
      </c>
      <c r="H37" s="66">
        <v>1473861.9419493449</v>
      </c>
      <c r="I37" s="66">
        <v>1630408.4119075725</v>
      </c>
      <c r="J37" s="66">
        <v>1636445.0631706938</v>
      </c>
      <c r="K37" s="53">
        <v>1704354.0300270435</v>
      </c>
      <c r="L37" s="53">
        <v>1425328.2934550906</v>
      </c>
      <c r="M37" s="53">
        <v>1205462.7296161538</v>
      </c>
      <c r="N37" s="7">
        <f>SUM(B37:M37)</f>
        <v>18092592.850256268</v>
      </c>
      <c r="O37" s="29"/>
    </row>
    <row r="38" spans="1:16" s="6" customFormat="1" hidden="1">
      <c r="A38" s="6" t="s">
        <v>46</v>
      </c>
      <c r="B38" s="7">
        <f>-B34</f>
        <v>-843413</v>
      </c>
      <c r="C38" s="7">
        <f t="shared" ref="C38:M38" si="7">-C34</f>
        <v>-889025</v>
      </c>
      <c r="D38" s="7">
        <f t="shared" si="7"/>
        <v>-1032924</v>
      </c>
      <c r="E38" s="7">
        <f t="shared" si="7"/>
        <v>-1214967</v>
      </c>
      <c r="F38" s="7">
        <f t="shared" si="7"/>
        <v>-891337.90522347158</v>
      </c>
      <c r="G38" s="7">
        <f t="shared" si="7"/>
        <v>-849261.0749068954</v>
      </c>
      <c r="H38" s="7">
        <f t="shared" si="7"/>
        <v>-966577.44194934494</v>
      </c>
      <c r="I38" s="7">
        <f t="shared" si="7"/>
        <v>-992613.61190757249</v>
      </c>
      <c r="J38" s="7">
        <f t="shared" si="7"/>
        <v>-1017721.5031706939</v>
      </c>
      <c r="K38" s="7">
        <f t="shared" si="7"/>
        <v>-1079056.5300270435</v>
      </c>
      <c r="L38" s="7">
        <f t="shared" si="7"/>
        <v>-909110.79345509061</v>
      </c>
      <c r="M38" s="7">
        <f t="shared" si="7"/>
        <v>-702585.72694754286</v>
      </c>
      <c r="N38" s="7">
        <f>SUM(B38:M38)</f>
        <v>-11388593.587587655</v>
      </c>
      <c r="O38" s="29"/>
    </row>
    <row r="39" spans="1:16" s="6" customFormat="1" hidden="1">
      <c r="A39" s="6" t="s">
        <v>47</v>
      </c>
      <c r="B39" s="72">
        <v>-77862</v>
      </c>
      <c r="C39" s="72">
        <v>-77862</v>
      </c>
      <c r="D39" s="72">
        <v>-77862</v>
      </c>
      <c r="E39" s="72">
        <v>-77862</v>
      </c>
      <c r="F39" s="72">
        <v>-83801</v>
      </c>
      <c r="G39" s="72">
        <v>-83801</v>
      </c>
      <c r="H39" s="72">
        <v>-85493</v>
      </c>
      <c r="I39" s="72">
        <v>-85493</v>
      </c>
      <c r="J39" s="72">
        <v>-85493</v>
      </c>
      <c r="K39" s="72">
        <v>-85493</v>
      </c>
      <c r="L39" s="72">
        <v>-85493</v>
      </c>
      <c r="M39" s="72">
        <v>-85493</v>
      </c>
      <c r="N39" s="42">
        <f>SUM(B39:M39)</f>
        <v>-992008</v>
      </c>
      <c r="O39" s="88"/>
      <c r="P39" s="42"/>
    </row>
    <row r="40" spans="1:16" s="6" customFormat="1" hidden="1">
      <c r="A40" s="6" t="s">
        <v>124</v>
      </c>
      <c r="B40" s="53">
        <v>-8600</v>
      </c>
      <c r="C40" s="53">
        <v>-8600</v>
      </c>
      <c r="D40" s="53">
        <v>-8600</v>
      </c>
      <c r="E40" s="53">
        <v>-8600</v>
      </c>
      <c r="F40" s="53">
        <v>-8593</v>
      </c>
      <c r="G40" s="53">
        <v>-8776</v>
      </c>
      <c r="H40" s="53">
        <v>-8893</v>
      </c>
      <c r="I40" s="53">
        <v>-8893</v>
      </c>
      <c r="J40" s="53">
        <v>-8893</v>
      </c>
      <c r="K40" s="53">
        <v>-8893</v>
      </c>
      <c r="L40" s="53">
        <v>-8893</v>
      </c>
      <c r="M40" s="53">
        <v>-8893</v>
      </c>
      <c r="N40" s="42">
        <f>SUM(B40:M40)</f>
        <v>-105127</v>
      </c>
      <c r="O40" s="88"/>
      <c r="P40" s="58"/>
    </row>
    <row r="41" spans="1:16" s="6" customFormat="1" hidden="1">
      <c r="A41" s="6" t="s">
        <v>48</v>
      </c>
      <c r="B41" s="60">
        <v>-4150</v>
      </c>
      <c r="C41" s="60">
        <v>-4250</v>
      </c>
      <c r="D41" s="60">
        <v>-4250</v>
      </c>
      <c r="E41" s="60">
        <v>-4250</v>
      </c>
      <c r="F41" s="60">
        <v>-4250</v>
      </c>
      <c r="G41" s="60">
        <v>-10050</v>
      </c>
      <c r="H41" s="60">
        <v>-4250</v>
      </c>
      <c r="I41" s="60">
        <v>-4250</v>
      </c>
      <c r="J41" s="60">
        <v>-4550</v>
      </c>
      <c r="K41" s="60">
        <v>-4550</v>
      </c>
      <c r="L41" s="60">
        <v>-4550</v>
      </c>
      <c r="M41" s="60">
        <v>-90050</v>
      </c>
      <c r="N41" s="43">
        <f>SUM(B41:M41)</f>
        <v>-143400</v>
      </c>
      <c r="O41" s="88"/>
      <c r="P41" s="42">
        <f>SUM(N39:N41)</f>
        <v>-1240535</v>
      </c>
    </row>
    <row r="42" spans="1:16" s="6" customFormat="1">
      <c r="A42" s="13" t="s">
        <v>49</v>
      </c>
      <c r="B42" s="12">
        <f t="shared" ref="B42:N42" si="8">SUM(B37:B41)</f>
        <v>378634</v>
      </c>
      <c r="C42" s="12">
        <f t="shared" si="8"/>
        <v>371107</v>
      </c>
      <c r="D42" s="12">
        <f t="shared" si="8"/>
        <v>498341</v>
      </c>
      <c r="E42" s="12">
        <f t="shared" si="8"/>
        <v>557042</v>
      </c>
      <c r="F42" s="12">
        <f t="shared" si="8"/>
        <v>450747.74</v>
      </c>
      <c r="G42" s="12">
        <f t="shared" si="8"/>
        <v>477913.65999999992</v>
      </c>
      <c r="H42" s="12">
        <f t="shared" si="8"/>
        <v>408648.5</v>
      </c>
      <c r="I42" s="12">
        <f t="shared" si="8"/>
        <v>539158.80000000005</v>
      </c>
      <c r="J42" s="12">
        <f t="shared" si="8"/>
        <v>519787.55999999994</v>
      </c>
      <c r="K42" s="12">
        <f t="shared" si="8"/>
        <v>526361.5</v>
      </c>
      <c r="L42" s="12">
        <f t="shared" si="8"/>
        <v>417281.5</v>
      </c>
      <c r="M42" s="12">
        <f t="shared" si="8"/>
        <v>318441.00266861089</v>
      </c>
      <c r="N42" s="12">
        <f t="shared" si="8"/>
        <v>5463464.2626686133</v>
      </c>
      <c r="O42" s="29"/>
    </row>
    <row r="43" spans="1:16">
      <c r="A43" s="1"/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2"/>
      <c r="N43" s="12"/>
      <c r="O43" s="6"/>
    </row>
    <row r="44" spans="1:16" ht="3" customHeight="1">
      <c r="A44" s="13" t="s">
        <v>50</v>
      </c>
      <c r="B44" s="53">
        <v>313331</v>
      </c>
      <c r="C44" s="53">
        <v>400498</v>
      </c>
      <c r="D44" s="53">
        <v>331729</v>
      </c>
      <c r="E44" s="53">
        <v>309099</v>
      </c>
      <c r="F44" s="53">
        <v>399609</v>
      </c>
      <c r="G44" s="53">
        <v>347041</v>
      </c>
      <c r="H44" s="53">
        <v>380274</v>
      </c>
      <c r="I44" s="53">
        <v>344745</v>
      </c>
      <c r="J44" s="53">
        <v>339892</v>
      </c>
      <c r="K44" s="53">
        <v>384523</v>
      </c>
      <c r="L44" s="53">
        <v>298207</v>
      </c>
      <c r="M44" s="53">
        <v>669637</v>
      </c>
      <c r="N44" s="12">
        <f>SUM(B44:M44)</f>
        <v>4518585</v>
      </c>
      <c r="O44" s="29"/>
      <c r="P44" s="25"/>
    </row>
    <row r="45" spans="1:16" hidden="1">
      <c r="A45" s="6" t="s">
        <v>107</v>
      </c>
      <c r="B45" s="22"/>
      <c r="C45" s="22"/>
      <c r="D45" s="22"/>
      <c r="E45" s="22"/>
      <c r="F45" s="22"/>
      <c r="G45" s="22"/>
      <c r="H45" s="22"/>
      <c r="I45" s="22"/>
      <c r="J45" s="22"/>
      <c r="K45" s="22"/>
      <c r="L45" s="22"/>
      <c r="M45" s="22"/>
      <c r="N45" s="22">
        <f>SUM(B45:M45)</f>
        <v>0</v>
      </c>
      <c r="O45" s="29"/>
    </row>
    <row r="46" spans="1:16">
      <c r="A46" s="1" t="s">
        <v>50</v>
      </c>
      <c r="B46" s="12">
        <f>SUM(B44:B45)</f>
        <v>313331</v>
      </c>
      <c r="C46" s="12">
        <f>SUM(C44:C45)</f>
        <v>400498</v>
      </c>
      <c r="D46" s="12">
        <f t="shared" ref="D46:N46" si="9">SUM(D44:D45)</f>
        <v>331729</v>
      </c>
      <c r="E46" s="12">
        <f t="shared" si="9"/>
        <v>309099</v>
      </c>
      <c r="F46" s="12">
        <f t="shared" si="9"/>
        <v>399609</v>
      </c>
      <c r="G46" s="12">
        <f t="shared" si="9"/>
        <v>347041</v>
      </c>
      <c r="H46" s="12">
        <f t="shared" si="9"/>
        <v>380274</v>
      </c>
      <c r="I46" s="12">
        <f t="shared" si="9"/>
        <v>344745</v>
      </c>
      <c r="J46" s="12">
        <f t="shared" si="9"/>
        <v>339892</v>
      </c>
      <c r="K46" s="12">
        <f t="shared" si="9"/>
        <v>384523</v>
      </c>
      <c r="L46" s="12">
        <f t="shared" si="9"/>
        <v>298207</v>
      </c>
      <c r="M46" s="12">
        <f t="shared" si="9"/>
        <v>669637</v>
      </c>
      <c r="N46" s="12">
        <f t="shared" si="9"/>
        <v>4518585</v>
      </c>
      <c r="O46" s="29"/>
    </row>
    <row r="47" spans="1:16">
      <c r="B47" s="7"/>
      <c r="C47" s="7"/>
      <c r="D47" s="7"/>
      <c r="E47" s="7"/>
      <c r="F47" s="7"/>
      <c r="G47" s="7"/>
      <c r="H47" s="7"/>
      <c r="I47" s="7"/>
      <c r="J47" s="7"/>
      <c r="K47" s="6"/>
      <c r="L47" s="6"/>
      <c r="M47" s="6"/>
      <c r="N47" s="6"/>
      <c r="O47" s="6"/>
    </row>
    <row r="48" spans="1:16">
      <c r="A48" s="13" t="s">
        <v>52</v>
      </c>
      <c r="B48" s="19">
        <f t="shared" ref="B48:N48" si="10">+B20+B34+B42+B46</f>
        <v>2324916</v>
      </c>
      <c r="C48" s="19">
        <f t="shared" si="10"/>
        <v>4203462</v>
      </c>
      <c r="D48" s="19">
        <f t="shared" si="10"/>
        <v>3533906</v>
      </c>
      <c r="E48" s="19">
        <f t="shared" si="10"/>
        <v>3322114</v>
      </c>
      <c r="F48" s="19">
        <f t="shared" si="10"/>
        <v>2599565.5969434716</v>
      </c>
      <c r="G48" s="19">
        <f t="shared" si="10"/>
        <v>2546618.7725768955</v>
      </c>
      <c r="H48" s="19">
        <f t="shared" si="10"/>
        <v>3951590.9775393447</v>
      </c>
      <c r="I48" s="19">
        <f t="shared" si="10"/>
        <v>3115272.8326875726</v>
      </c>
      <c r="J48" s="19">
        <f t="shared" si="10"/>
        <v>3169697.6409406937</v>
      </c>
      <c r="K48" s="19">
        <f t="shared" si="10"/>
        <v>3235617.8755670437</v>
      </c>
      <c r="L48" s="19">
        <f t="shared" si="10"/>
        <v>2797336.6702150907</v>
      </c>
      <c r="M48" s="19">
        <f t="shared" si="10"/>
        <v>2417282.7903261539</v>
      </c>
      <c r="N48" s="19">
        <f t="shared" si="10"/>
        <v>37217381.156796277</v>
      </c>
      <c r="O48" s="29"/>
      <c r="P48" s="25"/>
    </row>
    <row r="49" spans="1:26">
      <c r="B49" s="7"/>
      <c r="C49" s="7"/>
      <c r="D49" s="7"/>
      <c r="E49" s="7"/>
      <c r="F49" s="7"/>
      <c r="G49" s="7"/>
      <c r="H49" s="7"/>
      <c r="I49" s="7"/>
      <c r="J49" s="7"/>
      <c r="K49" s="6"/>
      <c r="L49" s="6"/>
      <c r="M49" s="6"/>
      <c r="N49" s="6"/>
      <c r="O49" s="6"/>
    </row>
    <row r="50" spans="1:26">
      <c r="A50" s="1" t="s">
        <v>53</v>
      </c>
      <c r="B50" s="12">
        <f t="shared" ref="B50:M50" si="11">+B13-B48</f>
        <v>-693145</v>
      </c>
      <c r="C50" s="12">
        <f t="shared" si="11"/>
        <v>80372</v>
      </c>
      <c r="D50" s="12">
        <f t="shared" si="11"/>
        <v>843693.40000000037</v>
      </c>
      <c r="E50" s="12">
        <f t="shared" si="11"/>
        <v>666744</v>
      </c>
      <c r="F50" s="12">
        <f t="shared" si="11"/>
        <v>16546.964496528264</v>
      </c>
      <c r="G50" s="12">
        <f t="shared" si="11"/>
        <v>-19981.748596895486</v>
      </c>
      <c r="H50" s="12">
        <f t="shared" si="11"/>
        <v>128524.42741065565</v>
      </c>
      <c r="I50" s="12">
        <f t="shared" si="11"/>
        <v>469407.90022242721</v>
      </c>
      <c r="J50" s="12">
        <f t="shared" si="11"/>
        <v>621111.75009930646</v>
      </c>
      <c r="K50" s="12">
        <f t="shared" si="11"/>
        <v>191126.32640295662</v>
      </c>
      <c r="L50" s="12">
        <f t="shared" si="11"/>
        <v>199362.9783349093</v>
      </c>
      <c r="M50" s="12">
        <f t="shared" si="11"/>
        <v>-916951.63903615391</v>
      </c>
      <c r="N50" s="12">
        <f>SUM(B50:M50)</f>
        <v>1586811.3593337345</v>
      </c>
      <c r="O50" s="7"/>
      <c r="P50" s="25">
        <f>+N50</f>
        <v>1586811.3593337345</v>
      </c>
    </row>
    <row r="51" spans="1:26" ht="7.5" customHeight="1">
      <c r="B51" s="7"/>
      <c r="C51" s="7"/>
      <c r="D51" s="7"/>
      <c r="E51" s="7"/>
      <c r="F51" s="7"/>
      <c r="G51" s="7"/>
      <c r="H51" s="7"/>
      <c r="I51" s="7"/>
      <c r="J51" s="7"/>
      <c r="K51" s="6"/>
      <c r="L51" s="6"/>
      <c r="M51" s="6"/>
      <c r="N51" s="6"/>
      <c r="O51" s="6"/>
    </row>
    <row r="52" spans="1:26">
      <c r="A52" s="1" t="s">
        <v>54</v>
      </c>
      <c r="B52" s="7"/>
      <c r="C52" s="7"/>
      <c r="D52" s="7"/>
      <c r="E52" s="7"/>
      <c r="F52" s="7"/>
      <c r="G52" s="7"/>
      <c r="H52" s="7"/>
      <c r="I52" s="7"/>
      <c r="J52" s="7"/>
      <c r="K52" s="6"/>
      <c r="L52" s="6"/>
      <c r="M52" s="6"/>
      <c r="N52" s="6"/>
      <c r="O52" s="6"/>
      <c r="P52" s="2">
        <f>SUM(P41:P50)</f>
        <v>346276.35933373449</v>
      </c>
    </row>
    <row r="53" spans="1:26" s="6" customFormat="1">
      <c r="A53" s="6" t="s">
        <v>55</v>
      </c>
      <c r="B53" s="10">
        <v>17969</v>
      </c>
      <c r="C53" s="10">
        <v>47133.55</v>
      </c>
      <c r="D53" s="10">
        <v>79271.41</v>
      </c>
      <c r="E53" s="10">
        <v>20893.52</v>
      </c>
      <c r="F53" s="10">
        <v>35000</v>
      </c>
      <c r="G53" s="10">
        <v>32000</v>
      </c>
      <c r="H53" s="23">
        <v>10000</v>
      </c>
      <c r="I53" s="10">
        <v>20000</v>
      </c>
      <c r="J53" s="10">
        <v>10000</v>
      </c>
      <c r="K53" s="10">
        <v>110000</v>
      </c>
      <c r="L53" s="10">
        <v>10000</v>
      </c>
      <c r="M53" s="10">
        <v>10000</v>
      </c>
      <c r="N53" s="10">
        <f>SUM(B53:M53)</f>
        <v>402267.48</v>
      </c>
      <c r="O53" s="10"/>
      <c r="P53" s="40"/>
      <c r="Z53" s="40"/>
    </row>
    <row r="54" spans="1:26" s="6" customFormat="1">
      <c r="A54" s="6" t="s">
        <v>96</v>
      </c>
      <c r="B54" s="10"/>
      <c r="C54" s="10"/>
      <c r="D54" s="10"/>
      <c r="E54" s="10"/>
      <c r="F54" s="10">
        <v>90000</v>
      </c>
      <c r="G54" s="10"/>
      <c r="H54" s="10"/>
      <c r="I54" s="10"/>
      <c r="J54" s="10"/>
      <c r="K54" s="10"/>
      <c r="L54" s="10"/>
      <c r="M54" s="10"/>
      <c r="N54" s="10">
        <f>SUM(B54:M54)</f>
        <v>90000</v>
      </c>
    </row>
    <row r="55" spans="1:26" s="6" customFormat="1">
      <c r="A55" s="6" t="s">
        <v>111</v>
      </c>
      <c r="B55" s="10">
        <v>425857</v>
      </c>
      <c r="C55" s="10"/>
      <c r="D55" s="10"/>
      <c r="E55" s="10"/>
      <c r="F55" s="10"/>
      <c r="G55" s="10"/>
      <c r="H55" s="10"/>
      <c r="I55" s="10"/>
      <c r="J55" s="10"/>
      <c r="K55" s="10"/>
      <c r="L55" s="10">
        <v>0</v>
      </c>
      <c r="M55" s="56"/>
      <c r="N55" s="10">
        <f>SUM(B55:M55)</f>
        <v>425857</v>
      </c>
    </row>
    <row r="56" spans="1:26" s="6" customFormat="1">
      <c r="A56" s="37" t="s">
        <v>58</v>
      </c>
      <c r="B56" s="7">
        <v>-14346</v>
      </c>
      <c r="C56" s="7">
        <v>-14850</v>
      </c>
      <c r="D56" s="7">
        <v>-19542</v>
      </c>
      <c r="E56" s="7">
        <v>-13668</v>
      </c>
      <c r="F56" s="7">
        <v>-25000</v>
      </c>
      <c r="G56" s="7">
        <v>-20000</v>
      </c>
      <c r="H56" s="7">
        <v>-25000</v>
      </c>
      <c r="I56" s="7">
        <v>-25000</v>
      </c>
      <c r="J56" s="7">
        <v>-20000</v>
      </c>
      <c r="K56" s="7">
        <v>-25000</v>
      </c>
      <c r="L56" s="7">
        <v>-25000</v>
      </c>
      <c r="M56" s="7">
        <v>-20000</v>
      </c>
      <c r="N56" s="7">
        <f>SUM(B56:M56)</f>
        <v>-247406</v>
      </c>
      <c r="O56" s="7"/>
    </row>
    <row r="57" spans="1:26" s="6" customFormat="1">
      <c r="A57" s="6" t="s">
        <v>59</v>
      </c>
      <c r="B57" s="22">
        <v>-29008</v>
      </c>
      <c r="C57" s="22">
        <v>209614</v>
      </c>
      <c r="D57" s="22">
        <v>-83076</v>
      </c>
      <c r="E57" s="91">
        <v>-215833</v>
      </c>
      <c r="F57" s="22">
        <v>-25000</v>
      </c>
      <c r="G57" s="22">
        <v>-25000</v>
      </c>
      <c r="H57" s="22">
        <v>-25000</v>
      </c>
      <c r="I57" s="22">
        <v>-25000</v>
      </c>
      <c r="J57" s="22">
        <v>-25000</v>
      </c>
      <c r="K57" s="22">
        <v>-25000</v>
      </c>
      <c r="L57" s="22">
        <v>-25000</v>
      </c>
      <c r="M57" s="22">
        <v>-25000</v>
      </c>
      <c r="N57" s="22">
        <f>SUM(B57:M57)</f>
        <v>-318303</v>
      </c>
      <c r="O57" s="56"/>
    </row>
    <row r="58" spans="1:26" s="6" customFormat="1">
      <c r="A58" s="13" t="s">
        <v>60</v>
      </c>
      <c r="B58" s="19">
        <f t="shared" ref="B58:N58" si="12">SUM(B53:B57)</f>
        <v>400472</v>
      </c>
      <c r="C58" s="19">
        <f t="shared" si="12"/>
        <v>241897.55</v>
      </c>
      <c r="D58" s="19">
        <f t="shared" si="12"/>
        <v>-23346.589999999997</v>
      </c>
      <c r="E58" s="19">
        <f t="shared" si="12"/>
        <v>-208607.48</v>
      </c>
      <c r="F58" s="19">
        <f t="shared" si="12"/>
        <v>75000</v>
      </c>
      <c r="G58" s="19">
        <f t="shared" si="12"/>
        <v>-13000</v>
      </c>
      <c r="H58" s="19">
        <f>SUM(H53:H57)</f>
        <v>-40000</v>
      </c>
      <c r="I58" s="19">
        <f t="shared" si="12"/>
        <v>-30000</v>
      </c>
      <c r="J58" s="19">
        <f t="shared" si="12"/>
        <v>-35000</v>
      </c>
      <c r="K58" s="19">
        <f t="shared" si="12"/>
        <v>60000</v>
      </c>
      <c r="L58" s="19">
        <f t="shared" si="12"/>
        <v>-40000</v>
      </c>
      <c r="M58" s="19">
        <f t="shared" si="12"/>
        <v>-35000</v>
      </c>
      <c r="N58" s="19">
        <f t="shared" si="12"/>
        <v>352415.48</v>
      </c>
      <c r="O58" s="29"/>
    </row>
    <row r="59" spans="1:26">
      <c r="B59" s="7"/>
      <c r="C59" s="7"/>
      <c r="D59" s="7"/>
      <c r="E59" s="7"/>
      <c r="F59" s="7"/>
      <c r="G59" s="7"/>
      <c r="H59" s="7"/>
      <c r="I59" s="7"/>
      <c r="J59" s="7"/>
      <c r="K59" s="7"/>
      <c r="L59" s="7"/>
      <c r="M59" s="7"/>
      <c r="N59" s="7"/>
      <c r="O59" s="6"/>
    </row>
    <row r="60" spans="1:26">
      <c r="A60" s="1" t="s">
        <v>61</v>
      </c>
      <c r="B60" s="12">
        <v>13598947</v>
      </c>
      <c r="C60" s="7"/>
      <c r="D60" s="7"/>
      <c r="E60" s="7"/>
      <c r="F60" s="7"/>
      <c r="G60" s="7"/>
      <c r="H60" s="7" t="s">
        <v>38</v>
      </c>
      <c r="I60" s="7"/>
      <c r="J60" s="7"/>
      <c r="K60" s="6"/>
      <c r="L60" s="6"/>
      <c r="M60" s="6"/>
      <c r="N60" s="6"/>
      <c r="O60" s="6"/>
    </row>
    <row r="61" spans="1:26">
      <c r="A61" s="13" t="s">
        <v>62</v>
      </c>
      <c r="B61" s="19">
        <f t="shared" ref="B61:N61" si="13">+B58+B48</f>
        <v>2725388</v>
      </c>
      <c r="C61" s="19">
        <f t="shared" si="13"/>
        <v>4445359.55</v>
      </c>
      <c r="D61" s="19">
        <f t="shared" si="13"/>
        <v>3510559.41</v>
      </c>
      <c r="E61" s="19">
        <f t="shared" si="13"/>
        <v>3113506.52</v>
      </c>
      <c r="F61" s="19">
        <f t="shared" si="13"/>
        <v>2674565.5969434716</v>
      </c>
      <c r="G61" s="19">
        <f t="shared" si="13"/>
        <v>2533618.7725768955</v>
      </c>
      <c r="H61" s="19">
        <f t="shared" si="13"/>
        <v>3911590.9775393447</v>
      </c>
      <c r="I61" s="19">
        <f t="shared" si="13"/>
        <v>3085272.8326875726</v>
      </c>
      <c r="J61" s="19">
        <f t="shared" si="13"/>
        <v>3134697.6409406937</v>
      </c>
      <c r="K61" s="19">
        <f t="shared" si="13"/>
        <v>3295617.8755670437</v>
      </c>
      <c r="L61" s="19">
        <f t="shared" si="13"/>
        <v>2757336.6702150907</v>
      </c>
      <c r="M61" s="19">
        <f t="shared" si="13"/>
        <v>2382282.7903261539</v>
      </c>
      <c r="N61" s="19">
        <f t="shared" si="13"/>
        <v>37569796.636796273</v>
      </c>
      <c r="O61" s="29"/>
    </row>
    <row r="62" spans="1:26" ht="13.5" thickBot="1">
      <c r="A62" s="13" t="s">
        <v>63</v>
      </c>
      <c r="B62" s="14">
        <f t="shared" ref="B62:N62" si="14">+B13-B61</f>
        <v>-1093617</v>
      </c>
      <c r="C62" s="14">
        <f t="shared" si="14"/>
        <v>-161525.54999999981</v>
      </c>
      <c r="D62" s="14">
        <f t="shared" si="14"/>
        <v>867039.99000000022</v>
      </c>
      <c r="E62" s="14">
        <f t="shared" si="14"/>
        <v>875351.48</v>
      </c>
      <c r="F62" s="14">
        <f t="shared" si="14"/>
        <v>-58453.035503471736</v>
      </c>
      <c r="G62" s="14">
        <f t="shared" si="14"/>
        <v>-6981.7485968954861</v>
      </c>
      <c r="H62" s="14">
        <f t="shared" si="14"/>
        <v>168524.42741065565</v>
      </c>
      <c r="I62" s="14">
        <f t="shared" si="14"/>
        <v>499407.90022242721</v>
      </c>
      <c r="J62" s="14">
        <f t="shared" si="14"/>
        <v>656111.75009930646</v>
      </c>
      <c r="K62" s="14">
        <f t="shared" si="14"/>
        <v>131126.32640295662</v>
      </c>
      <c r="L62" s="14">
        <f t="shared" si="14"/>
        <v>239362.9783349093</v>
      </c>
      <c r="M62" s="14">
        <f t="shared" si="14"/>
        <v>-881951.63903615391</v>
      </c>
      <c r="N62" s="14">
        <f t="shared" si="14"/>
        <v>1234395.8793337271</v>
      </c>
      <c r="O62" s="29"/>
    </row>
    <row r="63" spans="1:26" s="6" customFormat="1" ht="13.5" thickTop="1">
      <c r="A63" s="13" t="s">
        <v>64</v>
      </c>
      <c r="B63" s="12">
        <f>+B62</f>
        <v>-1093617</v>
      </c>
      <c r="C63" s="12">
        <f t="shared" ref="C63:M63" si="15">B63+C62</f>
        <v>-1255142.5499999998</v>
      </c>
      <c r="D63" s="12">
        <f t="shared" si="15"/>
        <v>-388102.55999999959</v>
      </c>
      <c r="E63" s="12">
        <f t="shared" si="15"/>
        <v>487248.92000000039</v>
      </c>
      <c r="F63" s="12">
        <f t="shared" si="15"/>
        <v>428795.88449652866</v>
      </c>
      <c r="G63" s="12">
        <f t="shared" si="15"/>
        <v>421814.13589963317</v>
      </c>
      <c r="H63" s="12">
        <f t="shared" si="15"/>
        <v>590338.56331028882</v>
      </c>
      <c r="I63" s="12">
        <f t="shared" si="15"/>
        <v>1089746.463532716</v>
      </c>
      <c r="J63" s="12">
        <f t="shared" si="15"/>
        <v>1745858.2136320225</v>
      </c>
      <c r="K63" s="12">
        <f t="shared" si="15"/>
        <v>1876984.5400349791</v>
      </c>
      <c r="L63" s="12">
        <f t="shared" si="15"/>
        <v>2116347.5183698884</v>
      </c>
      <c r="M63" s="12">
        <f t="shared" si="15"/>
        <v>1234395.8793337345</v>
      </c>
      <c r="N63" s="12"/>
    </row>
    <row r="64" spans="1:26">
      <c r="A64" s="13" t="s">
        <v>65</v>
      </c>
      <c r="B64" s="12">
        <f t="shared" ref="B64:M64" si="16">+$B$60+B63</f>
        <v>12505330</v>
      </c>
      <c r="C64" s="12">
        <f t="shared" si="16"/>
        <v>12343804.449999999</v>
      </c>
      <c r="D64" s="12">
        <f t="shared" si="16"/>
        <v>13210844.440000001</v>
      </c>
      <c r="E64" s="12">
        <f t="shared" si="16"/>
        <v>14086195.92</v>
      </c>
      <c r="F64" s="12">
        <f t="shared" si="16"/>
        <v>14027742.884496529</v>
      </c>
      <c r="G64" s="12">
        <f t="shared" si="16"/>
        <v>14020761.135899633</v>
      </c>
      <c r="H64" s="12">
        <f t="shared" si="16"/>
        <v>14189285.563310288</v>
      </c>
      <c r="I64" s="12">
        <f t="shared" si="16"/>
        <v>14688693.463532716</v>
      </c>
      <c r="J64" s="12">
        <f t="shared" si="16"/>
        <v>15344805.213632023</v>
      </c>
      <c r="K64" s="12">
        <f t="shared" si="16"/>
        <v>15475931.54003498</v>
      </c>
      <c r="L64" s="12">
        <f t="shared" si="16"/>
        <v>15715294.518369889</v>
      </c>
      <c r="M64" s="12">
        <f t="shared" si="16"/>
        <v>14833342.879333735</v>
      </c>
      <c r="N64" s="12"/>
      <c r="O64" s="6"/>
    </row>
    <row r="65" spans="1:15">
      <c r="A65" s="6"/>
      <c r="B65" s="7"/>
      <c r="C65" s="7"/>
      <c r="D65" s="7"/>
      <c r="E65" s="7"/>
      <c r="F65" s="7"/>
      <c r="G65" s="7"/>
      <c r="H65" s="7"/>
      <c r="I65" s="7"/>
      <c r="J65" s="7"/>
      <c r="K65" s="6"/>
      <c r="L65" s="6"/>
      <c r="M65" s="6"/>
      <c r="N65" s="6"/>
      <c r="O65" s="6"/>
    </row>
    <row r="66" spans="1:15" s="6" customFormat="1">
      <c r="A66" s="17" t="s">
        <v>114</v>
      </c>
      <c r="B66" s="18"/>
      <c r="C66" s="18"/>
      <c r="D66" s="18"/>
      <c r="E66" s="18"/>
      <c r="F66" s="18"/>
      <c r="G66" s="18"/>
      <c r="H66" s="18"/>
      <c r="I66" s="18"/>
      <c r="J66" s="18"/>
      <c r="K66" s="18"/>
      <c r="L66" s="18"/>
      <c r="M66" s="18"/>
      <c r="N66" s="18"/>
    </row>
    <row r="67" spans="1:15" ht="13.5" thickBot="1">
      <c r="A67" s="13" t="s">
        <v>67</v>
      </c>
      <c r="B67" s="30">
        <v>-1263474.9897115808</v>
      </c>
      <c r="C67" s="30">
        <v>-102010.94887173455</v>
      </c>
      <c r="D67" s="14">
        <v>854641.48144806735</v>
      </c>
      <c r="E67" s="14">
        <v>550109.68371886434</v>
      </c>
      <c r="F67" s="14">
        <v>-58453.035503471736</v>
      </c>
      <c r="G67" s="14">
        <v>-6981.7485968954861</v>
      </c>
      <c r="H67" s="14">
        <v>168524.42741065565</v>
      </c>
      <c r="I67" s="14">
        <v>499407.90022242721</v>
      </c>
      <c r="J67" s="14">
        <v>656111.75009930646</v>
      </c>
      <c r="K67" s="14">
        <v>131126.32640295662</v>
      </c>
      <c r="L67" s="14">
        <v>239362.9783349093</v>
      </c>
      <c r="M67" s="14">
        <v>-881951.63903615391</v>
      </c>
      <c r="N67" s="16"/>
      <c r="O67" s="6"/>
    </row>
    <row r="68" spans="1:15" ht="13.5" thickTop="1">
      <c r="A68" s="13" t="s">
        <v>64</v>
      </c>
      <c r="B68" s="32">
        <f>+B67</f>
        <v>-1263474.9897115808</v>
      </c>
      <c r="C68" s="32">
        <f>+B68+C67</f>
        <v>-1365485.9385833154</v>
      </c>
      <c r="D68" s="12">
        <f t="shared" ref="D68:M68" si="17">+C68+D67</f>
        <v>-510844.457135248</v>
      </c>
      <c r="E68" s="12">
        <f t="shared" si="17"/>
        <v>39265.226583616342</v>
      </c>
      <c r="F68" s="12">
        <f t="shared" si="17"/>
        <v>-19187.808919855393</v>
      </c>
      <c r="G68" s="12">
        <f t="shared" si="17"/>
        <v>-26169.55751675088</v>
      </c>
      <c r="H68" s="12">
        <f t="shared" si="17"/>
        <v>142354.86989390478</v>
      </c>
      <c r="I68" s="12">
        <f t="shared" si="17"/>
        <v>641762.77011633199</v>
      </c>
      <c r="J68" s="12">
        <f t="shared" si="17"/>
        <v>1297874.5202156384</v>
      </c>
      <c r="K68" s="12">
        <f t="shared" si="17"/>
        <v>1429000.8466185951</v>
      </c>
      <c r="L68" s="12">
        <f t="shared" si="17"/>
        <v>1668363.8249535044</v>
      </c>
      <c r="M68" s="12">
        <f t="shared" si="17"/>
        <v>786412.18591735046</v>
      </c>
      <c r="N68" s="16"/>
      <c r="O68" s="6"/>
    </row>
    <row r="69" spans="1:15">
      <c r="A69" s="13" t="s">
        <v>65</v>
      </c>
      <c r="B69" s="12">
        <v>12917512</v>
      </c>
      <c r="C69" s="12">
        <v>12793700</v>
      </c>
      <c r="D69" s="12">
        <v>13941855</v>
      </c>
      <c r="E69" s="12">
        <v>14525011</v>
      </c>
      <c r="F69" s="12">
        <v>14399159</v>
      </c>
      <c r="G69" s="12">
        <v>14361469</v>
      </c>
      <c r="H69" s="12">
        <v>14462138</v>
      </c>
      <c r="I69" s="12">
        <v>15244556</v>
      </c>
      <c r="J69" s="12">
        <v>15579898</v>
      </c>
      <c r="K69" s="12">
        <v>15948341</v>
      </c>
      <c r="L69" s="12">
        <v>16058562</v>
      </c>
      <c r="M69" s="12">
        <v>14998982</v>
      </c>
      <c r="N69" s="12"/>
      <c r="O69" s="6"/>
    </row>
    <row r="70" spans="1:15">
      <c r="A70" s="6"/>
      <c r="B70" s="6"/>
      <c r="C70" s="6"/>
      <c r="E70" s="6"/>
      <c r="F70" s="6"/>
      <c r="H70" s="6"/>
      <c r="I70" s="6"/>
      <c r="J70" s="6"/>
      <c r="K70" s="6"/>
      <c r="L70" s="6"/>
      <c r="M70" s="6"/>
      <c r="N70" s="6"/>
      <c r="O70" s="6"/>
    </row>
    <row r="71" spans="1:15">
      <c r="A71" s="24" t="s">
        <v>68</v>
      </c>
      <c r="B71" s="18"/>
      <c r="C71" s="18"/>
      <c r="D71" s="18"/>
      <c r="E71" s="18"/>
      <c r="F71" s="18"/>
      <c r="G71" s="18"/>
      <c r="H71" s="18"/>
      <c r="I71" s="18"/>
      <c r="J71" s="18"/>
      <c r="K71" s="18"/>
      <c r="L71" s="18"/>
      <c r="M71" s="18"/>
      <c r="N71" s="18"/>
      <c r="O71" s="6"/>
    </row>
    <row r="72" spans="1:15">
      <c r="A72" s="13" t="s">
        <v>63</v>
      </c>
      <c r="B72" s="31">
        <f t="shared" ref="B72:N74" si="18">+B62-B67</f>
        <v>169857.9897115808</v>
      </c>
      <c r="C72" s="31">
        <f t="shared" si="18"/>
        <v>-59514.601128265262</v>
      </c>
      <c r="D72" s="16">
        <f t="shared" si="18"/>
        <v>12398.508551932871</v>
      </c>
      <c r="E72" s="31">
        <f t="shared" si="18"/>
        <v>325241.79628113564</v>
      </c>
      <c r="F72" s="31">
        <f t="shared" si="18"/>
        <v>0</v>
      </c>
      <c r="G72" s="31">
        <f t="shared" si="18"/>
        <v>0</v>
      </c>
      <c r="H72" s="31">
        <f t="shared" si="18"/>
        <v>0</v>
      </c>
      <c r="I72" s="31">
        <f t="shared" si="18"/>
        <v>0</v>
      </c>
      <c r="J72" s="31">
        <f t="shared" si="18"/>
        <v>0</v>
      </c>
      <c r="K72" s="31">
        <f t="shared" si="18"/>
        <v>0</v>
      </c>
      <c r="L72" s="31">
        <f t="shared" si="18"/>
        <v>0</v>
      </c>
      <c r="M72" s="31">
        <f t="shared" si="18"/>
        <v>0</v>
      </c>
      <c r="N72" s="6"/>
      <c r="O72" s="6"/>
    </row>
    <row r="73" spans="1:15" s="6" customFormat="1">
      <c r="A73" s="13" t="s">
        <v>64</v>
      </c>
      <c r="B73" s="31">
        <f t="shared" si="18"/>
        <v>169857.9897115808</v>
      </c>
      <c r="C73" s="31">
        <f t="shared" si="18"/>
        <v>110343.38858331554</v>
      </c>
      <c r="D73" s="16">
        <f t="shared" si="18"/>
        <v>122741.89713524841</v>
      </c>
      <c r="E73" s="31">
        <f t="shared" si="18"/>
        <v>447983.69341638405</v>
      </c>
      <c r="F73" s="31">
        <f t="shared" si="18"/>
        <v>447983.69341638405</v>
      </c>
      <c r="G73" s="31">
        <f t="shared" si="18"/>
        <v>447983.69341638405</v>
      </c>
      <c r="H73" s="31">
        <f t="shared" si="18"/>
        <v>447983.69341638405</v>
      </c>
      <c r="I73" s="31">
        <f t="shared" si="18"/>
        <v>447983.69341638405</v>
      </c>
      <c r="J73" s="31">
        <f t="shared" si="18"/>
        <v>447983.69341638405</v>
      </c>
      <c r="K73" s="31">
        <f t="shared" si="18"/>
        <v>447983.69341638405</v>
      </c>
      <c r="L73" s="31">
        <f t="shared" si="18"/>
        <v>447983.69341638405</v>
      </c>
      <c r="M73" s="31">
        <f t="shared" si="18"/>
        <v>447983.69341638405</v>
      </c>
      <c r="N73" s="16">
        <f t="shared" si="18"/>
        <v>0</v>
      </c>
    </row>
    <row r="74" spans="1:15">
      <c r="A74" s="1" t="s">
        <v>65</v>
      </c>
      <c r="B74" s="16">
        <f t="shared" si="18"/>
        <v>-412182</v>
      </c>
      <c r="C74" s="16">
        <f t="shared" si="18"/>
        <v>-449895.55000000075</v>
      </c>
      <c r="D74" s="16">
        <f t="shared" si="18"/>
        <v>-731010.55999999866</v>
      </c>
      <c r="E74" s="16">
        <f t="shared" si="18"/>
        <v>-438815.08000000007</v>
      </c>
      <c r="F74" s="16">
        <f t="shared" si="18"/>
        <v>-371416.11550347134</v>
      </c>
      <c r="G74" s="16">
        <f t="shared" si="18"/>
        <v>-340707.86410036683</v>
      </c>
      <c r="H74" s="16">
        <f t="shared" si="18"/>
        <v>-272852.43668971211</v>
      </c>
      <c r="I74" s="16">
        <f t="shared" si="18"/>
        <v>-555862.53646728396</v>
      </c>
      <c r="J74" s="16">
        <f t="shared" si="18"/>
        <v>-235092.78636797704</v>
      </c>
      <c r="K74" s="16">
        <f t="shared" si="18"/>
        <v>-472409.45996502042</v>
      </c>
      <c r="L74" s="16">
        <f t="shared" si="18"/>
        <v>-343267.48163011111</v>
      </c>
      <c r="M74" s="16">
        <f t="shared" si="18"/>
        <v>-165639.12066626549</v>
      </c>
      <c r="N74" s="16"/>
      <c r="O74" s="6"/>
    </row>
    <row r="75" spans="1:15">
      <c r="B75" s="6"/>
      <c r="C75" s="6"/>
      <c r="E75" s="6"/>
      <c r="F75" s="6"/>
      <c r="H75" s="6"/>
      <c r="I75" s="6"/>
      <c r="J75" s="6"/>
      <c r="K75" s="6"/>
      <c r="L75" s="6"/>
      <c r="M75" s="6"/>
      <c r="N75" s="6"/>
    </row>
    <row r="76" spans="1:15">
      <c r="A76" s="1"/>
      <c r="B76" s="4"/>
      <c r="C76" s="8"/>
      <c r="D76" s="8"/>
      <c r="E76" s="8"/>
      <c r="F76" s="8"/>
      <c r="H76" s="20"/>
      <c r="J76" s="6"/>
      <c r="K76" s="6"/>
    </row>
    <row r="77" spans="1:15">
      <c r="A77" s="1"/>
      <c r="B77" s="4"/>
      <c r="C77" s="8"/>
      <c r="D77" s="8"/>
      <c r="E77" s="8"/>
      <c r="F77" s="8"/>
      <c r="H77" s="85"/>
      <c r="I77" s="86"/>
      <c r="J77" s="85"/>
    </row>
    <row r="78" spans="1:15">
      <c r="A78" s="1"/>
      <c r="B78" s="4"/>
      <c r="D78" s="8"/>
      <c r="E78" s="8"/>
      <c r="F78" s="8"/>
      <c r="H78" s="61"/>
      <c r="J78" s="6"/>
    </row>
    <row r="79" spans="1:15">
      <c r="E79" s="6"/>
      <c r="H79" s="20"/>
      <c r="J79" s="6"/>
      <c r="N79" s="25"/>
    </row>
    <row r="80" spans="1:15">
      <c r="A80" t="s">
        <v>69</v>
      </c>
      <c r="B80" t="s">
        <v>69</v>
      </c>
      <c r="C80" t="s">
        <v>69</v>
      </c>
      <c r="D80" s="6" t="s">
        <v>69</v>
      </c>
      <c r="E80" s="6" t="s">
        <v>69</v>
      </c>
      <c r="F80" t="s">
        <v>69</v>
      </c>
      <c r="G80" s="6" t="s">
        <v>69</v>
      </c>
      <c r="H80" t="s">
        <v>69</v>
      </c>
      <c r="I80" t="s">
        <v>69</v>
      </c>
      <c r="J80" s="6" t="s">
        <v>69</v>
      </c>
      <c r="K80" t="s">
        <v>69</v>
      </c>
      <c r="L80" t="s">
        <v>69</v>
      </c>
      <c r="M80" t="s">
        <v>69</v>
      </c>
      <c r="N80" t="s">
        <v>69</v>
      </c>
    </row>
    <row r="82" spans="6:8">
      <c r="F82">
        <v>11636.78</v>
      </c>
      <c r="H82">
        <v>73191.26999999999</v>
      </c>
    </row>
    <row r="84" spans="6:8">
      <c r="F84" s="2">
        <f>SUM(B56:F56)</f>
        <v>-87406</v>
      </c>
    </row>
    <row r="85" spans="6:8">
      <c r="F85" s="2">
        <f>SUM(B57:F57)</f>
        <v>-143303</v>
      </c>
    </row>
  </sheetData>
  <pageMargins left="0.28000000000000003" right="0.25" top="0.99" bottom="0.75" header="0.63" footer="0.23"/>
  <pageSetup scale="60" orientation="landscape" r:id="rId1"/>
  <headerFooter alignWithMargins="0">
    <oddHeader xml:space="preserve">&amp;C&amp;"Arial,Bold"&amp;11 49ER SHOPS, INC.
&amp;UFY2019/2020 OPERATIONAL CASH FLOW </oddHeader>
    <oddFooter>&amp;CCash Flow - FY2019/2020
October 2019</oddFooter>
  </headerFooter>
  <legacyDrawing r:id="rId2"/>
</worksheet>
</file>

<file path=xl/worksheets/sheet4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92D050"/>
    <pageSetUpPr fitToPage="1"/>
  </sheetPr>
  <dimension ref="A1:Z85"/>
  <sheetViews>
    <sheetView showGridLines="0" topLeftCell="A43" zoomScale="90" zoomScaleNormal="90" workbookViewId="0">
      <selection activeCell="F62" sqref="F62"/>
    </sheetView>
  </sheetViews>
  <sheetFormatPr defaultRowHeight="12.75"/>
  <cols>
    <col min="1" max="1" width="35.42578125" customWidth="1"/>
    <col min="2" max="2" width="14" customWidth="1"/>
    <col min="3" max="3" width="14.5703125" customWidth="1"/>
    <col min="4" max="4" width="14" style="6" customWidth="1"/>
    <col min="5" max="6" width="13.5703125" customWidth="1"/>
    <col min="7" max="7" width="16.5703125" style="6" customWidth="1"/>
    <col min="8" max="8" width="14.140625" customWidth="1"/>
    <col min="9" max="9" width="14.42578125" customWidth="1"/>
    <col min="10" max="10" width="13.85546875" customWidth="1"/>
    <col min="11" max="11" width="15.140625" customWidth="1"/>
    <col min="12" max="12" width="13.5703125" customWidth="1"/>
    <col min="13" max="13" width="14.42578125" customWidth="1"/>
    <col min="14" max="14" width="16.5703125" customWidth="1"/>
    <col min="15" max="15" width="12.42578125" bestFit="1" customWidth="1"/>
    <col min="16" max="16" width="14.140625" customWidth="1"/>
  </cols>
  <sheetData>
    <row r="1" spans="1:16" ht="13.5" thickBot="1">
      <c r="A1" s="46" t="s">
        <v>130</v>
      </c>
      <c r="E1" s="6"/>
      <c r="F1" s="6"/>
      <c r="J1" s="6"/>
      <c r="K1" s="6"/>
      <c r="N1" s="3"/>
    </row>
    <row r="2" spans="1:16">
      <c r="B2" s="45" t="s">
        <v>24</v>
      </c>
      <c r="C2" s="45" t="s">
        <v>24</v>
      </c>
      <c r="D2" s="45" t="s">
        <v>24</v>
      </c>
      <c r="E2" s="45" t="s">
        <v>24</v>
      </c>
      <c r="F2" s="45" t="s">
        <v>24</v>
      </c>
      <c r="G2" s="45" t="s">
        <v>76</v>
      </c>
      <c r="H2" s="45" t="s">
        <v>76</v>
      </c>
      <c r="I2" s="45" t="s">
        <v>76</v>
      </c>
      <c r="J2" s="45" t="s">
        <v>76</v>
      </c>
      <c r="K2" s="45" t="s">
        <v>76</v>
      </c>
      <c r="L2" s="45" t="s">
        <v>76</v>
      </c>
      <c r="M2" s="45" t="s">
        <v>76</v>
      </c>
      <c r="N2" s="55" t="s">
        <v>25</v>
      </c>
    </row>
    <row r="3" spans="1:16" s="5" customFormat="1">
      <c r="B3" s="11">
        <v>43648</v>
      </c>
      <c r="C3" s="90">
        <v>43679</v>
      </c>
      <c r="D3" s="90">
        <v>43710</v>
      </c>
      <c r="E3" s="11">
        <v>43740</v>
      </c>
      <c r="F3" s="11">
        <v>43771</v>
      </c>
      <c r="G3" s="11">
        <v>43801</v>
      </c>
      <c r="H3" s="11">
        <v>43832</v>
      </c>
      <c r="I3" s="11">
        <v>43863</v>
      </c>
      <c r="J3" s="11">
        <v>43892</v>
      </c>
      <c r="K3" s="11">
        <v>43923</v>
      </c>
      <c r="L3" s="11">
        <v>43953</v>
      </c>
      <c r="M3" s="11">
        <v>43984</v>
      </c>
      <c r="N3" s="57" t="s">
        <v>123</v>
      </c>
    </row>
    <row r="4" spans="1:16">
      <c r="A4" s="1" t="s">
        <v>27</v>
      </c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>
        <f>SUM(B4:M4)</f>
        <v>0</v>
      </c>
      <c r="O4" s="29"/>
    </row>
    <row r="5" spans="1:16" s="6" customFormat="1">
      <c r="A5" s="6" t="s">
        <v>28</v>
      </c>
      <c r="B5" s="49">
        <v>1506911</v>
      </c>
      <c r="C5" s="53">
        <v>4218296</v>
      </c>
      <c r="D5" s="53">
        <v>4008767</v>
      </c>
      <c r="E5" s="53">
        <v>3723428</v>
      </c>
      <c r="F5" s="53">
        <v>2637007</v>
      </c>
      <c r="G5" s="53">
        <v>2427666.0239800001</v>
      </c>
      <c r="H5" s="53">
        <v>3962386.4049500003</v>
      </c>
      <c r="I5" s="53">
        <v>3413283.7329099998</v>
      </c>
      <c r="J5" s="53">
        <v>3663286.3910400001</v>
      </c>
      <c r="K5" s="53">
        <v>3303515.2019700003</v>
      </c>
      <c r="L5" s="53">
        <v>2866321.64855</v>
      </c>
      <c r="M5" s="53">
        <v>1394806.15129</v>
      </c>
      <c r="N5" s="12">
        <f>SUM(B5:M5)</f>
        <v>37125674.554690003</v>
      </c>
      <c r="O5" s="29"/>
    </row>
    <row r="6" spans="1:16" s="6" customFormat="1">
      <c r="A6" s="6" t="s">
        <v>29</v>
      </c>
      <c r="B6" s="49">
        <v>122669</v>
      </c>
      <c r="C6" s="53">
        <v>65308</v>
      </c>
      <c r="D6" s="53">
        <v>368424</v>
      </c>
      <c r="E6" s="53">
        <v>265657</v>
      </c>
      <c r="F6" s="53">
        <v>90828</v>
      </c>
      <c r="G6" s="53">
        <v>98971</v>
      </c>
      <c r="H6" s="53">
        <v>117729</v>
      </c>
      <c r="I6" s="53">
        <v>171397</v>
      </c>
      <c r="J6" s="53">
        <v>127523</v>
      </c>
      <c r="K6" s="53">
        <v>123229</v>
      </c>
      <c r="L6" s="53">
        <v>130378</v>
      </c>
      <c r="M6" s="53">
        <v>105525</v>
      </c>
      <c r="N6" s="7">
        <f>SUM(B6:M6)</f>
        <v>1787638</v>
      </c>
      <c r="O6" s="29"/>
    </row>
    <row r="7" spans="1:16" s="6" customFormat="1">
      <c r="B7" s="7"/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7">
        <f>SUM(B7:M7)</f>
        <v>0</v>
      </c>
      <c r="O7" s="29"/>
    </row>
    <row r="8" spans="1:16" s="6" customFormat="1">
      <c r="B8" s="15"/>
      <c r="C8" s="15"/>
      <c r="D8" s="15"/>
      <c r="E8" s="15"/>
      <c r="F8" s="15"/>
      <c r="G8" s="15"/>
      <c r="H8" s="15"/>
      <c r="I8" s="15"/>
      <c r="J8" s="15"/>
      <c r="K8" s="15"/>
      <c r="L8" s="15"/>
      <c r="M8" s="15"/>
      <c r="N8" s="15">
        <f>SUM(B8:M8)</f>
        <v>0</v>
      </c>
      <c r="O8" s="29"/>
    </row>
    <row r="9" spans="1:16" s="6" customFormat="1">
      <c r="A9" s="13" t="s">
        <v>30</v>
      </c>
      <c r="B9" s="12">
        <f t="shared" ref="B9:N9" si="0">SUM(B5:B8)</f>
        <v>1629580</v>
      </c>
      <c r="C9" s="12">
        <f t="shared" si="0"/>
        <v>4283604</v>
      </c>
      <c r="D9" s="12">
        <f t="shared" si="0"/>
        <v>4377191</v>
      </c>
      <c r="E9" s="12">
        <f t="shared" si="0"/>
        <v>3989085</v>
      </c>
      <c r="F9" s="12">
        <f t="shared" si="0"/>
        <v>2727835</v>
      </c>
      <c r="G9" s="12">
        <f t="shared" si="0"/>
        <v>2526637.0239800001</v>
      </c>
      <c r="H9" s="12">
        <f t="shared" si="0"/>
        <v>4080115.4049500003</v>
      </c>
      <c r="I9" s="12">
        <f t="shared" si="0"/>
        <v>3584680.7329099998</v>
      </c>
      <c r="J9" s="12">
        <f t="shared" si="0"/>
        <v>3790809.3910400001</v>
      </c>
      <c r="K9" s="12">
        <f t="shared" si="0"/>
        <v>3426744.2019700003</v>
      </c>
      <c r="L9" s="12">
        <f t="shared" si="0"/>
        <v>2996699.64855</v>
      </c>
      <c r="M9" s="12">
        <f t="shared" si="0"/>
        <v>1500331.15129</v>
      </c>
      <c r="N9" s="12">
        <f t="shared" si="0"/>
        <v>38913312.554690003</v>
      </c>
      <c r="O9" s="29"/>
      <c r="P9" s="29">
        <f>+N9</f>
        <v>38913312.554690003</v>
      </c>
    </row>
    <row r="10" spans="1:16" s="6" customFormat="1" ht="6.75" customHeight="1"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29"/>
    </row>
    <row r="11" spans="1:16" s="6" customFormat="1">
      <c r="A11" s="13" t="s">
        <v>31</v>
      </c>
      <c r="B11" s="7">
        <v>2191</v>
      </c>
      <c r="C11" s="7">
        <v>230</v>
      </c>
      <c r="D11" s="7">
        <v>408.4</v>
      </c>
      <c r="E11" s="7">
        <v>-227</v>
      </c>
      <c r="F11" s="7">
        <v>225</v>
      </c>
      <c r="G11" s="7"/>
      <c r="H11" s="7"/>
      <c r="I11" s="7"/>
      <c r="J11" s="7"/>
      <c r="K11" s="7"/>
      <c r="L11" s="7"/>
      <c r="M11" s="7"/>
      <c r="N11" s="7">
        <f>SUM(B11:M11)</f>
        <v>2827.4</v>
      </c>
      <c r="O11" s="29"/>
    </row>
    <row r="12" spans="1:16" s="6" customFormat="1" ht="7.5" customHeight="1">
      <c r="B12" s="7"/>
      <c r="C12" s="7"/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  <c r="O12" s="29"/>
    </row>
    <row r="13" spans="1:16" s="6" customFormat="1" ht="21" customHeight="1" thickBot="1">
      <c r="A13" s="13" t="s">
        <v>32</v>
      </c>
      <c r="B13" s="14">
        <f t="shared" ref="B13:N13" si="1">B9+B11</f>
        <v>1631771</v>
      </c>
      <c r="C13" s="14">
        <f>C9+C11</f>
        <v>4283834</v>
      </c>
      <c r="D13" s="14">
        <f t="shared" si="1"/>
        <v>4377599.4000000004</v>
      </c>
      <c r="E13" s="14">
        <f t="shared" si="1"/>
        <v>3988858</v>
      </c>
      <c r="F13" s="14">
        <f t="shared" si="1"/>
        <v>2728060</v>
      </c>
      <c r="G13" s="14">
        <f t="shared" si="1"/>
        <v>2526637.0239800001</v>
      </c>
      <c r="H13" s="14">
        <f t="shared" si="1"/>
        <v>4080115.4049500003</v>
      </c>
      <c r="I13" s="14">
        <f t="shared" si="1"/>
        <v>3584680.7329099998</v>
      </c>
      <c r="J13" s="14">
        <f t="shared" si="1"/>
        <v>3790809.3910400001</v>
      </c>
      <c r="K13" s="14">
        <f t="shared" si="1"/>
        <v>3426744.2019700003</v>
      </c>
      <c r="L13" s="14">
        <f t="shared" si="1"/>
        <v>2996699.64855</v>
      </c>
      <c r="M13" s="14">
        <f t="shared" si="1"/>
        <v>1500331.15129</v>
      </c>
      <c r="N13" s="14">
        <f t="shared" si="1"/>
        <v>38916139.954690002</v>
      </c>
      <c r="O13" s="29"/>
    </row>
    <row r="14" spans="1:16" s="6" customFormat="1" ht="21" customHeight="1" thickTop="1">
      <c r="B14" s="7"/>
      <c r="C14" s="7"/>
      <c r="D14" s="7"/>
      <c r="E14" s="7"/>
      <c r="F14" s="7"/>
      <c r="G14" s="7"/>
      <c r="H14" s="7"/>
      <c r="I14" s="7"/>
      <c r="J14" s="7"/>
      <c r="K14" s="7"/>
      <c r="L14" s="7"/>
      <c r="M14" s="7"/>
    </row>
    <row r="15" spans="1:16" s="6" customFormat="1" ht="17.25" customHeight="1">
      <c r="A15" s="13" t="s">
        <v>33</v>
      </c>
      <c r="B15" s="7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</row>
    <row r="16" spans="1:16" s="6" customFormat="1" ht="12" customHeight="1">
      <c r="A16" s="6" t="s">
        <v>34</v>
      </c>
      <c r="B16" s="49">
        <v>789538</v>
      </c>
      <c r="C16" s="53">
        <v>2542832</v>
      </c>
      <c r="D16" s="53">
        <v>1670912</v>
      </c>
      <c r="E16" s="53">
        <v>1241006</v>
      </c>
      <c r="F16" s="53">
        <v>943426</v>
      </c>
      <c r="G16" s="53">
        <v>872403.03766999999</v>
      </c>
      <c r="H16" s="53">
        <v>2196091.03559</v>
      </c>
      <c r="I16" s="53">
        <v>1238755.4207799998</v>
      </c>
      <c r="J16" s="53">
        <v>1292296.5777699999</v>
      </c>
      <c r="K16" s="53">
        <v>1245676.8455400001</v>
      </c>
      <c r="L16" s="53">
        <v>1172737.3767599999</v>
      </c>
      <c r="M16" s="53">
        <v>726619.06070999999</v>
      </c>
      <c r="N16" s="7">
        <f>SUM(B16:M16)</f>
        <v>15932293.35482</v>
      </c>
      <c r="O16" s="29"/>
      <c r="P16" s="7">
        <f>-N16</f>
        <v>-15932293.35482</v>
      </c>
    </row>
    <row r="17" spans="1:16" s="6" customFormat="1" ht="20.25" customHeight="1">
      <c r="B17" s="27"/>
      <c r="C17" s="27"/>
      <c r="D17" s="27"/>
      <c r="E17" s="27"/>
      <c r="F17" s="27"/>
      <c r="G17" s="27"/>
      <c r="H17" s="27"/>
      <c r="I17" s="27"/>
      <c r="J17" s="27"/>
      <c r="K17" s="27"/>
      <c r="L17" s="27"/>
      <c r="M17" s="27"/>
      <c r="N17" s="7">
        <f>SUM(B17:M17)</f>
        <v>0</v>
      </c>
    </row>
    <row r="18" spans="1:16" s="6" customFormat="1" ht="26.25" customHeight="1">
      <c r="B18" s="7"/>
      <c r="C18" s="7"/>
      <c r="D18" s="7"/>
      <c r="E18" s="7"/>
      <c r="F18" s="7"/>
      <c r="G18" s="7"/>
      <c r="H18" s="7"/>
      <c r="I18" s="7"/>
      <c r="J18" s="7"/>
      <c r="K18" s="7"/>
      <c r="L18" s="7"/>
      <c r="M18" s="7"/>
      <c r="N18" s="7">
        <v>0</v>
      </c>
    </row>
    <row r="19" spans="1:16" s="6" customFormat="1" ht="12" customHeight="1">
      <c r="B19" s="15"/>
      <c r="C19" s="15"/>
      <c r="D19" s="15"/>
      <c r="E19" s="15"/>
      <c r="F19" s="15"/>
      <c r="G19" s="15"/>
      <c r="H19" s="15"/>
      <c r="I19" s="15"/>
      <c r="J19" s="15"/>
      <c r="K19" s="15"/>
      <c r="L19" s="15"/>
      <c r="M19" s="15"/>
      <c r="N19" s="15">
        <f>SUM(B19:M19)</f>
        <v>0</v>
      </c>
    </row>
    <row r="20" spans="1:16" s="6" customFormat="1">
      <c r="A20" s="13" t="s">
        <v>35</v>
      </c>
      <c r="B20" s="12">
        <f t="shared" ref="B20:N20" si="2">SUM(B16:B19)</f>
        <v>789538</v>
      </c>
      <c r="C20" s="12">
        <f t="shared" si="2"/>
        <v>2542832</v>
      </c>
      <c r="D20" s="12">
        <f t="shared" si="2"/>
        <v>1670912</v>
      </c>
      <c r="E20" s="12">
        <f t="shared" si="2"/>
        <v>1241006</v>
      </c>
      <c r="F20" s="12">
        <f t="shared" si="2"/>
        <v>943426</v>
      </c>
      <c r="G20" s="12">
        <f t="shared" si="2"/>
        <v>872403.03766999999</v>
      </c>
      <c r="H20" s="12">
        <f t="shared" si="2"/>
        <v>2196091.03559</v>
      </c>
      <c r="I20" s="12">
        <f t="shared" si="2"/>
        <v>1238755.4207799998</v>
      </c>
      <c r="J20" s="12">
        <f t="shared" si="2"/>
        <v>1292296.5777699999</v>
      </c>
      <c r="K20" s="12">
        <f t="shared" si="2"/>
        <v>1245676.8455400001</v>
      </c>
      <c r="L20" s="12">
        <f t="shared" si="2"/>
        <v>1172737.3767599999</v>
      </c>
      <c r="M20" s="12">
        <f t="shared" si="2"/>
        <v>726619.06070999999</v>
      </c>
      <c r="N20" s="12">
        <f t="shared" si="2"/>
        <v>15932293.35482</v>
      </c>
      <c r="O20" s="29"/>
    </row>
    <row r="21" spans="1:16" s="6" customFormat="1">
      <c r="B21" s="7"/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</row>
    <row r="22" spans="1:16" s="6" customFormat="1" ht="3" customHeight="1">
      <c r="A22" s="13" t="s">
        <v>36</v>
      </c>
      <c r="B22" s="7"/>
      <c r="C22" s="7"/>
      <c r="D22" s="7"/>
      <c r="E22" s="7"/>
      <c r="F22" s="7"/>
      <c r="G22" s="7"/>
      <c r="H22" s="7"/>
      <c r="I22" s="7"/>
      <c r="J22" s="7"/>
      <c r="K22" s="7"/>
      <c r="L22" s="7"/>
      <c r="M22" s="7"/>
    </row>
    <row r="23" spans="1:16" s="6" customFormat="1">
      <c r="A23" s="6" t="s">
        <v>37</v>
      </c>
      <c r="B23" s="7">
        <f t="shared" ref="B23:M26" si="3">+B5-B16</f>
        <v>717373</v>
      </c>
      <c r="C23" s="7">
        <f t="shared" si="3"/>
        <v>1675464</v>
      </c>
      <c r="D23" s="7">
        <f t="shared" si="3"/>
        <v>2337855</v>
      </c>
      <c r="E23" s="7">
        <f t="shared" si="3"/>
        <v>2482422</v>
      </c>
      <c r="F23" s="7">
        <f t="shared" si="3"/>
        <v>1693581</v>
      </c>
      <c r="G23" s="7">
        <f t="shared" si="3"/>
        <v>1555262.9863100001</v>
      </c>
      <c r="H23" s="7">
        <f t="shared" si="3"/>
        <v>1766295.3693600004</v>
      </c>
      <c r="I23" s="7">
        <f t="shared" si="3"/>
        <v>2174528.31213</v>
      </c>
      <c r="J23" s="7">
        <f t="shared" si="3"/>
        <v>2370989.8132700003</v>
      </c>
      <c r="K23" s="7">
        <f t="shared" si="3"/>
        <v>2057838.3564300002</v>
      </c>
      <c r="L23" s="7">
        <f t="shared" si="3"/>
        <v>1693584.2717900001</v>
      </c>
      <c r="M23" s="7">
        <f t="shared" si="3"/>
        <v>668187.09057999996</v>
      </c>
      <c r="N23" s="7">
        <f>SUM(B23:M23)</f>
        <v>21193381.199870005</v>
      </c>
      <c r="O23" s="29"/>
    </row>
    <row r="24" spans="1:16" s="6" customFormat="1">
      <c r="A24" s="6" t="s">
        <v>37</v>
      </c>
      <c r="B24" s="7">
        <f t="shared" si="3"/>
        <v>122669</v>
      </c>
      <c r="C24" s="7">
        <f t="shared" si="3"/>
        <v>65308</v>
      </c>
      <c r="D24" s="7">
        <f t="shared" si="3"/>
        <v>368424</v>
      </c>
      <c r="E24" s="7">
        <f t="shared" si="3"/>
        <v>265657</v>
      </c>
      <c r="F24" s="7">
        <f t="shared" si="3"/>
        <v>90828</v>
      </c>
      <c r="G24" s="7">
        <f t="shared" si="3"/>
        <v>98971</v>
      </c>
      <c r="H24" s="7">
        <f t="shared" si="3"/>
        <v>117729</v>
      </c>
      <c r="I24" s="7">
        <f t="shared" si="3"/>
        <v>171397</v>
      </c>
      <c r="J24" s="7">
        <f t="shared" si="3"/>
        <v>127523</v>
      </c>
      <c r="K24" s="7">
        <f t="shared" si="3"/>
        <v>123229</v>
      </c>
      <c r="L24" s="7">
        <f t="shared" si="3"/>
        <v>130378</v>
      </c>
      <c r="M24" s="7">
        <f t="shared" si="3"/>
        <v>105525</v>
      </c>
      <c r="N24" s="7">
        <f>SUM(B24:M24)</f>
        <v>1787638</v>
      </c>
      <c r="O24" s="29"/>
    </row>
    <row r="25" spans="1:16" s="6" customFormat="1">
      <c r="A25" s="6" t="s">
        <v>38</v>
      </c>
      <c r="B25" s="7">
        <f t="shared" si="3"/>
        <v>0</v>
      </c>
      <c r="C25" s="7">
        <f t="shared" si="3"/>
        <v>0</v>
      </c>
      <c r="D25" s="7">
        <f t="shared" si="3"/>
        <v>0</v>
      </c>
      <c r="E25" s="7">
        <f t="shared" si="3"/>
        <v>0</v>
      </c>
      <c r="F25" s="7">
        <f t="shared" si="3"/>
        <v>0</v>
      </c>
      <c r="G25" s="7">
        <f t="shared" si="3"/>
        <v>0</v>
      </c>
      <c r="H25" s="7">
        <f t="shared" si="3"/>
        <v>0</v>
      </c>
      <c r="I25" s="7">
        <f t="shared" si="3"/>
        <v>0</v>
      </c>
      <c r="J25" s="7">
        <f t="shared" si="3"/>
        <v>0</v>
      </c>
      <c r="K25" s="7">
        <f t="shared" si="3"/>
        <v>0</v>
      </c>
      <c r="L25" s="7">
        <f t="shared" si="3"/>
        <v>0</v>
      </c>
      <c r="M25" s="7">
        <f t="shared" si="3"/>
        <v>0</v>
      </c>
      <c r="N25" s="7">
        <f>SUM(B25:M25)</f>
        <v>0</v>
      </c>
      <c r="O25" s="29"/>
    </row>
    <row r="26" spans="1:16" s="6" customFormat="1">
      <c r="A26" s="6" t="s">
        <v>38</v>
      </c>
      <c r="B26" s="15">
        <f t="shared" si="3"/>
        <v>0</v>
      </c>
      <c r="C26" s="15">
        <f t="shared" si="3"/>
        <v>0</v>
      </c>
      <c r="D26" s="15">
        <f t="shared" si="3"/>
        <v>0</v>
      </c>
      <c r="E26" s="15">
        <f t="shared" si="3"/>
        <v>0</v>
      </c>
      <c r="F26" s="15">
        <f t="shared" si="3"/>
        <v>0</v>
      </c>
      <c r="G26" s="15">
        <f t="shared" si="3"/>
        <v>0</v>
      </c>
      <c r="H26" s="15">
        <f t="shared" si="3"/>
        <v>0</v>
      </c>
      <c r="I26" s="15">
        <f t="shared" si="3"/>
        <v>0</v>
      </c>
      <c r="J26" s="15">
        <f t="shared" si="3"/>
        <v>0</v>
      </c>
      <c r="K26" s="15">
        <f t="shared" si="3"/>
        <v>0</v>
      </c>
      <c r="L26" s="15">
        <f t="shared" si="3"/>
        <v>0</v>
      </c>
      <c r="M26" s="15">
        <f t="shared" si="3"/>
        <v>0</v>
      </c>
      <c r="N26" s="15">
        <f>SUM(B26:M26)</f>
        <v>0</v>
      </c>
      <c r="O26" s="29"/>
    </row>
    <row r="27" spans="1:16" s="6" customFormat="1">
      <c r="A27" s="13" t="s">
        <v>39</v>
      </c>
      <c r="B27" s="12">
        <f t="shared" ref="B27:N27" si="4">SUM(B23:B26)</f>
        <v>840042</v>
      </c>
      <c r="C27" s="12">
        <f t="shared" si="4"/>
        <v>1740772</v>
      </c>
      <c r="D27" s="12">
        <f t="shared" si="4"/>
        <v>2706279</v>
      </c>
      <c r="E27" s="12">
        <f t="shared" si="4"/>
        <v>2748079</v>
      </c>
      <c r="F27" s="12">
        <f t="shared" si="4"/>
        <v>1784409</v>
      </c>
      <c r="G27" s="12">
        <f t="shared" si="4"/>
        <v>1654233.9863100001</v>
      </c>
      <c r="H27" s="12">
        <f t="shared" si="4"/>
        <v>1884024.3693600004</v>
      </c>
      <c r="I27" s="12">
        <f t="shared" si="4"/>
        <v>2345925.31213</v>
      </c>
      <c r="J27" s="12">
        <f t="shared" si="4"/>
        <v>2498512.8132700003</v>
      </c>
      <c r="K27" s="12">
        <f t="shared" si="4"/>
        <v>2181067.3564300002</v>
      </c>
      <c r="L27" s="12">
        <f t="shared" si="4"/>
        <v>1823962.2717900001</v>
      </c>
      <c r="M27" s="12">
        <f>SUM(M23:M26)</f>
        <v>773712.09057999996</v>
      </c>
      <c r="N27" s="12">
        <f t="shared" si="4"/>
        <v>22981019.199870005</v>
      </c>
      <c r="O27" s="29"/>
      <c r="P27" s="29">
        <f>+N27</f>
        <v>22981019.199870005</v>
      </c>
    </row>
    <row r="28" spans="1:16" s="6" customFormat="1" ht="14.25" customHeight="1">
      <c r="B28" s="73">
        <f>+B27/B9</f>
        <v>0.51549601737871109</v>
      </c>
      <c r="C28" s="73">
        <f t="shared" ref="C28:N28" si="5">+C27/C9</f>
        <v>0.40638023496102815</v>
      </c>
      <c r="D28" s="73">
        <f t="shared" si="5"/>
        <v>0.61826842831395756</v>
      </c>
      <c r="E28" s="73">
        <f t="shared" si="5"/>
        <v>0.68889958474186441</v>
      </c>
      <c r="F28" s="73">
        <f t="shared" si="5"/>
        <v>0.65414843639736275</v>
      </c>
      <c r="G28" s="73">
        <f t="shared" si="5"/>
        <v>0.65471770207191204</v>
      </c>
      <c r="H28" s="73">
        <f t="shared" si="5"/>
        <v>0.46175761770716095</v>
      </c>
      <c r="I28" s="73">
        <f t="shared" si="5"/>
        <v>0.65443075323073652</v>
      </c>
      <c r="J28" s="73">
        <f t="shared" si="5"/>
        <v>0.65909745269058195</v>
      </c>
      <c r="K28" s="73">
        <f t="shared" si="5"/>
        <v>0.63648385402567453</v>
      </c>
      <c r="L28" s="73">
        <f t="shared" si="5"/>
        <v>0.60865701795391902</v>
      </c>
      <c r="M28" s="73">
        <f t="shared" si="5"/>
        <v>0.51569421185099995</v>
      </c>
      <c r="N28" s="73">
        <f t="shared" si="5"/>
        <v>0.5905695940835608</v>
      </c>
    </row>
    <row r="29" spans="1:16" s="6" customFormat="1" ht="3" customHeight="1">
      <c r="A29" s="13" t="s">
        <v>40</v>
      </c>
      <c r="B29" s="7"/>
      <c r="C29" s="7"/>
      <c r="D29" s="7"/>
      <c r="E29" s="7"/>
      <c r="F29" s="7"/>
      <c r="G29" s="7"/>
      <c r="H29" s="7"/>
      <c r="I29" s="7"/>
      <c r="J29" s="7"/>
      <c r="K29" s="7"/>
      <c r="L29" s="7"/>
      <c r="M29" s="7"/>
    </row>
    <row r="30" spans="1:16" s="6" customFormat="1">
      <c r="A30" s="6" t="s">
        <v>93</v>
      </c>
      <c r="B30" s="49">
        <v>599577</v>
      </c>
      <c r="C30" s="53">
        <v>671079</v>
      </c>
      <c r="D30" s="53">
        <v>793811</v>
      </c>
      <c r="E30" s="53">
        <v>957117</v>
      </c>
      <c r="F30" s="53">
        <v>689782</v>
      </c>
      <c r="G30" s="53">
        <v>642815.15417670459</v>
      </c>
      <c r="H30" s="53">
        <v>742691.29158794135</v>
      </c>
      <c r="I30" s="53">
        <v>781375.03238776349</v>
      </c>
      <c r="J30" s="53">
        <v>800842.39032942755</v>
      </c>
      <c r="K30" s="53">
        <v>843636.89934994141</v>
      </c>
      <c r="L30" s="53">
        <v>694327.62761942751</v>
      </c>
      <c r="M30" s="53">
        <v>505922.77644506848</v>
      </c>
      <c r="N30" s="7">
        <f>SUM(B30:M30)</f>
        <v>8722977.1718962751</v>
      </c>
      <c r="O30" s="29"/>
    </row>
    <row r="31" spans="1:16" s="6" customFormat="1">
      <c r="A31" s="6" t="s">
        <v>42</v>
      </c>
      <c r="B31" s="49">
        <v>243836</v>
      </c>
      <c r="C31" s="53">
        <v>217946</v>
      </c>
      <c r="D31" s="53">
        <v>239113</v>
      </c>
      <c r="E31" s="53">
        <v>257850</v>
      </c>
      <c r="F31" s="53">
        <v>223271</v>
      </c>
      <c r="G31" s="53">
        <v>206445.92073019079</v>
      </c>
      <c r="H31" s="53">
        <v>223886.15036140359</v>
      </c>
      <c r="I31" s="53">
        <v>211238.57951980905</v>
      </c>
      <c r="J31" s="53">
        <v>216879.11284126632</v>
      </c>
      <c r="K31" s="53">
        <v>235419.63067710202</v>
      </c>
      <c r="L31" s="53">
        <v>214783.16583566315</v>
      </c>
      <c r="M31" s="53">
        <v>196662.95050247436</v>
      </c>
      <c r="N31" s="7">
        <f>SUM(B31:M31)</f>
        <v>2687331.5104679093</v>
      </c>
      <c r="O31" s="29"/>
    </row>
    <row r="32" spans="1:16" s="6" customFormat="1" ht="15">
      <c r="A32" s="6" t="s">
        <v>38</v>
      </c>
      <c r="B32" s="68"/>
      <c r="C32" s="68"/>
      <c r="D32" s="68"/>
      <c r="E32" s="68"/>
      <c r="F32" s="68"/>
      <c r="G32" s="68"/>
      <c r="H32" s="68"/>
      <c r="I32" s="68"/>
      <c r="J32" s="68"/>
      <c r="K32" s="68"/>
      <c r="L32" s="68"/>
      <c r="M32" s="68"/>
      <c r="N32" s="7">
        <f>SUM(B32:M32)</f>
        <v>0</v>
      </c>
      <c r="O32" s="29"/>
    </row>
    <row r="33" spans="1:16" s="6" customFormat="1" ht="13.5" customHeight="1">
      <c r="B33" s="15"/>
      <c r="C33" s="15"/>
      <c r="D33" s="15"/>
      <c r="E33" s="15"/>
      <c r="F33" s="15"/>
      <c r="G33" s="15"/>
      <c r="H33" s="15"/>
      <c r="I33" s="15"/>
      <c r="J33" s="15"/>
      <c r="K33" s="15"/>
      <c r="L33" s="15"/>
      <c r="M33" s="15"/>
      <c r="N33" s="15">
        <f>SUM(B33:M33)</f>
        <v>0</v>
      </c>
      <c r="O33" s="29"/>
    </row>
    <row r="34" spans="1:16" s="6" customFormat="1">
      <c r="A34" s="13" t="s">
        <v>43</v>
      </c>
      <c r="B34" s="12">
        <f t="shared" ref="B34:N34" si="6">SUM(B30:B33)</f>
        <v>843413</v>
      </c>
      <c r="C34" s="12">
        <f t="shared" si="6"/>
        <v>889025</v>
      </c>
      <c r="D34" s="12">
        <f t="shared" si="6"/>
        <v>1032924</v>
      </c>
      <c r="E34" s="12">
        <f t="shared" si="6"/>
        <v>1214967</v>
      </c>
      <c r="F34" s="12">
        <f t="shared" si="6"/>
        <v>913053</v>
      </c>
      <c r="G34" s="12">
        <f t="shared" si="6"/>
        <v>849261.0749068954</v>
      </c>
      <c r="H34" s="12">
        <f t="shared" si="6"/>
        <v>966577.44194934494</v>
      </c>
      <c r="I34" s="12">
        <f t="shared" si="6"/>
        <v>992613.61190757249</v>
      </c>
      <c r="J34" s="12">
        <f t="shared" si="6"/>
        <v>1017721.5031706939</v>
      </c>
      <c r="K34" s="12">
        <f t="shared" si="6"/>
        <v>1079056.5300270435</v>
      </c>
      <c r="L34" s="12">
        <f t="shared" si="6"/>
        <v>909110.79345509061</v>
      </c>
      <c r="M34" s="12">
        <f t="shared" si="6"/>
        <v>702585.72694754286</v>
      </c>
      <c r="N34" s="12">
        <f t="shared" si="6"/>
        <v>11410308.682364184</v>
      </c>
      <c r="O34" s="29"/>
    </row>
    <row r="35" spans="1:16" s="6" customFormat="1">
      <c r="B35" s="7"/>
      <c r="C35" s="7"/>
      <c r="D35" s="7"/>
      <c r="E35" s="7"/>
      <c r="F35" s="7"/>
      <c r="G35" s="7"/>
      <c r="H35" s="7"/>
      <c r="I35" s="7"/>
      <c r="J35" s="7"/>
      <c r="K35" s="7"/>
      <c r="L35" s="7"/>
      <c r="M35" s="7"/>
    </row>
    <row r="36" spans="1:16" s="6" customFormat="1" ht="3" customHeight="1">
      <c r="A36" s="13" t="s">
        <v>44</v>
      </c>
      <c r="B36" s="7"/>
      <c r="C36" s="7"/>
      <c r="D36" s="7"/>
      <c r="E36" s="7"/>
      <c r="F36" s="7"/>
      <c r="G36" s="7"/>
      <c r="H36" s="7"/>
      <c r="I36" s="7"/>
      <c r="J36" s="7"/>
      <c r="K36" s="7"/>
      <c r="L36" s="7"/>
      <c r="M36" s="7"/>
    </row>
    <row r="37" spans="1:16" s="6" customFormat="1">
      <c r="A37" s="6" t="s">
        <v>45</v>
      </c>
      <c r="B37" s="53">
        <v>1312659</v>
      </c>
      <c r="C37" s="53">
        <v>1350844</v>
      </c>
      <c r="D37" s="53">
        <v>1621977</v>
      </c>
      <c r="E37" s="53">
        <v>1862721</v>
      </c>
      <c r="F37" s="53">
        <v>1464546</v>
      </c>
      <c r="G37" s="66">
        <v>1429801.7349068953</v>
      </c>
      <c r="H37" s="66">
        <v>1473861.9419493449</v>
      </c>
      <c r="I37" s="66">
        <v>1630408.4119075725</v>
      </c>
      <c r="J37" s="66">
        <v>1636445.0631706938</v>
      </c>
      <c r="K37" s="53">
        <v>1704354.0300270435</v>
      </c>
      <c r="L37" s="53">
        <v>1425328.2934550906</v>
      </c>
      <c r="M37" s="53">
        <v>1205462.7296161538</v>
      </c>
      <c r="N37" s="7">
        <f>SUM(B37:M37)</f>
        <v>18118409.205032796</v>
      </c>
      <c r="O37" s="29"/>
    </row>
    <row r="38" spans="1:16" s="6" customFormat="1">
      <c r="A38" s="6" t="s">
        <v>46</v>
      </c>
      <c r="B38" s="7">
        <f>-B34</f>
        <v>-843413</v>
      </c>
      <c r="C38" s="7">
        <f t="shared" ref="C38:M38" si="7">-C34</f>
        <v>-889025</v>
      </c>
      <c r="D38" s="7">
        <f t="shared" si="7"/>
        <v>-1032924</v>
      </c>
      <c r="E38" s="7">
        <f t="shared" si="7"/>
        <v>-1214967</v>
      </c>
      <c r="F38" s="7">
        <f t="shared" si="7"/>
        <v>-913053</v>
      </c>
      <c r="G38" s="7">
        <f t="shared" si="7"/>
        <v>-849261.0749068954</v>
      </c>
      <c r="H38" s="7">
        <f t="shared" si="7"/>
        <v>-966577.44194934494</v>
      </c>
      <c r="I38" s="7">
        <f t="shared" si="7"/>
        <v>-992613.61190757249</v>
      </c>
      <c r="J38" s="7">
        <f t="shared" si="7"/>
        <v>-1017721.5031706939</v>
      </c>
      <c r="K38" s="7">
        <f t="shared" si="7"/>
        <v>-1079056.5300270435</v>
      </c>
      <c r="L38" s="7">
        <f t="shared" si="7"/>
        <v>-909110.79345509061</v>
      </c>
      <c r="M38" s="7">
        <f t="shared" si="7"/>
        <v>-702585.72694754286</v>
      </c>
      <c r="N38" s="7">
        <f>SUM(B38:M38)</f>
        <v>-11410308.682364183</v>
      </c>
      <c r="O38" s="29"/>
    </row>
    <row r="39" spans="1:16" s="6" customFormat="1">
      <c r="A39" s="6" t="s">
        <v>47</v>
      </c>
      <c r="B39" s="72">
        <v>-77862</v>
      </c>
      <c r="C39" s="72">
        <v>-77862</v>
      </c>
      <c r="D39" s="72">
        <v>-77862</v>
      </c>
      <c r="E39" s="72">
        <v>-77862</v>
      </c>
      <c r="F39" s="72">
        <v>-77862</v>
      </c>
      <c r="G39" s="72">
        <v>-83801</v>
      </c>
      <c r="H39" s="72">
        <v>-85493</v>
      </c>
      <c r="I39" s="72">
        <v>-85493</v>
      </c>
      <c r="J39" s="72">
        <v>-85493</v>
      </c>
      <c r="K39" s="72">
        <v>-85493</v>
      </c>
      <c r="L39" s="72">
        <v>-85493</v>
      </c>
      <c r="M39" s="72">
        <v>-85493</v>
      </c>
      <c r="N39" s="42">
        <f>SUM(B39:M39)</f>
        <v>-986069</v>
      </c>
      <c r="O39" s="88"/>
      <c r="P39" s="42"/>
    </row>
    <row r="40" spans="1:16" s="6" customFormat="1">
      <c r="A40" s="6" t="s">
        <v>124</v>
      </c>
      <c r="B40" s="53">
        <v>-8600</v>
      </c>
      <c r="C40" s="53">
        <v>-8600</v>
      </c>
      <c r="D40" s="53">
        <v>-8600</v>
      </c>
      <c r="E40" s="53">
        <v>-8600</v>
      </c>
      <c r="F40" s="53">
        <v>-8600</v>
      </c>
      <c r="G40" s="53">
        <v>-8776</v>
      </c>
      <c r="H40" s="53">
        <v>-8893</v>
      </c>
      <c r="I40" s="53">
        <v>-8893</v>
      </c>
      <c r="J40" s="53">
        <v>-8893</v>
      </c>
      <c r="K40" s="53">
        <v>-8893</v>
      </c>
      <c r="L40" s="53">
        <v>-8893</v>
      </c>
      <c r="M40" s="53">
        <v>-8893</v>
      </c>
      <c r="N40" s="42">
        <f>SUM(B40:M40)</f>
        <v>-105134</v>
      </c>
      <c r="O40" s="88"/>
      <c r="P40" s="58"/>
    </row>
    <row r="41" spans="1:16" s="6" customFormat="1">
      <c r="A41" s="6" t="s">
        <v>48</v>
      </c>
      <c r="B41" s="60">
        <v>-4150</v>
      </c>
      <c r="C41" s="60">
        <v>-4250</v>
      </c>
      <c r="D41" s="60">
        <v>-4250</v>
      </c>
      <c r="E41" s="60">
        <v>-4250</v>
      </c>
      <c r="F41" s="60">
        <v>-4250</v>
      </c>
      <c r="G41" s="60">
        <v>-10050</v>
      </c>
      <c r="H41" s="60">
        <v>-4250</v>
      </c>
      <c r="I41" s="60">
        <v>-4250</v>
      </c>
      <c r="J41" s="60">
        <v>-4550</v>
      </c>
      <c r="K41" s="60">
        <v>-4550</v>
      </c>
      <c r="L41" s="60">
        <v>-4550</v>
      </c>
      <c r="M41" s="60">
        <v>-90050</v>
      </c>
      <c r="N41" s="43">
        <f>SUM(B41:M41)</f>
        <v>-143400</v>
      </c>
      <c r="O41" s="88"/>
      <c r="P41" s="42">
        <f>SUM(N39:N41)</f>
        <v>-1234603</v>
      </c>
    </row>
    <row r="42" spans="1:16" s="6" customFormat="1">
      <c r="A42" s="13" t="s">
        <v>49</v>
      </c>
      <c r="B42" s="12">
        <f t="shared" ref="B42:N42" si="8">SUM(B37:B41)</f>
        <v>378634</v>
      </c>
      <c r="C42" s="12">
        <f t="shared" si="8"/>
        <v>371107</v>
      </c>
      <c r="D42" s="12">
        <f t="shared" si="8"/>
        <v>498341</v>
      </c>
      <c r="E42" s="12">
        <f t="shared" si="8"/>
        <v>557042</v>
      </c>
      <c r="F42" s="12">
        <f t="shared" si="8"/>
        <v>460781</v>
      </c>
      <c r="G42" s="12">
        <f t="shared" si="8"/>
        <v>477913.65999999992</v>
      </c>
      <c r="H42" s="12">
        <f t="shared" si="8"/>
        <v>408648.5</v>
      </c>
      <c r="I42" s="12">
        <f t="shared" si="8"/>
        <v>539158.80000000005</v>
      </c>
      <c r="J42" s="12">
        <f t="shared" si="8"/>
        <v>519787.55999999994</v>
      </c>
      <c r="K42" s="12">
        <f t="shared" si="8"/>
        <v>526361.5</v>
      </c>
      <c r="L42" s="12">
        <f t="shared" si="8"/>
        <v>417281.5</v>
      </c>
      <c r="M42" s="12">
        <f t="shared" si="8"/>
        <v>318441.00266861089</v>
      </c>
      <c r="N42" s="12">
        <f t="shared" si="8"/>
        <v>5473497.5226686131</v>
      </c>
      <c r="O42" s="29"/>
    </row>
    <row r="43" spans="1:16">
      <c r="A43" s="1"/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2"/>
      <c r="N43" s="12"/>
      <c r="O43" s="6"/>
    </row>
    <row r="44" spans="1:16" ht="16.5" customHeight="1">
      <c r="A44" s="13" t="s">
        <v>50</v>
      </c>
      <c r="B44" s="53">
        <v>313331</v>
      </c>
      <c r="C44" s="53">
        <v>400498</v>
      </c>
      <c r="D44" s="53">
        <v>331729</v>
      </c>
      <c r="E44" s="53">
        <v>309099</v>
      </c>
      <c r="F44" s="53">
        <v>349633</v>
      </c>
      <c r="G44" s="53">
        <v>347041</v>
      </c>
      <c r="H44" s="53">
        <v>380274</v>
      </c>
      <c r="I44" s="53">
        <v>344745</v>
      </c>
      <c r="J44" s="53">
        <v>339892</v>
      </c>
      <c r="K44" s="53">
        <v>384523</v>
      </c>
      <c r="L44" s="53">
        <v>298207</v>
      </c>
      <c r="M44" s="53">
        <v>669637</v>
      </c>
      <c r="N44" s="12">
        <f>SUM(B44:M44)</f>
        <v>4468609</v>
      </c>
      <c r="O44" s="29"/>
      <c r="P44" s="25"/>
    </row>
    <row r="45" spans="1:16">
      <c r="A45" s="6" t="s">
        <v>107</v>
      </c>
      <c r="B45" s="22"/>
      <c r="C45" s="22"/>
      <c r="D45" s="22"/>
      <c r="E45" s="22"/>
      <c r="F45" s="22"/>
      <c r="G45" s="22"/>
      <c r="H45" s="22"/>
      <c r="I45" s="22"/>
      <c r="J45" s="22"/>
      <c r="K45" s="22"/>
      <c r="L45" s="22"/>
      <c r="M45" s="22"/>
      <c r="N45" s="22">
        <f>SUM(B45:M45)</f>
        <v>0</v>
      </c>
      <c r="O45" s="29"/>
    </row>
    <row r="46" spans="1:16">
      <c r="A46" s="1" t="s">
        <v>50</v>
      </c>
      <c r="B46" s="12">
        <f>SUM(B44:B45)</f>
        <v>313331</v>
      </c>
      <c r="C46" s="12">
        <f>SUM(C44:C45)</f>
        <v>400498</v>
      </c>
      <c r="D46" s="12">
        <f t="shared" ref="D46:N46" si="9">SUM(D44:D45)</f>
        <v>331729</v>
      </c>
      <c r="E46" s="12">
        <f t="shared" si="9"/>
        <v>309099</v>
      </c>
      <c r="F46" s="12">
        <f t="shared" si="9"/>
        <v>349633</v>
      </c>
      <c r="G46" s="12">
        <f t="shared" si="9"/>
        <v>347041</v>
      </c>
      <c r="H46" s="12">
        <f t="shared" si="9"/>
        <v>380274</v>
      </c>
      <c r="I46" s="12">
        <f t="shared" si="9"/>
        <v>344745</v>
      </c>
      <c r="J46" s="12">
        <f t="shared" si="9"/>
        <v>339892</v>
      </c>
      <c r="K46" s="12">
        <f t="shared" si="9"/>
        <v>384523</v>
      </c>
      <c r="L46" s="12">
        <f t="shared" si="9"/>
        <v>298207</v>
      </c>
      <c r="M46" s="12">
        <f t="shared" si="9"/>
        <v>669637</v>
      </c>
      <c r="N46" s="12">
        <f t="shared" si="9"/>
        <v>4468609</v>
      </c>
      <c r="O46" s="29"/>
    </row>
    <row r="47" spans="1:16">
      <c r="B47" s="7"/>
      <c r="C47" s="7"/>
      <c r="D47" s="7"/>
      <c r="E47" s="7"/>
      <c r="F47" s="7"/>
      <c r="G47" s="7"/>
      <c r="H47" s="7"/>
      <c r="I47" s="7"/>
      <c r="J47" s="7"/>
      <c r="K47" s="6"/>
      <c r="L47" s="6"/>
      <c r="M47" s="6"/>
      <c r="N47" s="6"/>
      <c r="O47" s="6"/>
    </row>
    <row r="48" spans="1:16">
      <c r="A48" s="13" t="s">
        <v>52</v>
      </c>
      <c r="B48" s="19">
        <f t="shared" ref="B48:N48" si="10">+B20+B34+B42+B46</f>
        <v>2324916</v>
      </c>
      <c r="C48" s="19">
        <f t="shared" si="10"/>
        <v>4203462</v>
      </c>
      <c r="D48" s="19">
        <f t="shared" si="10"/>
        <v>3533906</v>
      </c>
      <c r="E48" s="19">
        <f t="shared" si="10"/>
        <v>3322114</v>
      </c>
      <c r="F48" s="19">
        <f>+F20+F34+F42+F46</f>
        <v>2666893</v>
      </c>
      <c r="G48" s="19">
        <f t="shared" si="10"/>
        <v>2546618.7725768955</v>
      </c>
      <c r="H48" s="19">
        <f t="shared" si="10"/>
        <v>3951590.9775393447</v>
      </c>
      <c r="I48" s="19">
        <f t="shared" si="10"/>
        <v>3115272.8326875726</v>
      </c>
      <c r="J48" s="19">
        <f t="shared" si="10"/>
        <v>3169697.6409406937</v>
      </c>
      <c r="K48" s="19">
        <f t="shared" si="10"/>
        <v>3235617.8755670437</v>
      </c>
      <c r="L48" s="19">
        <f t="shared" si="10"/>
        <v>2797336.6702150907</v>
      </c>
      <c r="M48" s="19">
        <f t="shared" si="10"/>
        <v>2417282.7903261539</v>
      </c>
      <c r="N48" s="19">
        <f t="shared" si="10"/>
        <v>37284708.559852801</v>
      </c>
      <c r="O48" s="29"/>
      <c r="P48" s="25"/>
    </row>
    <row r="49" spans="1:26">
      <c r="B49" s="7"/>
      <c r="C49" s="7"/>
      <c r="D49" s="7"/>
      <c r="E49" s="7"/>
      <c r="F49" s="7"/>
      <c r="G49" s="7"/>
      <c r="H49" s="7"/>
      <c r="I49" s="7"/>
      <c r="J49" s="7"/>
      <c r="K49" s="6"/>
      <c r="L49" s="6"/>
      <c r="M49" s="6"/>
      <c r="N49" s="6"/>
      <c r="O49" s="6"/>
    </row>
    <row r="50" spans="1:26">
      <c r="A50" s="1" t="s">
        <v>53</v>
      </c>
      <c r="B50" s="12">
        <f t="shared" ref="B50:M50" si="11">+B13-B48</f>
        <v>-693145</v>
      </c>
      <c r="C50" s="12">
        <f t="shared" si="11"/>
        <v>80372</v>
      </c>
      <c r="D50" s="12">
        <f t="shared" si="11"/>
        <v>843693.40000000037</v>
      </c>
      <c r="E50" s="12">
        <f t="shared" si="11"/>
        <v>666744</v>
      </c>
      <c r="F50" s="12">
        <f>+F13-F48</f>
        <v>61167</v>
      </c>
      <c r="G50" s="12">
        <f t="shared" si="11"/>
        <v>-19981.748596895486</v>
      </c>
      <c r="H50" s="12">
        <f t="shared" si="11"/>
        <v>128524.42741065565</v>
      </c>
      <c r="I50" s="12">
        <f t="shared" si="11"/>
        <v>469407.90022242721</v>
      </c>
      <c r="J50" s="12">
        <f t="shared" si="11"/>
        <v>621111.75009930646</v>
      </c>
      <c r="K50" s="12">
        <f t="shared" si="11"/>
        <v>191126.32640295662</v>
      </c>
      <c r="L50" s="12">
        <f t="shared" si="11"/>
        <v>199362.9783349093</v>
      </c>
      <c r="M50" s="12">
        <f t="shared" si="11"/>
        <v>-916951.63903615391</v>
      </c>
      <c r="N50" s="12">
        <f>SUM(B50:M50)</f>
        <v>1631431.3948372062</v>
      </c>
      <c r="O50" s="7"/>
      <c r="P50" s="25">
        <f>+N50</f>
        <v>1631431.3948372062</v>
      </c>
    </row>
    <row r="51" spans="1:26" ht="7.5" customHeight="1">
      <c r="B51" s="7"/>
      <c r="C51" s="7"/>
      <c r="D51" s="7"/>
      <c r="E51" s="7"/>
      <c r="F51" s="7"/>
      <c r="G51" s="7"/>
      <c r="H51" s="7"/>
      <c r="I51" s="7"/>
      <c r="J51" s="7"/>
      <c r="K51" s="6"/>
      <c r="L51" s="6"/>
      <c r="M51" s="6"/>
      <c r="N51" s="6"/>
      <c r="O51" s="6"/>
    </row>
    <row r="52" spans="1:26">
      <c r="A52" s="1" t="s">
        <v>54</v>
      </c>
      <c r="B52" s="7"/>
      <c r="C52" s="7"/>
      <c r="D52" s="7"/>
      <c r="E52" s="7"/>
      <c r="F52" s="7"/>
      <c r="G52" s="7"/>
      <c r="H52" s="7"/>
      <c r="I52" s="7"/>
      <c r="J52" s="7"/>
      <c r="K52" s="6"/>
      <c r="L52" s="6"/>
      <c r="M52" s="6"/>
      <c r="N52" s="6"/>
      <c r="O52" s="6"/>
      <c r="P52" s="2">
        <f>SUM(P41:P50)</f>
        <v>396828.39483720623</v>
      </c>
    </row>
    <row r="53" spans="1:26" s="6" customFormat="1">
      <c r="A53" s="6" t="s">
        <v>55</v>
      </c>
      <c r="B53" s="10">
        <v>17969</v>
      </c>
      <c r="C53" s="10">
        <v>47133.55</v>
      </c>
      <c r="D53" s="10">
        <v>79271.41</v>
      </c>
      <c r="E53" s="10">
        <v>20893.52</v>
      </c>
      <c r="F53" s="10">
        <v>0</v>
      </c>
      <c r="G53" s="10">
        <v>32000</v>
      </c>
      <c r="H53" s="23">
        <v>10000</v>
      </c>
      <c r="I53" s="10">
        <v>20000</v>
      </c>
      <c r="J53" s="10">
        <v>10000</v>
      </c>
      <c r="K53" s="10">
        <v>110000</v>
      </c>
      <c r="L53" s="10">
        <v>10000</v>
      </c>
      <c r="M53" s="10">
        <v>10000</v>
      </c>
      <c r="N53" s="10">
        <f>SUM(B53:M53)</f>
        <v>367267.48</v>
      </c>
      <c r="O53" s="10"/>
      <c r="P53" s="40"/>
      <c r="Z53" s="40"/>
    </row>
    <row r="54" spans="1:26" s="6" customFormat="1">
      <c r="A54" s="6" t="s">
        <v>96</v>
      </c>
      <c r="B54" s="10"/>
      <c r="C54" s="10"/>
      <c r="D54" s="10"/>
      <c r="E54" s="10"/>
      <c r="F54" s="10">
        <v>90000</v>
      </c>
      <c r="G54" s="10"/>
      <c r="H54" s="10"/>
      <c r="I54" s="10"/>
      <c r="J54" s="10"/>
      <c r="K54" s="10"/>
      <c r="L54" s="10"/>
      <c r="M54" s="10"/>
      <c r="N54" s="10">
        <f>SUM(B54:M54)</f>
        <v>90000</v>
      </c>
    </row>
    <row r="55" spans="1:26" s="6" customFormat="1">
      <c r="A55" s="6" t="s">
        <v>111</v>
      </c>
      <c r="B55" s="10">
        <v>425857</v>
      </c>
      <c r="C55" s="10"/>
      <c r="D55" s="10"/>
      <c r="E55" s="10"/>
      <c r="F55" s="10"/>
      <c r="G55" s="10"/>
      <c r="H55" s="10"/>
      <c r="I55" s="10"/>
      <c r="J55" s="10"/>
      <c r="K55" s="10"/>
      <c r="L55" s="10">
        <v>0</v>
      </c>
      <c r="M55" s="56"/>
      <c r="N55" s="10">
        <f>SUM(B55:M55)</f>
        <v>425857</v>
      </c>
    </row>
    <row r="56" spans="1:26" s="6" customFormat="1">
      <c r="A56" s="37" t="s">
        <v>58</v>
      </c>
      <c r="B56" s="7">
        <v>-14346</v>
      </c>
      <c r="C56" s="7">
        <v>-14850</v>
      </c>
      <c r="D56" s="7">
        <v>-19439</v>
      </c>
      <c r="E56" s="7">
        <v>13319</v>
      </c>
      <c r="F56" s="7">
        <v>-12737</v>
      </c>
      <c r="G56" s="7">
        <v>-20000</v>
      </c>
      <c r="H56" s="7">
        <v>-25000</v>
      </c>
      <c r="I56" s="7">
        <v>-25000</v>
      </c>
      <c r="J56" s="7">
        <v>-20000</v>
      </c>
      <c r="K56" s="7">
        <v>-25000</v>
      </c>
      <c r="L56" s="7">
        <v>-25000</v>
      </c>
      <c r="M56" s="7">
        <v>-20000</v>
      </c>
      <c r="N56" s="7">
        <f>SUM(B56:M56)</f>
        <v>-208053</v>
      </c>
      <c r="O56" s="7"/>
    </row>
    <row r="57" spans="1:26" s="6" customFormat="1">
      <c r="A57" s="6" t="s">
        <v>59</v>
      </c>
      <c r="B57" s="22">
        <v>-29008</v>
      </c>
      <c r="C57" s="22">
        <v>209614</v>
      </c>
      <c r="D57" s="22">
        <v>-83076</v>
      </c>
      <c r="E57" s="22">
        <v>-215833</v>
      </c>
      <c r="F57" s="91">
        <v>-198902</v>
      </c>
      <c r="G57" s="22">
        <v>-25000</v>
      </c>
      <c r="H57" s="22">
        <v>-25000</v>
      </c>
      <c r="I57" s="22">
        <v>-25000</v>
      </c>
      <c r="J57" s="22">
        <v>-25000</v>
      </c>
      <c r="K57" s="22">
        <v>-25000</v>
      </c>
      <c r="L57" s="22">
        <v>-25000</v>
      </c>
      <c r="M57" s="22">
        <v>-25000</v>
      </c>
      <c r="N57" s="22">
        <f>SUM(B57:M57)</f>
        <v>-492205</v>
      </c>
      <c r="O57" s="56"/>
    </row>
    <row r="58" spans="1:26" s="6" customFormat="1">
      <c r="A58" s="13" t="s">
        <v>60</v>
      </c>
      <c r="B58" s="19">
        <f t="shared" ref="B58:N58" si="12">SUM(B53:B57)</f>
        <v>400472</v>
      </c>
      <c r="C58" s="19">
        <f t="shared" si="12"/>
        <v>241897.55</v>
      </c>
      <c r="D58" s="19">
        <f t="shared" si="12"/>
        <v>-23243.589999999997</v>
      </c>
      <c r="E58" s="19">
        <f t="shared" si="12"/>
        <v>-181620.47999999998</v>
      </c>
      <c r="F58" s="19">
        <f t="shared" si="12"/>
        <v>-121639</v>
      </c>
      <c r="G58" s="19">
        <f t="shared" si="12"/>
        <v>-13000</v>
      </c>
      <c r="H58" s="19">
        <f>SUM(H53:H57)</f>
        <v>-40000</v>
      </c>
      <c r="I58" s="19">
        <f t="shared" si="12"/>
        <v>-30000</v>
      </c>
      <c r="J58" s="19">
        <f t="shared" si="12"/>
        <v>-35000</v>
      </c>
      <c r="K58" s="19">
        <f t="shared" si="12"/>
        <v>60000</v>
      </c>
      <c r="L58" s="19">
        <f t="shared" si="12"/>
        <v>-40000</v>
      </c>
      <c r="M58" s="19">
        <f t="shared" si="12"/>
        <v>-35000</v>
      </c>
      <c r="N58" s="19">
        <f t="shared" si="12"/>
        <v>182866.47999999998</v>
      </c>
      <c r="O58" s="29"/>
    </row>
    <row r="59" spans="1:26">
      <c r="B59" s="7"/>
      <c r="C59" s="7"/>
      <c r="D59" s="7"/>
      <c r="E59" s="7"/>
      <c r="F59" s="7"/>
      <c r="G59" s="7"/>
      <c r="H59" s="7"/>
      <c r="I59" s="7"/>
      <c r="J59" s="7"/>
      <c r="K59" s="7"/>
      <c r="L59" s="7"/>
      <c r="M59" s="7"/>
      <c r="N59" s="7"/>
      <c r="O59" s="6"/>
    </row>
    <row r="60" spans="1:26">
      <c r="A60" s="1" t="s">
        <v>61</v>
      </c>
      <c r="B60" s="12">
        <v>13598947</v>
      </c>
      <c r="C60" s="7"/>
      <c r="D60" s="7"/>
      <c r="E60" s="7"/>
      <c r="F60" s="7"/>
      <c r="G60" s="7"/>
      <c r="H60" s="7" t="s">
        <v>38</v>
      </c>
      <c r="I60" s="7"/>
      <c r="J60" s="7"/>
      <c r="K60" s="6"/>
      <c r="L60" s="6"/>
      <c r="M60" s="6"/>
      <c r="N60" s="6"/>
      <c r="O60" s="6"/>
    </row>
    <row r="61" spans="1:26">
      <c r="A61" s="13" t="s">
        <v>62</v>
      </c>
      <c r="B61" s="19">
        <f t="shared" ref="B61:N61" si="13">+B58+B48</f>
        <v>2725388</v>
      </c>
      <c r="C61" s="19">
        <f t="shared" si="13"/>
        <v>4445359.55</v>
      </c>
      <c r="D61" s="19">
        <f t="shared" si="13"/>
        <v>3510662.41</v>
      </c>
      <c r="E61" s="19">
        <f t="shared" si="13"/>
        <v>3140493.52</v>
      </c>
      <c r="F61" s="19">
        <f>+F58+F48</f>
        <v>2545254</v>
      </c>
      <c r="G61" s="19">
        <f t="shared" si="13"/>
        <v>2533618.7725768955</v>
      </c>
      <c r="H61" s="19">
        <f t="shared" si="13"/>
        <v>3911590.9775393447</v>
      </c>
      <c r="I61" s="19">
        <f t="shared" si="13"/>
        <v>3085272.8326875726</v>
      </c>
      <c r="J61" s="19">
        <f t="shared" si="13"/>
        <v>3134697.6409406937</v>
      </c>
      <c r="K61" s="19">
        <f t="shared" si="13"/>
        <v>3295617.8755670437</v>
      </c>
      <c r="L61" s="19">
        <f t="shared" si="13"/>
        <v>2757336.6702150907</v>
      </c>
      <c r="M61" s="19">
        <f t="shared" si="13"/>
        <v>2382282.7903261539</v>
      </c>
      <c r="N61" s="19">
        <f t="shared" si="13"/>
        <v>37467575.039852798</v>
      </c>
      <c r="O61" s="29"/>
    </row>
    <row r="62" spans="1:26" ht="13.5" thickBot="1">
      <c r="A62" s="13" t="s">
        <v>63</v>
      </c>
      <c r="B62" s="14">
        <f t="shared" ref="B62:N62" si="14">+B13-B61</f>
        <v>-1093617</v>
      </c>
      <c r="C62" s="14">
        <f t="shared" si="14"/>
        <v>-161525.54999999981</v>
      </c>
      <c r="D62" s="14">
        <f t="shared" si="14"/>
        <v>866936.99000000022</v>
      </c>
      <c r="E62" s="14">
        <f t="shared" si="14"/>
        <v>848364.48</v>
      </c>
      <c r="F62" s="14">
        <f>+F13-F61</f>
        <v>182806</v>
      </c>
      <c r="G62" s="14">
        <f t="shared" si="14"/>
        <v>-6981.7485968954861</v>
      </c>
      <c r="H62" s="14">
        <f t="shared" si="14"/>
        <v>168524.42741065565</v>
      </c>
      <c r="I62" s="14">
        <f t="shared" si="14"/>
        <v>499407.90022242721</v>
      </c>
      <c r="J62" s="14">
        <f t="shared" si="14"/>
        <v>656111.75009930646</v>
      </c>
      <c r="K62" s="14">
        <f t="shared" si="14"/>
        <v>131126.32640295662</v>
      </c>
      <c r="L62" s="14">
        <f t="shared" si="14"/>
        <v>239362.9783349093</v>
      </c>
      <c r="M62" s="14">
        <f t="shared" si="14"/>
        <v>-881951.63903615391</v>
      </c>
      <c r="N62" s="14">
        <f t="shared" si="14"/>
        <v>1448564.9148372039</v>
      </c>
      <c r="O62" s="29"/>
    </row>
    <row r="63" spans="1:26" s="6" customFormat="1" ht="13.5" thickTop="1">
      <c r="A63" s="13" t="s">
        <v>64</v>
      </c>
      <c r="B63" s="12">
        <f>+B62</f>
        <v>-1093617</v>
      </c>
      <c r="C63" s="12">
        <f t="shared" ref="C63:M63" si="15">B63+C62</f>
        <v>-1255142.5499999998</v>
      </c>
      <c r="D63" s="12">
        <f t="shared" si="15"/>
        <v>-388205.55999999959</v>
      </c>
      <c r="E63" s="12">
        <f t="shared" si="15"/>
        <v>460158.92000000039</v>
      </c>
      <c r="F63" s="12">
        <f t="shared" si="15"/>
        <v>642964.92000000039</v>
      </c>
      <c r="G63" s="12">
        <f t="shared" si="15"/>
        <v>635983.17140310491</v>
      </c>
      <c r="H63" s="12">
        <f t="shared" si="15"/>
        <v>804507.59881376056</v>
      </c>
      <c r="I63" s="12">
        <f t="shared" si="15"/>
        <v>1303915.4990361878</v>
      </c>
      <c r="J63" s="12">
        <f t="shared" si="15"/>
        <v>1960027.2491354942</v>
      </c>
      <c r="K63" s="12">
        <f t="shared" si="15"/>
        <v>2091153.5755384509</v>
      </c>
      <c r="L63" s="12">
        <f t="shared" si="15"/>
        <v>2330516.5538733602</v>
      </c>
      <c r="M63" s="12">
        <f t="shared" si="15"/>
        <v>1448564.9148372062</v>
      </c>
      <c r="N63" s="12"/>
    </row>
    <row r="64" spans="1:26">
      <c r="A64" s="13" t="s">
        <v>65</v>
      </c>
      <c r="B64" s="12">
        <f t="shared" ref="B64:M64" si="16">+$B$60+B63</f>
        <v>12505330</v>
      </c>
      <c r="C64" s="12">
        <f t="shared" si="16"/>
        <v>12343804.449999999</v>
      </c>
      <c r="D64" s="12">
        <f t="shared" si="16"/>
        <v>13210741.440000001</v>
      </c>
      <c r="E64" s="12">
        <f t="shared" si="16"/>
        <v>14059105.92</v>
      </c>
      <c r="F64" s="12">
        <f>+$B$60+F63</f>
        <v>14241911.92</v>
      </c>
      <c r="G64" s="12">
        <f t="shared" si="16"/>
        <v>14234930.171403104</v>
      </c>
      <c r="H64" s="12">
        <f t="shared" si="16"/>
        <v>14403454.598813761</v>
      </c>
      <c r="I64" s="12">
        <f t="shared" si="16"/>
        <v>14902862.499036187</v>
      </c>
      <c r="J64" s="12">
        <f t="shared" si="16"/>
        <v>15558974.249135494</v>
      </c>
      <c r="K64" s="12">
        <f t="shared" si="16"/>
        <v>15690100.575538451</v>
      </c>
      <c r="L64" s="12">
        <f t="shared" si="16"/>
        <v>15929463.55387336</v>
      </c>
      <c r="M64" s="12">
        <f t="shared" si="16"/>
        <v>15047511.914837206</v>
      </c>
      <c r="N64" s="12"/>
      <c r="O64" s="6"/>
    </row>
    <row r="65" spans="1:15">
      <c r="A65" s="6"/>
      <c r="B65" s="7"/>
      <c r="C65" s="7"/>
      <c r="D65" s="7"/>
      <c r="E65" s="7"/>
      <c r="F65" s="7"/>
      <c r="G65" s="7"/>
      <c r="H65" s="7"/>
      <c r="I65" s="7"/>
      <c r="J65" s="7"/>
      <c r="K65" s="6"/>
      <c r="L65" s="6"/>
      <c r="M65" s="6"/>
      <c r="N65" s="6"/>
      <c r="O65" s="6"/>
    </row>
    <row r="66" spans="1:15" s="6" customFormat="1">
      <c r="A66" s="17" t="s">
        <v>114</v>
      </c>
      <c r="B66" s="18"/>
      <c r="C66" s="18"/>
      <c r="D66" s="18"/>
      <c r="E66" s="18"/>
      <c r="F66" s="18"/>
      <c r="G66" s="18"/>
      <c r="H66" s="18"/>
      <c r="I66" s="18"/>
      <c r="J66" s="18"/>
      <c r="K66" s="18"/>
      <c r="L66" s="18"/>
      <c r="M66" s="18"/>
      <c r="N66" s="18"/>
    </row>
    <row r="67" spans="1:15" ht="13.5" thickBot="1">
      <c r="A67" s="13" t="s">
        <v>67</v>
      </c>
      <c r="B67" s="30">
        <v>-1263474.9897115808</v>
      </c>
      <c r="C67" s="30">
        <v>-102010.94887173455</v>
      </c>
      <c r="D67" s="14">
        <v>854641.48144806735</v>
      </c>
      <c r="E67" s="14">
        <v>550109.68371886434</v>
      </c>
      <c r="F67" s="14">
        <v>-58453.035503471736</v>
      </c>
      <c r="G67" s="14">
        <v>-6981.7485968954861</v>
      </c>
      <c r="H67" s="14">
        <v>168524.42741065565</v>
      </c>
      <c r="I67" s="14">
        <v>499407.90022242721</v>
      </c>
      <c r="J67" s="14">
        <v>656111.75009930646</v>
      </c>
      <c r="K67" s="14">
        <v>131126.32640295662</v>
      </c>
      <c r="L67" s="14">
        <v>239362.9783349093</v>
      </c>
      <c r="M67" s="14">
        <v>-881951.63903615391</v>
      </c>
      <c r="N67" s="16"/>
      <c r="O67" s="6"/>
    </row>
    <row r="68" spans="1:15" ht="13.5" thickTop="1">
      <c r="A68" s="13" t="s">
        <v>64</v>
      </c>
      <c r="B68" s="32">
        <f>+B67</f>
        <v>-1263474.9897115808</v>
      </c>
      <c r="C68" s="32">
        <f>+B68+C67</f>
        <v>-1365485.9385833154</v>
      </c>
      <c r="D68" s="12">
        <f t="shared" ref="D68:M68" si="17">+C68+D67</f>
        <v>-510844.457135248</v>
      </c>
      <c r="E68" s="12">
        <f t="shared" si="17"/>
        <v>39265.226583616342</v>
      </c>
      <c r="F68" s="12">
        <f t="shared" si="17"/>
        <v>-19187.808919855393</v>
      </c>
      <c r="G68" s="12">
        <f t="shared" si="17"/>
        <v>-26169.55751675088</v>
      </c>
      <c r="H68" s="12">
        <f t="shared" si="17"/>
        <v>142354.86989390478</v>
      </c>
      <c r="I68" s="12">
        <f t="shared" si="17"/>
        <v>641762.77011633199</v>
      </c>
      <c r="J68" s="12">
        <f t="shared" si="17"/>
        <v>1297874.5202156384</v>
      </c>
      <c r="K68" s="12">
        <f t="shared" si="17"/>
        <v>1429000.8466185951</v>
      </c>
      <c r="L68" s="12">
        <f t="shared" si="17"/>
        <v>1668363.8249535044</v>
      </c>
      <c r="M68" s="12">
        <f t="shared" si="17"/>
        <v>786412.18591735046</v>
      </c>
      <c r="N68" s="16"/>
      <c r="O68" s="6"/>
    </row>
    <row r="69" spans="1:15">
      <c r="A69" s="13" t="s">
        <v>65</v>
      </c>
      <c r="B69" s="12">
        <v>12917512</v>
      </c>
      <c r="C69" s="12">
        <v>12793700</v>
      </c>
      <c r="D69" s="12">
        <v>13941855</v>
      </c>
      <c r="E69" s="12">
        <v>14525011</v>
      </c>
      <c r="F69" s="12">
        <v>14399159</v>
      </c>
      <c r="G69" s="12">
        <v>14361469</v>
      </c>
      <c r="H69" s="12">
        <v>14462138</v>
      </c>
      <c r="I69" s="12">
        <v>15244556</v>
      </c>
      <c r="J69" s="12">
        <v>15579898</v>
      </c>
      <c r="K69" s="12">
        <v>15948341</v>
      </c>
      <c r="L69" s="12">
        <v>16058562</v>
      </c>
      <c r="M69" s="12">
        <v>14998982</v>
      </c>
      <c r="N69" s="12"/>
      <c r="O69" s="6"/>
    </row>
    <row r="70" spans="1:15">
      <c r="A70" s="6"/>
      <c r="B70" s="6"/>
      <c r="C70" s="6"/>
      <c r="E70" s="6"/>
      <c r="F70" s="6"/>
      <c r="H70" s="6"/>
      <c r="I70" s="6"/>
      <c r="J70" s="6"/>
      <c r="K70" s="6"/>
      <c r="L70" s="6"/>
      <c r="M70" s="6"/>
      <c r="N70" s="6"/>
      <c r="O70" s="6"/>
    </row>
    <row r="71" spans="1:15">
      <c r="A71" s="24" t="s">
        <v>68</v>
      </c>
      <c r="B71" s="18"/>
      <c r="C71" s="18"/>
      <c r="D71" s="18"/>
      <c r="E71" s="18"/>
      <c r="F71" s="18"/>
      <c r="G71" s="18"/>
      <c r="H71" s="18"/>
      <c r="I71" s="18"/>
      <c r="J71" s="18"/>
      <c r="K71" s="18"/>
      <c r="L71" s="18"/>
      <c r="M71" s="18"/>
      <c r="N71" s="18"/>
      <c r="O71" s="6"/>
    </row>
    <row r="72" spans="1:15">
      <c r="A72" s="13" t="s">
        <v>63</v>
      </c>
      <c r="B72" s="31">
        <f t="shared" ref="B72:N74" si="18">+B62-B67</f>
        <v>169857.9897115808</v>
      </c>
      <c r="C72" s="31">
        <f t="shared" si="18"/>
        <v>-59514.601128265262</v>
      </c>
      <c r="D72" s="16">
        <f t="shared" si="18"/>
        <v>12295.508551932871</v>
      </c>
      <c r="E72" s="31">
        <f t="shared" si="18"/>
        <v>298254.79628113564</v>
      </c>
      <c r="F72" s="31">
        <f t="shared" si="18"/>
        <v>241259.03550347174</v>
      </c>
      <c r="G72" s="31">
        <f t="shared" si="18"/>
        <v>0</v>
      </c>
      <c r="H72" s="31">
        <f t="shared" si="18"/>
        <v>0</v>
      </c>
      <c r="I72" s="31">
        <f t="shared" si="18"/>
        <v>0</v>
      </c>
      <c r="J72" s="31">
        <f t="shared" si="18"/>
        <v>0</v>
      </c>
      <c r="K72" s="31">
        <f t="shared" si="18"/>
        <v>0</v>
      </c>
      <c r="L72" s="31">
        <f t="shared" si="18"/>
        <v>0</v>
      </c>
      <c r="M72" s="31">
        <f t="shared" si="18"/>
        <v>0</v>
      </c>
      <c r="N72" s="6"/>
      <c r="O72" s="6"/>
    </row>
    <row r="73" spans="1:15" s="6" customFormat="1">
      <c r="A73" s="13" t="s">
        <v>64</v>
      </c>
      <c r="B73" s="31">
        <f t="shared" si="18"/>
        <v>169857.9897115808</v>
      </c>
      <c r="C73" s="31">
        <f t="shared" si="18"/>
        <v>110343.38858331554</v>
      </c>
      <c r="D73" s="16">
        <f t="shared" si="18"/>
        <v>122638.89713524841</v>
      </c>
      <c r="E73" s="31">
        <f t="shared" si="18"/>
        <v>420893.69341638405</v>
      </c>
      <c r="F73" s="31">
        <f t="shared" si="18"/>
        <v>662152.72891985578</v>
      </c>
      <c r="G73" s="31">
        <f t="shared" si="18"/>
        <v>662152.72891985578</v>
      </c>
      <c r="H73" s="31">
        <f t="shared" si="18"/>
        <v>662152.72891985578</v>
      </c>
      <c r="I73" s="31">
        <f t="shared" si="18"/>
        <v>662152.72891985578</v>
      </c>
      <c r="J73" s="31">
        <f t="shared" si="18"/>
        <v>662152.72891985578</v>
      </c>
      <c r="K73" s="31">
        <f t="shared" si="18"/>
        <v>662152.72891985578</v>
      </c>
      <c r="L73" s="31">
        <f t="shared" si="18"/>
        <v>662152.72891985578</v>
      </c>
      <c r="M73" s="31">
        <f t="shared" si="18"/>
        <v>662152.72891985578</v>
      </c>
      <c r="N73" s="16">
        <f t="shared" si="18"/>
        <v>0</v>
      </c>
    </row>
    <row r="74" spans="1:15">
      <c r="A74" s="1" t="s">
        <v>65</v>
      </c>
      <c r="B74" s="16">
        <f t="shared" si="18"/>
        <v>-412182</v>
      </c>
      <c r="C74" s="16">
        <f t="shared" si="18"/>
        <v>-449895.55000000075</v>
      </c>
      <c r="D74" s="16">
        <f t="shared" si="18"/>
        <v>-731113.55999999866</v>
      </c>
      <c r="E74" s="16">
        <f t="shared" si="18"/>
        <v>-465905.08000000007</v>
      </c>
      <c r="F74" s="16">
        <f t="shared" si="18"/>
        <v>-157247.08000000007</v>
      </c>
      <c r="G74" s="16">
        <f t="shared" si="18"/>
        <v>-126538.82859689556</v>
      </c>
      <c r="H74" s="16">
        <f t="shared" si="18"/>
        <v>-58683.401186238974</v>
      </c>
      <c r="I74" s="16">
        <f t="shared" si="18"/>
        <v>-341693.50096381269</v>
      </c>
      <c r="J74" s="16">
        <f t="shared" si="18"/>
        <v>-20923.750864505768</v>
      </c>
      <c r="K74" s="16">
        <f t="shared" si="18"/>
        <v>-258240.42446154915</v>
      </c>
      <c r="L74" s="16">
        <f t="shared" si="18"/>
        <v>-129098.44612663984</v>
      </c>
      <c r="M74" s="16">
        <f t="shared" si="18"/>
        <v>48529.914837205783</v>
      </c>
      <c r="N74" s="16"/>
      <c r="O74" s="6"/>
    </row>
    <row r="75" spans="1:15">
      <c r="B75" s="6"/>
      <c r="C75" s="6"/>
      <c r="E75" s="6"/>
      <c r="F75" s="6"/>
      <c r="H75" s="6"/>
      <c r="I75" s="6"/>
      <c r="J75" s="6"/>
      <c r="K75" s="6"/>
      <c r="L75" s="6"/>
      <c r="M75" s="6"/>
      <c r="N75" s="6"/>
    </row>
    <row r="76" spans="1:15">
      <c r="A76" s="1"/>
      <c r="B76" s="4"/>
      <c r="C76" s="8"/>
      <c r="D76" s="8"/>
      <c r="E76" s="8"/>
      <c r="F76" s="8"/>
      <c r="H76" s="20"/>
      <c r="J76" s="6"/>
      <c r="K76" s="6"/>
    </row>
    <row r="77" spans="1:15">
      <c r="A77" s="1"/>
      <c r="B77" s="4"/>
      <c r="C77" s="8"/>
      <c r="D77" s="8"/>
      <c r="E77" s="8"/>
      <c r="F77" s="8"/>
      <c r="H77" s="85"/>
      <c r="I77" s="86"/>
      <c r="J77" s="85"/>
    </row>
    <row r="78" spans="1:15">
      <c r="A78" s="1"/>
      <c r="B78" s="4"/>
      <c r="D78" s="8"/>
      <c r="E78" s="8"/>
      <c r="F78" s="8"/>
      <c r="H78" s="61"/>
      <c r="J78" s="6"/>
    </row>
    <row r="79" spans="1:15">
      <c r="E79" s="6"/>
      <c r="H79" s="20"/>
      <c r="J79" s="6"/>
      <c r="N79" s="25"/>
    </row>
    <row r="80" spans="1:15">
      <c r="A80" t="s">
        <v>69</v>
      </c>
      <c r="B80" t="s">
        <v>69</v>
      </c>
      <c r="C80" t="s">
        <v>69</v>
      </c>
      <c r="D80" s="6" t="s">
        <v>69</v>
      </c>
      <c r="E80" s="6" t="s">
        <v>69</v>
      </c>
      <c r="F80" t="s">
        <v>69</v>
      </c>
      <c r="G80" s="6" t="s">
        <v>69</v>
      </c>
      <c r="H80" t="s">
        <v>69</v>
      </c>
      <c r="I80" t="s">
        <v>69</v>
      </c>
      <c r="J80" s="6" t="s">
        <v>69</v>
      </c>
      <c r="K80" t="s">
        <v>69</v>
      </c>
      <c r="L80" t="s">
        <v>69</v>
      </c>
      <c r="M80" t="s">
        <v>69</v>
      </c>
      <c r="N80" t="s">
        <v>69</v>
      </c>
    </row>
    <row r="82" spans="6:8">
      <c r="F82">
        <v>11636.78</v>
      </c>
      <c r="H82">
        <v>73191.26999999999</v>
      </c>
    </row>
    <row r="84" spans="6:8">
      <c r="F84" s="2">
        <f>SUM(B56:F56)</f>
        <v>-48053</v>
      </c>
    </row>
    <row r="85" spans="6:8">
      <c r="F85" s="2">
        <f>SUM(B57:F57)</f>
        <v>-317205</v>
      </c>
    </row>
  </sheetData>
  <pageMargins left="0.28000000000000003" right="0.25" top="0.99" bottom="0.75" header="0.63" footer="0.23"/>
  <pageSetup scale="60" orientation="landscape" r:id="rId1"/>
  <headerFooter alignWithMargins="0">
    <oddHeader xml:space="preserve">&amp;C&amp;"Arial,Bold"&amp;11 49ER SHOPS, INC.
&amp;UFY2019/2020 OPERATIONAL CASH FLOW </oddHeader>
    <oddFooter>&amp;CCash Flow - FY2019/2020
November 2019</oddFooter>
  </headerFooter>
  <legacyDrawing r:id="rId2"/>
</worksheet>
</file>

<file path=xl/worksheets/sheet4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92D050"/>
    <pageSetUpPr fitToPage="1"/>
  </sheetPr>
  <dimension ref="A1:Z85"/>
  <sheetViews>
    <sheetView showGridLines="0" tabSelected="1" zoomScale="90" zoomScaleNormal="90" workbookViewId="0"/>
  </sheetViews>
  <sheetFormatPr defaultRowHeight="12.75"/>
  <cols>
    <col min="1" max="1" width="35.42578125" customWidth="1"/>
    <col min="2" max="2" width="14" customWidth="1"/>
    <col min="3" max="3" width="14.5703125" customWidth="1"/>
    <col min="4" max="4" width="14" style="6" customWidth="1"/>
    <col min="5" max="6" width="13.5703125" customWidth="1"/>
    <col min="7" max="7" width="16.5703125" style="6" customWidth="1"/>
    <col min="8" max="8" width="14.140625" customWidth="1"/>
    <col min="9" max="9" width="14.42578125" customWidth="1"/>
    <col min="10" max="10" width="13.85546875" customWidth="1"/>
    <col min="11" max="11" width="15.140625" customWidth="1"/>
    <col min="12" max="12" width="13.5703125" customWidth="1"/>
    <col min="13" max="13" width="14.42578125" customWidth="1"/>
    <col min="14" max="14" width="16.5703125" customWidth="1"/>
    <col min="15" max="15" width="12.42578125" bestFit="1" customWidth="1"/>
    <col min="16" max="16" width="14.140625" customWidth="1"/>
  </cols>
  <sheetData>
    <row r="1" spans="1:16" ht="13.5" thickBot="1">
      <c r="A1" s="46" t="s">
        <v>135</v>
      </c>
      <c r="E1" s="6"/>
      <c r="F1" s="6"/>
      <c r="J1" s="6"/>
      <c r="K1" s="6"/>
      <c r="N1" s="3"/>
    </row>
    <row r="2" spans="1:16">
      <c r="B2" s="92" t="s">
        <v>24</v>
      </c>
      <c r="C2" s="92" t="s">
        <v>24</v>
      </c>
      <c r="D2" s="92" t="s">
        <v>24</v>
      </c>
      <c r="E2" s="92" t="s">
        <v>24</v>
      </c>
      <c r="F2" s="92" t="s">
        <v>24</v>
      </c>
      <c r="G2" s="92" t="s">
        <v>24</v>
      </c>
      <c r="H2" s="92" t="s">
        <v>24</v>
      </c>
      <c r="I2" s="92" t="s">
        <v>24</v>
      </c>
      <c r="J2" s="92" t="s">
        <v>76</v>
      </c>
      <c r="K2" s="92" t="s">
        <v>76</v>
      </c>
      <c r="L2" s="92" t="s">
        <v>76</v>
      </c>
      <c r="M2" s="92" t="s">
        <v>76</v>
      </c>
      <c r="N2" s="93" t="s">
        <v>25</v>
      </c>
    </row>
    <row r="3" spans="1:16" s="5" customFormat="1">
      <c r="B3" s="94">
        <v>43648</v>
      </c>
      <c r="C3" s="95">
        <v>43679</v>
      </c>
      <c r="D3" s="95">
        <v>43710</v>
      </c>
      <c r="E3" s="94">
        <v>43740</v>
      </c>
      <c r="F3" s="94">
        <v>43771</v>
      </c>
      <c r="G3" s="95">
        <v>43801</v>
      </c>
      <c r="H3" s="94">
        <v>43832</v>
      </c>
      <c r="I3" s="94">
        <v>43863</v>
      </c>
      <c r="J3" s="94">
        <v>43892</v>
      </c>
      <c r="K3" s="94">
        <v>43923</v>
      </c>
      <c r="L3" s="94">
        <v>43953</v>
      </c>
      <c r="M3" s="94">
        <v>43984</v>
      </c>
      <c r="N3" s="94" t="s">
        <v>133</v>
      </c>
    </row>
    <row r="4" spans="1:16">
      <c r="A4" s="1" t="s">
        <v>27</v>
      </c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>
        <f>SUM(B4:M4)</f>
        <v>0</v>
      </c>
      <c r="O4" s="29"/>
    </row>
    <row r="5" spans="1:16" s="6" customFormat="1" ht="13.5" hidden="1" customHeight="1">
      <c r="A5" s="6" t="s">
        <v>28</v>
      </c>
      <c r="B5" s="49">
        <v>1506911</v>
      </c>
      <c r="C5" s="53">
        <v>4218296</v>
      </c>
      <c r="D5" s="53">
        <v>4008767</v>
      </c>
      <c r="E5" s="53">
        <v>3723428</v>
      </c>
      <c r="F5" s="53">
        <v>2637007</v>
      </c>
      <c r="G5" s="53">
        <v>1983421</v>
      </c>
      <c r="H5" s="53">
        <v>3653867</v>
      </c>
      <c r="I5" s="53">
        <v>3466709</v>
      </c>
      <c r="J5" s="53">
        <v>3663286.3910400001</v>
      </c>
      <c r="K5" s="53">
        <v>3303515.2019700003</v>
      </c>
      <c r="L5" s="53">
        <v>2866321.64855</v>
      </c>
      <c r="M5" s="53">
        <v>1394806.15129</v>
      </c>
      <c r="N5" s="12">
        <f>SUM(B5:M5)</f>
        <v>36426335.392849997</v>
      </c>
      <c r="O5" s="29"/>
    </row>
    <row r="6" spans="1:16" s="6" customFormat="1" ht="12.75" hidden="1" customHeight="1">
      <c r="A6" s="6" t="s">
        <v>29</v>
      </c>
      <c r="B6" s="49">
        <v>122669</v>
      </c>
      <c r="C6" s="53">
        <v>65308</v>
      </c>
      <c r="D6" s="53">
        <v>368424</v>
      </c>
      <c r="E6" s="53">
        <v>265657</v>
      </c>
      <c r="F6" s="53">
        <v>90828</v>
      </c>
      <c r="G6" s="53">
        <v>46005</v>
      </c>
      <c r="H6" s="53">
        <v>118231</v>
      </c>
      <c r="I6" s="53">
        <v>200445</v>
      </c>
      <c r="J6" s="53">
        <v>127523</v>
      </c>
      <c r="K6" s="53">
        <v>123229</v>
      </c>
      <c r="L6" s="53">
        <v>130378</v>
      </c>
      <c r="M6" s="53">
        <v>105525</v>
      </c>
      <c r="N6" s="7">
        <f>SUM(B6:M6)</f>
        <v>1764222</v>
      </c>
      <c r="O6" s="29"/>
    </row>
    <row r="7" spans="1:16" s="6" customFormat="1" ht="12.75" hidden="1" customHeight="1">
      <c r="B7" s="7"/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7">
        <f>SUM(B7:M7)</f>
        <v>0</v>
      </c>
      <c r="O7" s="29"/>
    </row>
    <row r="8" spans="1:16" s="6" customFormat="1" ht="12.75" hidden="1" customHeight="1">
      <c r="B8" s="15"/>
      <c r="C8" s="15"/>
      <c r="D8" s="15"/>
      <c r="E8" s="15"/>
      <c r="F8" s="15"/>
      <c r="G8" s="15"/>
      <c r="H8" s="15"/>
      <c r="I8" s="15"/>
      <c r="J8" s="15"/>
      <c r="K8" s="15"/>
      <c r="L8" s="15"/>
      <c r="M8" s="15"/>
      <c r="N8" s="15">
        <f>SUM(B8:M8)</f>
        <v>0</v>
      </c>
      <c r="O8" s="29"/>
    </row>
    <row r="9" spans="1:16" s="6" customFormat="1">
      <c r="A9" s="13" t="s">
        <v>30</v>
      </c>
      <c r="B9" s="12">
        <f t="shared" ref="B9:N9" si="0">SUM(B5:B8)</f>
        <v>1629580</v>
      </c>
      <c r="C9" s="12">
        <f t="shared" si="0"/>
        <v>4283604</v>
      </c>
      <c r="D9" s="12">
        <f t="shared" si="0"/>
        <v>4377191</v>
      </c>
      <c r="E9" s="12">
        <f t="shared" si="0"/>
        <v>3989085</v>
      </c>
      <c r="F9" s="12">
        <f t="shared" si="0"/>
        <v>2727835</v>
      </c>
      <c r="G9" s="12">
        <f t="shared" si="0"/>
        <v>2029426</v>
      </c>
      <c r="H9" s="12">
        <f t="shared" si="0"/>
        <v>3772098</v>
      </c>
      <c r="I9" s="12">
        <f t="shared" si="0"/>
        <v>3667154</v>
      </c>
      <c r="J9" s="12">
        <f t="shared" si="0"/>
        <v>3790809.3910400001</v>
      </c>
      <c r="K9" s="12">
        <f t="shared" si="0"/>
        <v>3426744.2019700003</v>
      </c>
      <c r="L9" s="12">
        <f t="shared" si="0"/>
        <v>2996699.64855</v>
      </c>
      <c r="M9" s="12">
        <f t="shared" si="0"/>
        <v>1500331.15129</v>
      </c>
      <c r="N9" s="12">
        <f t="shared" si="0"/>
        <v>38190557.392849997</v>
      </c>
      <c r="O9" s="29"/>
      <c r="P9" s="29">
        <f>+N9</f>
        <v>38190557.392849997</v>
      </c>
    </row>
    <row r="10" spans="1:16" s="6" customFormat="1" ht="6.75" customHeight="1"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29"/>
    </row>
    <row r="11" spans="1:16" s="6" customFormat="1">
      <c r="A11" s="13" t="s">
        <v>31</v>
      </c>
      <c r="B11" s="7">
        <v>2191</v>
      </c>
      <c r="C11" s="7">
        <v>230</v>
      </c>
      <c r="D11" s="7">
        <v>408.4</v>
      </c>
      <c r="E11" s="7">
        <v>-227</v>
      </c>
      <c r="F11" s="7">
        <v>225</v>
      </c>
      <c r="G11" s="7">
        <v>3197</v>
      </c>
      <c r="H11" s="7">
        <v>282</v>
      </c>
      <c r="I11" s="7">
        <v>24231</v>
      </c>
      <c r="J11" s="7"/>
      <c r="K11" s="7"/>
      <c r="L11" s="7"/>
      <c r="M11" s="7"/>
      <c r="N11" s="7">
        <f>SUM(B11:M11)</f>
        <v>30537.4</v>
      </c>
      <c r="O11" s="29"/>
    </row>
    <row r="12" spans="1:16" s="6" customFormat="1" ht="7.5" customHeight="1">
      <c r="B12" s="7"/>
      <c r="C12" s="7"/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  <c r="O12" s="29"/>
    </row>
    <row r="13" spans="1:16" s="6" customFormat="1" ht="21" customHeight="1" thickBot="1">
      <c r="A13" s="13" t="s">
        <v>32</v>
      </c>
      <c r="B13" s="14">
        <f t="shared" ref="B13:N13" si="1">B9+B11</f>
        <v>1631771</v>
      </c>
      <c r="C13" s="14">
        <f>C9+C11</f>
        <v>4283834</v>
      </c>
      <c r="D13" s="14">
        <f t="shared" si="1"/>
        <v>4377599.4000000004</v>
      </c>
      <c r="E13" s="14">
        <f t="shared" si="1"/>
        <v>3988858</v>
      </c>
      <c r="F13" s="14">
        <f t="shared" si="1"/>
        <v>2728060</v>
      </c>
      <c r="G13" s="14">
        <f t="shared" si="1"/>
        <v>2032623</v>
      </c>
      <c r="H13" s="14">
        <f t="shared" si="1"/>
        <v>3772380</v>
      </c>
      <c r="I13" s="14">
        <f t="shared" si="1"/>
        <v>3691385</v>
      </c>
      <c r="J13" s="14">
        <f t="shared" si="1"/>
        <v>3790809.3910400001</v>
      </c>
      <c r="K13" s="14">
        <f t="shared" si="1"/>
        <v>3426744.2019700003</v>
      </c>
      <c r="L13" s="14">
        <f t="shared" si="1"/>
        <v>2996699.64855</v>
      </c>
      <c r="M13" s="14">
        <f t="shared" si="1"/>
        <v>1500331.15129</v>
      </c>
      <c r="N13" s="14">
        <f t="shared" si="1"/>
        <v>38221094.792849995</v>
      </c>
      <c r="O13" s="29"/>
    </row>
    <row r="14" spans="1:16" s="6" customFormat="1" ht="21" hidden="1" customHeight="1" thickTop="1">
      <c r="B14" s="7"/>
      <c r="C14" s="7"/>
      <c r="D14" s="7"/>
      <c r="E14" s="7"/>
      <c r="F14" s="7"/>
      <c r="G14" s="7"/>
      <c r="H14" s="7"/>
      <c r="I14" s="7"/>
      <c r="J14" s="7"/>
      <c r="K14" s="7"/>
      <c r="L14" s="7"/>
      <c r="M14" s="7"/>
    </row>
    <row r="15" spans="1:16" s="6" customFormat="1" ht="17.25" hidden="1" customHeight="1">
      <c r="A15" s="13" t="s">
        <v>33</v>
      </c>
      <c r="B15" s="7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</row>
    <row r="16" spans="1:16" s="6" customFormat="1" ht="12" hidden="1" customHeight="1">
      <c r="A16" s="6" t="s">
        <v>34</v>
      </c>
      <c r="B16" s="49">
        <v>789538</v>
      </c>
      <c r="C16" s="53">
        <v>2542832</v>
      </c>
      <c r="D16" s="53">
        <v>1670912</v>
      </c>
      <c r="E16" s="53">
        <v>1241006</v>
      </c>
      <c r="F16" s="53">
        <v>943426</v>
      </c>
      <c r="G16" s="53">
        <v>694088</v>
      </c>
      <c r="H16" s="53">
        <v>1773539</v>
      </c>
      <c r="I16" s="53">
        <v>1361474</v>
      </c>
      <c r="J16" s="53">
        <v>1292296.5777699999</v>
      </c>
      <c r="K16" s="53">
        <v>1245676.8455400001</v>
      </c>
      <c r="L16" s="53">
        <v>1172737.3767599999</v>
      </c>
      <c r="M16" s="53">
        <v>726619.06070999999</v>
      </c>
      <c r="N16" s="7">
        <f>SUM(B16:M16)</f>
        <v>15454144.860780001</v>
      </c>
      <c r="O16" s="29"/>
      <c r="P16" s="7">
        <f>-N16</f>
        <v>-15454144.860780001</v>
      </c>
    </row>
    <row r="17" spans="1:16" s="6" customFormat="1" ht="20.25" hidden="1" customHeight="1">
      <c r="B17" s="27"/>
      <c r="C17" s="27"/>
      <c r="D17" s="27"/>
      <c r="E17" s="27"/>
      <c r="F17" s="27"/>
      <c r="G17" s="27"/>
      <c r="H17" s="27"/>
      <c r="I17" s="27"/>
      <c r="J17" s="27"/>
      <c r="K17" s="27"/>
      <c r="L17" s="27"/>
      <c r="M17" s="27"/>
      <c r="N17" s="7">
        <f>SUM(B17:M17)</f>
        <v>0</v>
      </c>
    </row>
    <row r="18" spans="1:16" s="6" customFormat="1" ht="26.25" hidden="1" customHeight="1">
      <c r="B18" s="7"/>
      <c r="C18" s="7"/>
      <c r="D18" s="7"/>
      <c r="E18" s="7"/>
      <c r="F18" s="7"/>
      <c r="G18" s="7"/>
      <c r="H18" s="7"/>
      <c r="I18" s="7"/>
      <c r="J18" s="7"/>
      <c r="K18" s="7"/>
      <c r="L18" s="7"/>
      <c r="M18" s="7"/>
      <c r="N18" s="7">
        <v>0</v>
      </c>
    </row>
    <row r="19" spans="1:16" s="6" customFormat="1" ht="12" hidden="1" customHeight="1">
      <c r="B19" s="15"/>
      <c r="C19" s="15"/>
      <c r="D19" s="15"/>
      <c r="E19" s="15"/>
      <c r="F19" s="15"/>
      <c r="G19" s="15"/>
      <c r="H19" s="15"/>
      <c r="I19" s="15"/>
      <c r="J19" s="15"/>
      <c r="K19" s="15"/>
      <c r="L19" s="15"/>
      <c r="M19" s="15"/>
      <c r="N19" s="15">
        <f>SUM(B19:M19)</f>
        <v>0</v>
      </c>
    </row>
    <row r="20" spans="1:16" s="6" customFormat="1" ht="13.5" thickTop="1">
      <c r="A20" s="13" t="s">
        <v>35</v>
      </c>
      <c r="B20" s="12">
        <f t="shared" ref="B20:N20" si="2">SUM(B16:B19)</f>
        <v>789538</v>
      </c>
      <c r="C20" s="12">
        <f t="shared" si="2"/>
        <v>2542832</v>
      </c>
      <c r="D20" s="12">
        <f t="shared" si="2"/>
        <v>1670912</v>
      </c>
      <c r="E20" s="12">
        <f t="shared" si="2"/>
        <v>1241006</v>
      </c>
      <c r="F20" s="12">
        <f t="shared" si="2"/>
        <v>943426</v>
      </c>
      <c r="G20" s="12">
        <f t="shared" si="2"/>
        <v>694088</v>
      </c>
      <c r="H20" s="12">
        <f t="shared" si="2"/>
        <v>1773539</v>
      </c>
      <c r="I20" s="12">
        <f t="shared" si="2"/>
        <v>1361474</v>
      </c>
      <c r="J20" s="12">
        <f t="shared" si="2"/>
        <v>1292296.5777699999</v>
      </c>
      <c r="K20" s="12">
        <f t="shared" si="2"/>
        <v>1245676.8455400001</v>
      </c>
      <c r="L20" s="12">
        <f t="shared" si="2"/>
        <v>1172737.3767599999</v>
      </c>
      <c r="M20" s="12">
        <f t="shared" si="2"/>
        <v>726619.06070999999</v>
      </c>
      <c r="N20" s="12">
        <f t="shared" si="2"/>
        <v>15454144.860780001</v>
      </c>
      <c r="O20" s="29"/>
    </row>
    <row r="21" spans="1:16" s="6" customFormat="1" ht="13.5" hidden="1" customHeight="1">
      <c r="B21" s="7"/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</row>
    <row r="22" spans="1:16" s="6" customFormat="1" ht="17.25" hidden="1" customHeight="1">
      <c r="A22" s="13" t="s">
        <v>36</v>
      </c>
      <c r="B22" s="7"/>
      <c r="C22" s="7"/>
      <c r="D22" s="7"/>
      <c r="E22" s="7"/>
      <c r="F22" s="7"/>
      <c r="G22" s="7"/>
      <c r="H22" s="7"/>
      <c r="I22" s="7"/>
      <c r="J22" s="7"/>
      <c r="K22" s="7"/>
      <c r="L22" s="7"/>
      <c r="M22" s="7"/>
    </row>
    <row r="23" spans="1:16" s="6" customFormat="1" hidden="1">
      <c r="A23" s="6" t="s">
        <v>37</v>
      </c>
      <c r="B23" s="7">
        <f t="shared" ref="B23:M26" si="3">+B5-B16</f>
        <v>717373</v>
      </c>
      <c r="C23" s="7">
        <f t="shared" si="3"/>
        <v>1675464</v>
      </c>
      <c r="D23" s="7">
        <f t="shared" si="3"/>
        <v>2337855</v>
      </c>
      <c r="E23" s="7">
        <f t="shared" si="3"/>
        <v>2482422</v>
      </c>
      <c r="F23" s="7">
        <f t="shared" si="3"/>
        <v>1693581</v>
      </c>
      <c r="G23" s="7">
        <f t="shared" si="3"/>
        <v>1289333</v>
      </c>
      <c r="H23" s="7">
        <f t="shared" si="3"/>
        <v>1880328</v>
      </c>
      <c r="I23" s="7">
        <f t="shared" si="3"/>
        <v>2105235</v>
      </c>
      <c r="J23" s="7">
        <f t="shared" si="3"/>
        <v>2370989.8132700003</v>
      </c>
      <c r="K23" s="7">
        <f t="shared" si="3"/>
        <v>2057838.3564300002</v>
      </c>
      <c r="L23" s="7">
        <f t="shared" si="3"/>
        <v>1693584.2717900001</v>
      </c>
      <c r="M23" s="7">
        <f t="shared" si="3"/>
        <v>668187.09057999996</v>
      </c>
      <c r="N23" s="7">
        <f>SUM(B23:M23)</f>
        <v>20972190.532070003</v>
      </c>
      <c r="O23" s="29"/>
    </row>
    <row r="24" spans="1:16" s="6" customFormat="1" hidden="1">
      <c r="A24" s="6" t="s">
        <v>37</v>
      </c>
      <c r="B24" s="7">
        <f t="shared" si="3"/>
        <v>122669</v>
      </c>
      <c r="C24" s="7">
        <f t="shared" si="3"/>
        <v>65308</v>
      </c>
      <c r="D24" s="7">
        <f t="shared" si="3"/>
        <v>368424</v>
      </c>
      <c r="E24" s="7">
        <f t="shared" si="3"/>
        <v>265657</v>
      </c>
      <c r="F24" s="7">
        <f t="shared" si="3"/>
        <v>90828</v>
      </c>
      <c r="G24" s="7">
        <f t="shared" si="3"/>
        <v>46005</v>
      </c>
      <c r="H24" s="7">
        <f t="shared" si="3"/>
        <v>118231</v>
      </c>
      <c r="I24" s="7">
        <f t="shared" si="3"/>
        <v>200445</v>
      </c>
      <c r="J24" s="7">
        <f t="shared" si="3"/>
        <v>127523</v>
      </c>
      <c r="K24" s="7">
        <f t="shared" si="3"/>
        <v>123229</v>
      </c>
      <c r="L24" s="7">
        <f t="shared" si="3"/>
        <v>130378</v>
      </c>
      <c r="M24" s="7">
        <f t="shared" si="3"/>
        <v>105525</v>
      </c>
      <c r="N24" s="7">
        <f>SUM(B24:M24)</f>
        <v>1764222</v>
      </c>
      <c r="O24" s="29"/>
    </row>
    <row r="25" spans="1:16" s="6" customFormat="1" hidden="1">
      <c r="A25" s="6" t="s">
        <v>38</v>
      </c>
      <c r="B25" s="7">
        <f t="shared" si="3"/>
        <v>0</v>
      </c>
      <c r="C25" s="7">
        <f t="shared" si="3"/>
        <v>0</v>
      </c>
      <c r="D25" s="7">
        <f t="shared" si="3"/>
        <v>0</v>
      </c>
      <c r="E25" s="7">
        <f t="shared" si="3"/>
        <v>0</v>
      </c>
      <c r="F25" s="7">
        <f t="shared" si="3"/>
        <v>0</v>
      </c>
      <c r="G25" s="7">
        <f t="shared" si="3"/>
        <v>0</v>
      </c>
      <c r="H25" s="7">
        <f t="shared" si="3"/>
        <v>0</v>
      </c>
      <c r="I25" s="7">
        <f t="shared" si="3"/>
        <v>0</v>
      </c>
      <c r="J25" s="7">
        <f t="shared" si="3"/>
        <v>0</v>
      </c>
      <c r="K25" s="7">
        <f t="shared" si="3"/>
        <v>0</v>
      </c>
      <c r="L25" s="7">
        <f t="shared" si="3"/>
        <v>0</v>
      </c>
      <c r="M25" s="7">
        <f t="shared" si="3"/>
        <v>0</v>
      </c>
      <c r="N25" s="7">
        <f>SUM(B25:M25)</f>
        <v>0</v>
      </c>
      <c r="O25" s="29"/>
    </row>
    <row r="26" spans="1:16" s="6" customFormat="1" hidden="1">
      <c r="A26" s="6" t="s">
        <v>38</v>
      </c>
      <c r="B26" s="15">
        <f t="shared" si="3"/>
        <v>0</v>
      </c>
      <c r="C26" s="15">
        <f t="shared" si="3"/>
        <v>0</v>
      </c>
      <c r="D26" s="15">
        <f t="shared" si="3"/>
        <v>0</v>
      </c>
      <c r="E26" s="15">
        <f t="shared" si="3"/>
        <v>0</v>
      </c>
      <c r="F26" s="15">
        <f t="shared" si="3"/>
        <v>0</v>
      </c>
      <c r="G26" s="15">
        <f t="shared" si="3"/>
        <v>0</v>
      </c>
      <c r="H26" s="15">
        <f t="shared" si="3"/>
        <v>0</v>
      </c>
      <c r="I26" s="15">
        <f t="shared" si="3"/>
        <v>0</v>
      </c>
      <c r="J26" s="15">
        <f t="shared" si="3"/>
        <v>0</v>
      </c>
      <c r="K26" s="15">
        <f t="shared" si="3"/>
        <v>0</v>
      </c>
      <c r="L26" s="15">
        <f t="shared" si="3"/>
        <v>0</v>
      </c>
      <c r="M26" s="15">
        <f t="shared" si="3"/>
        <v>0</v>
      </c>
      <c r="N26" s="15">
        <f>SUM(B26:M26)</f>
        <v>0</v>
      </c>
      <c r="O26" s="29"/>
    </row>
    <row r="27" spans="1:16" s="6" customFormat="1">
      <c r="A27" s="13" t="s">
        <v>39</v>
      </c>
      <c r="B27" s="12">
        <f t="shared" ref="B27:N27" si="4">SUM(B23:B26)</f>
        <v>840042</v>
      </c>
      <c r="C27" s="12">
        <f t="shared" si="4"/>
        <v>1740772</v>
      </c>
      <c r="D27" s="12">
        <f t="shared" si="4"/>
        <v>2706279</v>
      </c>
      <c r="E27" s="12">
        <f t="shared" si="4"/>
        <v>2748079</v>
      </c>
      <c r="F27" s="12">
        <f t="shared" si="4"/>
        <v>1784409</v>
      </c>
      <c r="G27" s="12">
        <f t="shared" si="4"/>
        <v>1335338</v>
      </c>
      <c r="H27" s="12">
        <f>SUM(H23:H26)</f>
        <v>1998559</v>
      </c>
      <c r="I27" s="12">
        <f t="shared" si="4"/>
        <v>2305680</v>
      </c>
      <c r="J27" s="12">
        <f t="shared" si="4"/>
        <v>2498512.8132700003</v>
      </c>
      <c r="K27" s="12">
        <f t="shared" si="4"/>
        <v>2181067.3564300002</v>
      </c>
      <c r="L27" s="12">
        <f t="shared" si="4"/>
        <v>1823962.2717900001</v>
      </c>
      <c r="M27" s="12">
        <f>SUM(M23:M26)</f>
        <v>773712.09057999996</v>
      </c>
      <c r="N27" s="12">
        <f t="shared" si="4"/>
        <v>22736412.532070003</v>
      </c>
      <c r="O27" s="29"/>
      <c r="P27" s="29">
        <f>+N27</f>
        <v>22736412.532070003</v>
      </c>
    </row>
    <row r="28" spans="1:16" s="6" customFormat="1" ht="14.25" customHeight="1">
      <c r="B28" s="73">
        <f>+B27/B9</f>
        <v>0.51549601737871109</v>
      </c>
      <c r="C28" s="73">
        <f t="shared" ref="C28:N28" si="5">+C27/C9</f>
        <v>0.40638023496102815</v>
      </c>
      <c r="D28" s="73">
        <f t="shared" si="5"/>
        <v>0.61826842831395756</v>
      </c>
      <c r="E28" s="73">
        <f t="shared" si="5"/>
        <v>0.68889958474186441</v>
      </c>
      <c r="F28" s="73">
        <f t="shared" si="5"/>
        <v>0.65414843639736275</v>
      </c>
      <c r="G28" s="73">
        <f t="shared" si="5"/>
        <v>0.65798802222894548</v>
      </c>
      <c r="H28" s="73">
        <f t="shared" si="5"/>
        <v>0.52982690269446875</v>
      </c>
      <c r="I28" s="73">
        <f t="shared" si="5"/>
        <v>0.62873825315217191</v>
      </c>
      <c r="J28" s="73">
        <f t="shared" si="5"/>
        <v>0.65909745269058195</v>
      </c>
      <c r="K28" s="73">
        <f t="shared" si="5"/>
        <v>0.63648385402567453</v>
      </c>
      <c r="L28" s="73">
        <f t="shared" si="5"/>
        <v>0.60865701795391902</v>
      </c>
      <c r="M28" s="73">
        <f t="shared" si="5"/>
        <v>0.51569421185099995</v>
      </c>
      <c r="N28" s="73">
        <f t="shared" si="5"/>
        <v>0.59534120694260129</v>
      </c>
    </row>
    <row r="29" spans="1:16" s="6" customFormat="1" ht="27" hidden="1" customHeight="1">
      <c r="A29" s="13" t="s">
        <v>40</v>
      </c>
      <c r="B29" s="7"/>
      <c r="C29" s="7"/>
      <c r="D29" s="7"/>
      <c r="E29" s="7"/>
      <c r="F29" s="7"/>
      <c r="G29" s="7"/>
      <c r="H29" s="7"/>
      <c r="I29" s="7"/>
      <c r="J29" s="7"/>
      <c r="K29" s="7"/>
      <c r="L29" s="7"/>
      <c r="M29" s="7"/>
    </row>
    <row r="30" spans="1:16" s="6" customFormat="1" hidden="1">
      <c r="A30" s="6" t="s">
        <v>93</v>
      </c>
      <c r="B30" s="49">
        <v>599577</v>
      </c>
      <c r="C30" s="53">
        <v>671079</v>
      </c>
      <c r="D30" s="53">
        <v>793811</v>
      </c>
      <c r="E30" s="53">
        <v>957117</v>
      </c>
      <c r="F30" s="53">
        <v>689782</v>
      </c>
      <c r="G30" s="53">
        <v>611497</v>
      </c>
      <c r="H30" s="53">
        <v>797690</v>
      </c>
      <c r="I30" s="53">
        <v>796901</v>
      </c>
      <c r="J30" s="53">
        <v>800842.39032942755</v>
      </c>
      <c r="K30" s="53">
        <v>843636.89934994141</v>
      </c>
      <c r="L30" s="53">
        <v>694327.62761942751</v>
      </c>
      <c r="M30" s="53">
        <v>505922.77644506848</v>
      </c>
      <c r="N30" s="7">
        <f>SUM(B30:M30)</f>
        <v>8762183.6937438659</v>
      </c>
      <c r="O30" s="29"/>
    </row>
    <row r="31" spans="1:16" s="6" customFormat="1" hidden="1">
      <c r="A31" s="6" t="s">
        <v>42</v>
      </c>
      <c r="B31" s="49">
        <v>243836</v>
      </c>
      <c r="C31" s="53">
        <v>217946</v>
      </c>
      <c r="D31" s="53">
        <v>239113</v>
      </c>
      <c r="E31" s="53">
        <v>257850</v>
      </c>
      <c r="F31" s="53">
        <v>223271</v>
      </c>
      <c r="G31" s="53">
        <v>225464</v>
      </c>
      <c r="H31" s="53">
        <v>230373</v>
      </c>
      <c r="I31" s="53">
        <v>232734</v>
      </c>
      <c r="J31" s="53">
        <v>216879.11284126632</v>
      </c>
      <c r="K31" s="53">
        <v>235419.63067710202</v>
      </c>
      <c r="L31" s="53">
        <v>214783.16583566315</v>
      </c>
      <c r="M31" s="53">
        <v>196662.95050247436</v>
      </c>
      <c r="N31" s="7">
        <f>SUM(B31:M31)</f>
        <v>2734331.8598565059</v>
      </c>
      <c r="O31" s="29"/>
    </row>
    <row r="32" spans="1:16" s="6" customFormat="1" ht="15" hidden="1">
      <c r="A32" s="6" t="s">
        <v>38</v>
      </c>
      <c r="B32" s="68"/>
      <c r="C32" s="68"/>
      <c r="D32" s="68"/>
      <c r="E32" s="68"/>
      <c r="F32" s="68"/>
      <c r="G32" s="68"/>
      <c r="H32" s="68"/>
      <c r="I32" s="68"/>
      <c r="J32" s="68"/>
      <c r="K32" s="68"/>
      <c r="L32" s="68"/>
      <c r="M32" s="68"/>
      <c r="N32" s="7">
        <f>SUM(B32:M32)</f>
        <v>0</v>
      </c>
      <c r="O32" s="29"/>
    </row>
    <row r="33" spans="1:16" s="6" customFormat="1" ht="13.5" hidden="1" customHeight="1">
      <c r="B33" s="15"/>
      <c r="C33" s="15"/>
      <c r="D33" s="15"/>
      <c r="E33" s="15"/>
      <c r="F33" s="15"/>
      <c r="G33" s="15"/>
      <c r="H33" s="15"/>
      <c r="I33" s="15"/>
      <c r="J33" s="15"/>
      <c r="K33" s="15"/>
      <c r="L33" s="15"/>
      <c r="M33" s="15"/>
      <c r="N33" s="15">
        <f>SUM(B33:M33)</f>
        <v>0</v>
      </c>
      <c r="O33" s="29"/>
    </row>
    <row r="34" spans="1:16" s="6" customFormat="1">
      <c r="A34" s="13" t="s">
        <v>43</v>
      </c>
      <c r="B34" s="12">
        <f t="shared" ref="B34:N34" si="6">SUM(B30:B33)</f>
        <v>843413</v>
      </c>
      <c r="C34" s="12">
        <f t="shared" si="6"/>
        <v>889025</v>
      </c>
      <c r="D34" s="12">
        <f t="shared" si="6"/>
        <v>1032924</v>
      </c>
      <c r="E34" s="12">
        <f t="shared" si="6"/>
        <v>1214967</v>
      </c>
      <c r="F34" s="12">
        <f t="shared" si="6"/>
        <v>913053</v>
      </c>
      <c r="G34" s="12">
        <f t="shared" si="6"/>
        <v>836961</v>
      </c>
      <c r="H34" s="12">
        <f t="shared" si="6"/>
        <v>1028063</v>
      </c>
      <c r="I34" s="12">
        <f t="shared" si="6"/>
        <v>1029635</v>
      </c>
      <c r="J34" s="12">
        <f t="shared" si="6"/>
        <v>1017721.5031706939</v>
      </c>
      <c r="K34" s="12">
        <f t="shared" si="6"/>
        <v>1079056.5300270435</v>
      </c>
      <c r="L34" s="12">
        <f t="shared" si="6"/>
        <v>909110.79345509061</v>
      </c>
      <c r="M34" s="12">
        <f t="shared" si="6"/>
        <v>702585.72694754286</v>
      </c>
      <c r="N34" s="12">
        <f t="shared" si="6"/>
        <v>11496515.553600371</v>
      </c>
      <c r="O34" s="29"/>
    </row>
    <row r="35" spans="1:16" s="6" customFormat="1">
      <c r="B35" s="7"/>
      <c r="C35" s="7"/>
      <c r="D35" s="7"/>
      <c r="E35" s="7"/>
      <c r="F35" s="7"/>
      <c r="G35" s="7"/>
      <c r="H35" s="7"/>
      <c r="I35" s="7"/>
      <c r="J35" s="7"/>
      <c r="K35" s="7"/>
      <c r="L35" s="7"/>
      <c r="M35" s="7"/>
    </row>
    <row r="36" spans="1:16" s="6" customFormat="1" ht="18" hidden="1" customHeight="1">
      <c r="A36" s="13" t="s">
        <v>44</v>
      </c>
      <c r="B36" s="7"/>
      <c r="C36" s="7"/>
      <c r="D36" s="7"/>
      <c r="E36" s="7"/>
      <c r="F36" s="7"/>
      <c r="G36" s="7"/>
      <c r="H36" s="7"/>
      <c r="I36" s="7"/>
      <c r="J36" s="7"/>
      <c r="K36" s="7"/>
      <c r="L36" s="7"/>
      <c r="M36" s="7"/>
    </row>
    <row r="37" spans="1:16" s="6" customFormat="1" ht="12.75" hidden="1" customHeight="1">
      <c r="A37" s="6" t="s">
        <v>45</v>
      </c>
      <c r="B37" s="53">
        <v>1312659</v>
      </c>
      <c r="C37" s="53">
        <v>1350844</v>
      </c>
      <c r="D37" s="53">
        <v>1621977</v>
      </c>
      <c r="E37" s="53">
        <v>1862721</v>
      </c>
      <c r="F37" s="53">
        <v>1464546</v>
      </c>
      <c r="G37" s="66">
        <v>1373998</v>
      </c>
      <c r="H37" s="66">
        <v>1519146</v>
      </c>
      <c r="I37" s="66">
        <v>1796509</v>
      </c>
      <c r="J37" s="66">
        <v>1636445.0631706938</v>
      </c>
      <c r="K37" s="53">
        <v>1704354.0300270435</v>
      </c>
      <c r="L37" s="53">
        <v>1425328.2934550906</v>
      </c>
      <c r="M37" s="53">
        <v>1205462.7296161538</v>
      </c>
      <c r="N37" s="7">
        <f>SUM(B37:M37)</f>
        <v>18273990.116268981</v>
      </c>
      <c r="O37" s="29"/>
    </row>
    <row r="38" spans="1:16" s="6" customFormat="1" ht="12.75" hidden="1" customHeight="1">
      <c r="A38" s="6" t="s">
        <v>46</v>
      </c>
      <c r="B38" s="7">
        <f>-B34</f>
        <v>-843413</v>
      </c>
      <c r="C38" s="7">
        <f t="shared" ref="C38:M38" si="7">-C34</f>
        <v>-889025</v>
      </c>
      <c r="D38" s="7">
        <f t="shared" si="7"/>
        <v>-1032924</v>
      </c>
      <c r="E38" s="7">
        <f t="shared" si="7"/>
        <v>-1214967</v>
      </c>
      <c r="F38" s="7">
        <f t="shared" si="7"/>
        <v>-913053</v>
      </c>
      <c r="G38" s="7">
        <f t="shared" si="7"/>
        <v>-836961</v>
      </c>
      <c r="H38" s="7">
        <f>-H34</f>
        <v>-1028063</v>
      </c>
      <c r="I38" s="7">
        <f t="shared" si="7"/>
        <v>-1029635</v>
      </c>
      <c r="J38" s="7">
        <f t="shared" si="7"/>
        <v>-1017721.5031706939</v>
      </c>
      <c r="K38" s="7">
        <f t="shared" si="7"/>
        <v>-1079056.5300270435</v>
      </c>
      <c r="L38" s="7">
        <f t="shared" si="7"/>
        <v>-909110.79345509061</v>
      </c>
      <c r="M38" s="7">
        <f t="shared" si="7"/>
        <v>-702585.72694754286</v>
      </c>
      <c r="N38" s="7">
        <f>SUM(B38:M38)</f>
        <v>-11496515.553600369</v>
      </c>
      <c r="O38" s="29"/>
    </row>
    <row r="39" spans="1:16" s="6" customFormat="1" ht="12.75" hidden="1" customHeight="1">
      <c r="A39" s="6" t="s">
        <v>47</v>
      </c>
      <c r="B39" s="72">
        <v>-77862</v>
      </c>
      <c r="C39" s="72">
        <v>-77862</v>
      </c>
      <c r="D39" s="72">
        <v>-77862</v>
      </c>
      <c r="E39" s="72">
        <v>-77862</v>
      </c>
      <c r="F39" s="72">
        <v>-77862</v>
      </c>
      <c r="G39" s="72">
        <v>-79350</v>
      </c>
      <c r="H39" s="72">
        <v>-79350</v>
      </c>
      <c r="I39" s="72">
        <v>-80109</v>
      </c>
      <c r="J39" s="72">
        <v>-85493</v>
      </c>
      <c r="K39" s="72">
        <v>-85493</v>
      </c>
      <c r="L39" s="72">
        <v>-85493</v>
      </c>
      <c r="M39" s="72">
        <v>-85493</v>
      </c>
      <c r="N39" s="42">
        <f>SUM(B39:M39)</f>
        <v>-970091</v>
      </c>
      <c r="O39" s="88"/>
      <c r="P39" s="42"/>
    </row>
    <row r="40" spans="1:16" s="6" customFormat="1" ht="12.75" hidden="1" customHeight="1">
      <c r="A40" s="6" t="s">
        <v>124</v>
      </c>
      <c r="B40" s="53">
        <v>-8600</v>
      </c>
      <c r="C40" s="53">
        <v>-8600</v>
      </c>
      <c r="D40" s="53">
        <v>-8600</v>
      </c>
      <c r="E40" s="53">
        <v>-8600</v>
      </c>
      <c r="F40" s="53">
        <v>-8600</v>
      </c>
      <c r="G40" s="53">
        <v>-8600</v>
      </c>
      <c r="H40" s="53">
        <v>-8600</v>
      </c>
      <c r="I40" s="53">
        <v>-8600</v>
      </c>
      <c r="J40" s="53">
        <v>-8893</v>
      </c>
      <c r="K40" s="53">
        <v>-8893</v>
      </c>
      <c r="L40" s="53">
        <v>-8893</v>
      </c>
      <c r="M40" s="53">
        <v>-8893</v>
      </c>
      <c r="N40" s="42">
        <f>SUM(B40:M40)</f>
        <v>-104372</v>
      </c>
      <c r="O40" s="88"/>
      <c r="P40" s="58"/>
    </row>
    <row r="41" spans="1:16" s="6" customFormat="1" ht="12.75" hidden="1" customHeight="1">
      <c r="A41" s="6" t="s">
        <v>48</v>
      </c>
      <c r="B41" s="60">
        <v>-4150</v>
      </c>
      <c r="C41" s="60">
        <v>-4250</v>
      </c>
      <c r="D41" s="60">
        <v>-4250</v>
      </c>
      <c r="E41" s="60">
        <v>-4250</v>
      </c>
      <c r="F41" s="60">
        <v>-4250</v>
      </c>
      <c r="G41" s="60">
        <v>-10050</v>
      </c>
      <c r="H41" s="60">
        <v>-4250</v>
      </c>
      <c r="I41" s="60">
        <v>-4250</v>
      </c>
      <c r="J41" s="60">
        <v>-4550</v>
      </c>
      <c r="K41" s="60">
        <v>-4550</v>
      </c>
      <c r="L41" s="60">
        <v>-4550</v>
      </c>
      <c r="M41" s="60">
        <v>-90050</v>
      </c>
      <c r="N41" s="43">
        <f>SUM(B41:M41)</f>
        <v>-143400</v>
      </c>
      <c r="O41" s="88"/>
      <c r="P41" s="42">
        <f>SUM(N39:N41)</f>
        <v>-1217863</v>
      </c>
    </row>
    <row r="42" spans="1:16" s="6" customFormat="1">
      <c r="A42" s="13" t="s">
        <v>49</v>
      </c>
      <c r="B42" s="12">
        <f t="shared" ref="B42:N42" si="8">SUM(B37:B41)</f>
        <v>378634</v>
      </c>
      <c r="C42" s="12">
        <f t="shared" si="8"/>
        <v>371107</v>
      </c>
      <c r="D42" s="12">
        <f t="shared" si="8"/>
        <v>498341</v>
      </c>
      <c r="E42" s="12">
        <f t="shared" si="8"/>
        <v>557042</v>
      </c>
      <c r="F42" s="12">
        <f t="shared" si="8"/>
        <v>460781</v>
      </c>
      <c r="G42" s="12">
        <f t="shared" si="8"/>
        <v>439037</v>
      </c>
      <c r="H42" s="12">
        <f t="shared" si="8"/>
        <v>398883</v>
      </c>
      <c r="I42" s="12">
        <f t="shared" si="8"/>
        <v>673915</v>
      </c>
      <c r="J42" s="12">
        <f t="shared" si="8"/>
        <v>519787.55999999994</v>
      </c>
      <c r="K42" s="12">
        <f t="shared" si="8"/>
        <v>526361.5</v>
      </c>
      <c r="L42" s="12">
        <f t="shared" si="8"/>
        <v>417281.5</v>
      </c>
      <c r="M42" s="12">
        <f t="shared" si="8"/>
        <v>318441.00266861089</v>
      </c>
      <c r="N42" s="12">
        <f t="shared" si="8"/>
        <v>5559611.5626686122</v>
      </c>
      <c r="O42" s="29"/>
    </row>
    <row r="43" spans="1:16">
      <c r="A43" s="1"/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2"/>
      <c r="N43" s="12"/>
      <c r="O43" s="6"/>
    </row>
    <row r="44" spans="1:16" ht="18" hidden="1" customHeight="1">
      <c r="A44" s="13" t="s">
        <v>50</v>
      </c>
      <c r="B44" s="53">
        <v>313331</v>
      </c>
      <c r="C44" s="53">
        <v>400498</v>
      </c>
      <c r="D44" s="53">
        <v>331729</v>
      </c>
      <c r="E44" s="53">
        <v>309099</v>
      </c>
      <c r="F44" s="53">
        <v>349633</v>
      </c>
      <c r="G44" s="53">
        <v>248256</v>
      </c>
      <c r="H44" s="53">
        <v>313763</v>
      </c>
      <c r="I44" s="53">
        <v>301908</v>
      </c>
      <c r="J44" s="53">
        <v>339892</v>
      </c>
      <c r="K44" s="53">
        <v>384523</v>
      </c>
      <c r="L44" s="53">
        <v>298207</v>
      </c>
      <c r="M44" s="53">
        <v>669637</v>
      </c>
      <c r="N44" s="12">
        <f>SUM(B44:M44)</f>
        <v>4260476</v>
      </c>
      <c r="O44" s="29"/>
      <c r="P44" s="25"/>
    </row>
    <row r="45" spans="1:16" hidden="1">
      <c r="A45" s="6" t="s">
        <v>107</v>
      </c>
      <c r="B45" s="22"/>
      <c r="C45" s="22"/>
      <c r="D45" s="22"/>
      <c r="E45" s="22"/>
      <c r="F45" s="22"/>
      <c r="G45" s="22"/>
      <c r="H45" s="22"/>
      <c r="I45" s="22"/>
      <c r="J45" s="22"/>
      <c r="K45" s="22"/>
      <c r="L45" s="22"/>
      <c r="M45" s="22"/>
      <c r="N45" s="22">
        <f>SUM(B45:M45)</f>
        <v>0</v>
      </c>
      <c r="O45" s="29"/>
    </row>
    <row r="46" spans="1:16">
      <c r="A46" s="1" t="s">
        <v>50</v>
      </c>
      <c r="B46" s="12">
        <f>SUM(B44:B45)</f>
        <v>313331</v>
      </c>
      <c r="C46" s="12">
        <f>SUM(C44:C45)</f>
        <v>400498</v>
      </c>
      <c r="D46" s="12">
        <f t="shared" ref="D46:N46" si="9">SUM(D44:D45)</f>
        <v>331729</v>
      </c>
      <c r="E46" s="12">
        <f t="shared" si="9"/>
        <v>309099</v>
      </c>
      <c r="F46" s="12">
        <f t="shared" si="9"/>
        <v>349633</v>
      </c>
      <c r="G46" s="12">
        <f t="shared" si="9"/>
        <v>248256</v>
      </c>
      <c r="H46" s="12">
        <f t="shared" si="9"/>
        <v>313763</v>
      </c>
      <c r="I46" s="12">
        <f t="shared" si="9"/>
        <v>301908</v>
      </c>
      <c r="J46" s="12">
        <f t="shared" si="9"/>
        <v>339892</v>
      </c>
      <c r="K46" s="12">
        <f t="shared" si="9"/>
        <v>384523</v>
      </c>
      <c r="L46" s="12">
        <f t="shared" si="9"/>
        <v>298207</v>
      </c>
      <c r="M46" s="12">
        <f t="shared" si="9"/>
        <v>669637</v>
      </c>
      <c r="N46" s="12">
        <f t="shared" si="9"/>
        <v>4260476</v>
      </c>
      <c r="O46" s="29"/>
    </row>
    <row r="47" spans="1:16">
      <c r="B47" s="7"/>
      <c r="C47" s="7"/>
      <c r="D47" s="7"/>
      <c r="E47" s="7"/>
      <c r="F47" s="7"/>
      <c r="G47" s="7"/>
      <c r="H47" s="7"/>
      <c r="I47" s="7"/>
      <c r="J47" s="7"/>
      <c r="K47" s="6"/>
      <c r="L47" s="6"/>
      <c r="M47" s="6"/>
      <c r="N47" s="6"/>
      <c r="O47" s="6"/>
    </row>
    <row r="48" spans="1:16">
      <c r="A48" s="13" t="s">
        <v>52</v>
      </c>
      <c r="B48" s="19">
        <f t="shared" ref="B48:N48" si="10">+B20+B34+B42+B46</f>
        <v>2324916</v>
      </c>
      <c r="C48" s="19">
        <f t="shared" si="10"/>
        <v>4203462</v>
      </c>
      <c r="D48" s="19">
        <f t="shared" si="10"/>
        <v>3533906</v>
      </c>
      <c r="E48" s="19">
        <f t="shared" si="10"/>
        <v>3322114</v>
      </c>
      <c r="F48" s="19">
        <f>+F20+F34+F42+F46</f>
        <v>2666893</v>
      </c>
      <c r="G48" s="19">
        <f t="shared" si="10"/>
        <v>2218342</v>
      </c>
      <c r="H48" s="19">
        <f t="shared" si="10"/>
        <v>3514248</v>
      </c>
      <c r="I48" s="19">
        <f t="shared" si="10"/>
        <v>3366932</v>
      </c>
      <c r="J48" s="19">
        <f t="shared" si="10"/>
        <v>3169697.6409406937</v>
      </c>
      <c r="K48" s="19">
        <f t="shared" si="10"/>
        <v>3235617.8755670437</v>
      </c>
      <c r="L48" s="19">
        <f t="shared" si="10"/>
        <v>2797336.6702150907</v>
      </c>
      <c r="M48" s="19">
        <f t="shared" si="10"/>
        <v>2417282.7903261539</v>
      </c>
      <c r="N48" s="19">
        <f t="shared" si="10"/>
        <v>36770747.977048986</v>
      </c>
      <c r="O48" s="29"/>
      <c r="P48" s="25"/>
    </row>
    <row r="49" spans="1:26">
      <c r="B49" s="7"/>
      <c r="C49" s="7"/>
      <c r="D49" s="7"/>
      <c r="E49" s="7"/>
      <c r="F49" s="7"/>
      <c r="G49" s="7"/>
      <c r="H49" s="7"/>
      <c r="I49" s="7"/>
      <c r="J49" s="7"/>
      <c r="K49" s="6"/>
      <c r="L49" s="6"/>
      <c r="M49" s="6"/>
      <c r="N49" s="6"/>
      <c r="O49" s="6"/>
    </row>
    <row r="50" spans="1:26">
      <c r="A50" s="1" t="s">
        <v>53</v>
      </c>
      <c r="B50" s="12">
        <f t="shared" ref="B50:M50" si="11">+B13-B48</f>
        <v>-693145</v>
      </c>
      <c r="C50" s="12">
        <f t="shared" si="11"/>
        <v>80372</v>
      </c>
      <c r="D50" s="12">
        <f t="shared" si="11"/>
        <v>843693.40000000037</v>
      </c>
      <c r="E50" s="12">
        <f t="shared" si="11"/>
        <v>666744</v>
      </c>
      <c r="F50" s="12">
        <f>+F13-F48</f>
        <v>61167</v>
      </c>
      <c r="G50" s="12">
        <f t="shared" si="11"/>
        <v>-185719</v>
      </c>
      <c r="H50" s="12">
        <f>+H13-H48</f>
        <v>258132</v>
      </c>
      <c r="I50" s="12">
        <f t="shared" si="11"/>
        <v>324453</v>
      </c>
      <c r="J50" s="12">
        <f t="shared" si="11"/>
        <v>621111.75009930646</v>
      </c>
      <c r="K50" s="12">
        <f t="shared" si="11"/>
        <v>191126.32640295662</v>
      </c>
      <c r="L50" s="12">
        <f t="shared" si="11"/>
        <v>199362.9783349093</v>
      </c>
      <c r="M50" s="12">
        <f t="shared" si="11"/>
        <v>-916951.63903615391</v>
      </c>
      <c r="N50" s="12">
        <f>SUM(B50:M50)</f>
        <v>1450346.8158010188</v>
      </c>
      <c r="O50" s="7"/>
      <c r="P50" s="25">
        <f>+N50</f>
        <v>1450346.8158010188</v>
      </c>
    </row>
    <row r="51" spans="1:26" ht="7.5" customHeight="1">
      <c r="B51" s="7"/>
      <c r="C51" s="7"/>
      <c r="D51" s="7"/>
      <c r="E51" s="7"/>
      <c r="F51" s="7"/>
      <c r="G51" s="7"/>
      <c r="H51" s="7"/>
      <c r="I51" s="7"/>
      <c r="J51" s="7"/>
      <c r="K51" s="6"/>
      <c r="L51" s="6"/>
      <c r="M51" s="6"/>
      <c r="N51" s="6"/>
      <c r="O51" s="6"/>
    </row>
    <row r="52" spans="1:26">
      <c r="A52" s="1" t="s">
        <v>54</v>
      </c>
      <c r="B52" s="7"/>
      <c r="C52" s="7"/>
      <c r="D52" s="7"/>
      <c r="E52" s="7"/>
      <c r="F52" s="7"/>
      <c r="G52" s="7"/>
      <c r="H52" s="7"/>
      <c r="I52" s="7"/>
      <c r="J52" s="7"/>
      <c r="K52" s="6"/>
      <c r="L52" s="6"/>
      <c r="M52" s="6"/>
      <c r="N52" s="6"/>
      <c r="O52" s="6"/>
      <c r="P52" s="2">
        <f>SUM(P41:P50)</f>
        <v>232483.81580101885</v>
      </c>
    </row>
    <row r="53" spans="1:26" s="6" customFormat="1">
      <c r="A53" s="6" t="s">
        <v>55</v>
      </c>
      <c r="B53" s="10">
        <v>17969</v>
      </c>
      <c r="C53" s="10">
        <v>47133.55</v>
      </c>
      <c r="D53" s="10">
        <v>79271.41</v>
      </c>
      <c r="E53" s="10">
        <v>20893.52</v>
      </c>
      <c r="F53" s="10">
        <v>0</v>
      </c>
      <c r="G53" s="10">
        <v>29828</v>
      </c>
      <c r="H53" s="23">
        <v>16962</v>
      </c>
      <c r="I53" s="10">
        <v>-133</v>
      </c>
      <c r="J53" s="10">
        <v>10000</v>
      </c>
      <c r="K53" s="10">
        <v>110000</v>
      </c>
      <c r="L53" s="10">
        <v>10000</v>
      </c>
      <c r="M53" s="10">
        <v>10000</v>
      </c>
      <c r="N53" s="10">
        <f>SUM(B53:M53)</f>
        <v>351924.47999999998</v>
      </c>
      <c r="O53" s="10"/>
      <c r="P53" s="40"/>
      <c r="Z53" s="40"/>
    </row>
    <row r="54" spans="1:26" s="6" customFormat="1">
      <c r="A54" s="6" t="s">
        <v>96</v>
      </c>
      <c r="B54" s="10"/>
      <c r="C54" s="10"/>
      <c r="D54" s="10"/>
      <c r="E54" s="10"/>
      <c r="F54" s="10">
        <v>90000</v>
      </c>
      <c r="G54" s="10"/>
      <c r="H54" s="10"/>
      <c r="I54" s="10"/>
      <c r="J54" s="10"/>
      <c r="K54" s="10"/>
      <c r="L54" s="10"/>
      <c r="M54" s="10"/>
      <c r="N54" s="10">
        <f>SUM(B54:M54)</f>
        <v>90000</v>
      </c>
    </row>
    <row r="55" spans="1:26" s="6" customFormat="1">
      <c r="A55" s="6" t="s">
        <v>111</v>
      </c>
      <c r="B55" s="10">
        <v>425857</v>
      </c>
      <c r="C55" s="10"/>
      <c r="D55" s="10"/>
      <c r="E55" s="10"/>
      <c r="F55" s="10"/>
      <c r="G55" s="10"/>
      <c r="H55" s="10"/>
      <c r="I55" s="10"/>
      <c r="J55" s="10"/>
      <c r="K55" s="10"/>
      <c r="L55" s="10">
        <v>0</v>
      </c>
      <c r="M55" s="56"/>
      <c r="N55" s="10">
        <f>SUM(B55:M55)</f>
        <v>425857</v>
      </c>
    </row>
    <row r="56" spans="1:26" s="6" customFormat="1">
      <c r="A56" s="37" t="s">
        <v>58</v>
      </c>
      <c r="B56" s="7">
        <v>-14346</v>
      </c>
      <c r="C56" s="7">
        <v>-15057</v>
      </c>
      <c r="D56" s="7">
        <v>-19542</v>
      </c>
      <c r="E56" s="7">
        <v>-13668</v>
      </c>
      <c r="F56" s="7">
        <v>-12737</v>
      </c>
      <c r="G56" s="7">
        <v>-77693</v>
      </c>
      <c r="H56" s="7">
        <f>-12580-367</f>
        <v>-12947</v>
      </c>
      <c r="I56" s="7">
        <v>-11113</v>
      </c>
      <c r="J56" s="7">
        <v>-20000</v>
      </c>
      <c r="K56" s="7">
        <v>-25000</v>
      </c>
      <c r="L56" s="7">
        <v>-25000</v>
      </c>
      <c r="M56" s="7">
        <v>-20000</v>
      </c>
      <c r="N56" s="7">
        <f>SUM(B56:M56)</f>
        <v>-267103</v>
      </c>
      <c r="O56" s="7"/>
    </row>
    <row r="57" spans="1:26" s="6" customFormat="1">
      <c r="A57" s="6" t="s">
        <v>134</v>
      </c>
      <c r="B57" s="22">
        <v>-29008</v>
      </c>
      <c r="C57" s="22">
        <v>209614</v>
      </c>
      <c r="D57" s="22">
        <v>-83076</v>
      </c>
      <c r="E57" s="22">
        <v>-215833</v>
      </c>
      <c r="F57" s="22">
        <v>-198902</v>
      </c>
      <c r="G57" s="22">
        <v>-207006</v>
      </c>
      <c r="H57" s="22">
        <v>115087</v>
      </c>
      <c r="I57" s="22">
        <v>543958</v>
      </c>
      <c r="J57" s="22">
        <v>-25000</v>
      </c>
      <c r="K57" s="22">
        <v>-25000</v>
      </c>
      <c r="L57" s="22">
        <v>-25000</v>
      </c>
      <c r="M57" s="22">
        <v>-25000</v>
      </c>
      <c r="N57" s="22">
        <f>SUM(B57:M57)</f>
        <v>34834</v>
      </c>
      <c r="O57" s="56"/>
    </row>
    <row r="58" spans="1:26" s="6" customFormat="1">
      <c r="A58" s="13" t="s">
        <v>60</v>
      </c>
      <c r="B58" s="19">
        <f t="shared" ref="B58:N58" si="12">SUM(B53:B57)</f>
        <v>400472</v>
      </c>
      <c r="C58" s="19">
        <f t="shared" si="12"/>
        <v>241690.55</v>
      </c>
      <c r="D58" s="19">
        <f t="shared" si="12"/>
        <v>-23346.589999999997</v>
      </c>
      <c r="E58" s="19">
        <f t="shared" si="12"/>
        <v>-208607.48</v>
      </c>
      <c r="F58" s="19">
        <f t="shared" si="12"/>
        <v>-121639</v>
      </c>
      <c r="G58" s="19">
        <f t="shared" si="12"/>
        <v>-254871</v>
      </c>
      <c r="H58" s="19">
        <f>SUM(H53:H57)</f>
        <v>119102</v>
      </c>
      <c r="I58" s="19">
        <f t="shared" si="12"/>
        <v>532712</v>
      </c>
      <c r="J58" s="19">
        <f t="shared" si="12"/>
        <v>-35000</v>
      </c>
      <c r="K58" s="19">
        <f t="shared" si="12"/>
        <v>60000</v>
      </c>
      <c r="L58" s="19">
        <f t="shared" si="12"/>
        <v>-40000</v>
      </c>
      <c r="M58" s="19">
        <f t="shared" si="12"/>
        <v>-35000</v>
      </c>
      <c r="N58" s="19">
        <f t="shared" si="12"/>
        <v>635512.48</v>
      </c>
      <c r="O58" s="29"/>
    </row>
    <row r="59" spans="1:26">
      <c r="B59" s="7"/>
      <c r="C59" s="7"/>
      <c r="D59" s="7"/>
      <c r="E59" s="7"/>
      <c r="F59" s="7"/>
      <c r="G59" s="7"/>
      <c r="H59" s="7"/>
      <c r="I59" s="7"/>
      <c r="J59" s="7"/>
      <c r="K59" s="7"/>
      <c r="L59" s="7"/>
      <c r="M59" s="7"/>
      <c r="N59" s="7"/>
      <c r="O59" s="6"/>
    </row>
    <row r="60" spans="1:26">
      <c r="A60" s="1" t="s">
        <v>61</v>
      </c>
      <c r="B60" s="12">
        <v>13598947</v>
      </c>
      <c r="C60" s="7"/>
      <c r="D60" s="7"/>
      <c r="E60" s="7"/>
      <c r="F60" s="7"/>
      <c r="G60" s="7"/>
      <c r="H60" s="7" t="s">
        <v>38</v>
      </c>
      <c r="I60" s="7"/>
      <c r="J60" s="7"/>
      <c r="K60" s="6"/>
      <c r="L60" s="6"/>
      <c r="M60" s="6"/>
      <c r="N60" s="6"/>
      <c r="O60" s="6"/>
    </row>
    <row r="61" spans="1:26">
      <c r="A61" s="13" t="s">
        <v>62</v>
      </c>
      <c r="B61" s="19">
        <f t="shared" ref="B61:N61" si="13">+B58+B48</f>
        <v>2725388</v>
      </c>
      <c r="C61" s="19">
        <f t="shared" si="13"/>
        <v>4445152.55</v>
      </c>
      <c r="D61" s="19">
        <f t="shared" si="13"/>
        <v>3510559.41</v>
      </c>
      <c r="E61" s="19">
        <f t="shared" si="13"/>
        <v>3113506.52</v>
      </c>
      <c r="F61" s="19">
        <f>+F58+F48</f>
        <v>2545254</v>
      </c>
      <c r="G61" s="19">
        <f t="shared" si="13"/>
        <v>1963471</v>
      </c>
      <c r="H61" s="19">
        <f t="shared" si="13"/>
        <v>3633350</v>
      </c>
      <c r="I61" s="19">
        <f t="shared" si="13"/>
        <v>3899644</v>
      </c>
      <c r="J61" s="19">
        <f t="shared" si="13"/>
        <v>3134697.6409406937</v>
      </c>
      <c r="K61" s="19">
        <f t="shared" si="13"/>
        <v>3295617.8755670437</v>
      </c>
      <c r="L61" s="19">
        <f t="shared" si="13"/>
        <v>2757336.6702150907</v>
      </c>
      <c r="M61" s="19">
        <f t="shared" si="13"/>
        <v>2382282.7903261539</v>
      </c>
      <c r="N61" s="19">
        <f t="shared" si="13"/>
        <v>37406260.457048982</v>
      </c>
      <c r="O61" s="29"/>
    </row>
    <row r="62" spans="1:26" ht="13.5" thickBot="1">
      <c r="A62" s="13" t="s">
        <v>63</v>
      </c>
      <c r="B62" s="14">
        <f t="shared" ref="B62:N62" si="14">+B13-B61</f>
        <v>-1093617</v>
      </c>
      <c r="C62" s="14">
        <f t="shared" si="14"/>
        <v>-161318.54999999981</v>
      </c>
      <c r="D62" s="14">
        <f t="shared" si="14"/>
        <v>867039.99000000022</v>
      </c>
      <c r="E62" s="14">
        <f t="shared" si="14"/>
        <v>875351.48</v>
      </c>
      <c r="F62" s="14">
        <f>+F13-F61</f>
        <v>182806</v>
      </c>
      <c r="G62" s="14">
        <f t="shared" si="14"/>
        <v>69152</v>
      </c>
      <c r="H62" s="14">
        <f t="shared" si="14"/>
        <v>139030</v>
      </c>
      <c r="I62" s="14">
        <f t="shared" si="14"/>
        <v>-208259</v>
      </c>
      <c r="J62" s="14">
        <f t="shared" si="14"/>
        <v>656111.75009930646</v>
      </c>
      <c r="K62" s="14">
        <f t="shared" si="14"/>
        <v>131126.32640295662</v>
      </c>
      <c r="L62" s="14">
        <f t="shared" si="14"/>
        <v>239362.9783349093</v>
      </c>
      <c r="M62" s="14">
        <f t="shared" si="14"/>
        <v>-881951.63903615391</v>
      </c>
      <c r="N62" s="14">
        <f t="shared" si="14"/>
        <v>814834.33580101281</v>
      </c>
      <c r="O62" s="29"/>
    </row>
    <row r="63" spans="1:26" s="6" customFormat="1" ht="13.5" thickTop="1">
      <c r="A63" s="13" t="s">
        <v>64</v>
      </c>
      <c r="B63" s="12">
        <f>+B62</f>
        <v>-1093617</v>
      </c>
      <c r="C63" s="12">
        <f t="shared" ref="C63:M63" si="15">B63+C62</f>
        <v>-1254935.5499999998</v>
      </c>
      <c r="D63" s="12">
        <f t="shared" si="15"/>
        <v>-387895.55999999959</v>
      </c>
      <c r="E63" s="12">
        <f t="shared" si="15"/>
        <v>487455.92000000039</v>
      </c>
      <c r="F63" s="12">
        <f t="shared" si="15"/>
        <v>670261.92000000039</v>
      </c>
      <c r="G63" s="12">
        <f t="shared" si="15"/>
        <v>739413.92000000039</v>
      </c>
      <c r="H63" s="12">
        <f t="shared" si="15"/>
        <v>878443.92000000039</v>
      </c>
      <c r="I63" s="12">
        <f>H63+I62</f>
        <v>670184.92000000039</v>
      </c>
      <c r="J63" s="12">
        <f t="shared" si="15"/>
        <v>1326296.6700993069</v>
      </c>
      <c r="K63" s="12">
        <f t="shared" si="15"/>
        <v>1457422.9965022635</v>
      </c>
      <c r="L63" s="12">
        <f t="shared" si="15"/>
        <v>1696785.9748371728</v>
      </c>
      <c r="M63" s="12">
        <f t="shared" si="15"/>
        <v>814834.33580101887</v>
      </c>
      <c r="N63" s="12"/>
    </row>
    <row r="64" spans="1:26">
      <c r="A64" s="13" t="s">
        <v>65</v>
      </c>
      <c r="B64" s="12">
        <f t="shared" ref="B64:M64" si="16">+$B$60+B63</f>
        <v>12505330</v>
      </c>
      <c r="C64" s="12">
        <f t="shared" si="16"/>
        <v>12344011.449999999</v>
      </c>
      <c r="D64" s="12">
        <f t="shared" si="16"/>
        <v>13211051.440000001</v>
      </c>
      <c r="E64" s="12">
        <f t="shared" si="16"/>
        <v>14086402.92</v>
      </c>
      <c r="F64" s="12">
        <f>+$B$60+F63</f>
        <v>14269208.92</v>
      </c>
      <c r="G64" s="12">
        <f t="shared" si="16"/>
        <v>14338360.92</v>
      </c>
      <c r="H64" s="12">
        <f t="shared" si="16"/>
        <v>14477390.92</v>
      </c>
      <c r="I64" s="12">
        <f t="shared" si="16"/>
        <v>14269131.92</v>
      </c>
      <c r="J64" s="12">
        <f t="shared" si="16"/>
        <v>14925243.670099307</v>
      </c>
      <c r="K64" s="12">
        <f t="shared" si="16"/>
        <v>15056369.996502263</v>
      </c>
      <c r="L64" s="12">
        <f t="shared" si="16"/>
        <v>15295732.974837173</v>
      </c>
      <c r="M64" s="12">
        <f t="shared" si="16"/>
        <v>14413781.335801018</v>
      </c>
      <c r="N64" s="12"/>
      <c r="O64" s="6"/>
    </row>
    <row r="65" spans="1:15">
      <c r="A65" s="6"/>
      <c r="B65" s="7"/>
      <c r="C65" s="7"/>
      <c r="D65" s="7"/>
      <c r="E65" s="7"/>
      <c r="F65" s="7"/>
      <c r="G65" s="7"/>
      <c r="H65" s="7"/>
      <c r="I65" s="7"/>
      <c r="J65" s="7"/>
      <c r="K65" s="6"/>
      <c r="L65" s="6"/>
      <c r="M65" s="6"/>
      <c r="N65" s="6"/>
      <c r="O65" s="6"/>
    </row>
    <row r="66" spans="1:15" s="6" customFormat="1">
      <c r="A66" s="17" t="s">
        <v>126</v>
      </c>
      <c r="B66" s="18"/>
      <c r="C66" s="18"/>
      <c r="D66" s="18"/>
      <c r="E66" s="18"/>
      <c r="F66" s="18"/>
      <c r="G66" s="18"/>
      <c r="H66" s="18"/>
      <c r="I66" s="18"/>
      <c r="J66" s="18"/>
      <c r="K66" s="18"/>
      <c r="L66" s="18"/>
      <c r="M66" s="18"/>
      <c r="N66" s="18"/>
    </row>
    <row r="67" spans="1:15" ht="13.5" thickBot="1">
      <c r="A67" s="13" t="s">
        <v>67</v>
      </c>
      <c r="B67" s="30">
        <v>-1263474.9897115808</v>
      </c>
      <c r="C67" s="30">
        <v>-102010.94887173455</v>
      </c>
      <c r="D67" s="30">
        <v>854641.48144806735</v>
      </c>
      <c r="E67" s="30">
        <v>550109.68371886434</v>
      </c>
      <c r="F67" s="30">
        <v>-58453.035503471736</v>
      </c>
      <c r="G67" s="30">
        <v>-6981.7485968954861</v>
      </c>
      <c r="H67" s="30">
        <v>168524.42741065565</v>
      </c>
      <c r="I67" s="30">
        <v>499407.90022242721</v>
      </c>
      <c r="J67" s="14">
        <v>656111.75009930646</v>
      </c>
      <c r="K67" s="14">
        <v>131126.32640295662</v>
      </c>
      <c r="L67" s="14">
        <v>239362.9783349093</v>
      </c>
      <c r="M67" s="14">
        <v>-881951.63903615391</v>
      </c>
      <c r="N67" s="16"/>
      <c r="O67" s="6"/>
    </row>
    <row r="68" spans="1:15" ht="13.5" thickTop="1">
      <c r="A68" s="13" t="s">
        <v>64</v>
      </c>
      <c r="B68" s="32">
        <f>+B67</f>
        <v>-1263474.9897115808</v>
      </c>
      <c r="C68" s="32">
        <f>+B68+C67</f>
        <v>-1365485.9385833154</v>
      </c>
      <c r="D68" s="32">
        <f t="shared" ref="D68:M68" si="17">+C68+D67</f>
        <v>-510844.457135248</v>
      </c>
      <c r="E68" s="32">
        <f t="shared" si="17"/>
        <v>39265.226583616342</v>
      </c>
      <c r="F68" s="32">
        <f t="shared" si="17"/>
        <v>-19187.808919855393</v>
      </c>
      <c r="G68" s="32">
        <f t="shared" si="17"/>
        <v>-26169.55751675088</v>
      </c>
      <c r="H68" s="32">
        <f t="shared" si="17"/>
        <v>142354.86989390478</v>
      </c>
      <c r="I68" s="32">
        <f t="shared" si="17"/>
        <v>641762.77011633199</v>
      </c>
      <c r="J68" s="12">
        <f t="shared" si="17"/>
        <v>1297874.5202156384</v>
      </c>
      <c r="K68" s="12">
        <f t="shared" si="17"/>
        <v>1429000.8466185951</v>
      </c>
      <c r="L68" s="12">
        <f t="shared" si="17"/>
        <v>1668363.8249535044</v>
      </c>
      <c r="M68" s="12">
        <f t="shared" si="17"/>
        <v>786412.18591735046</v>
      </c>
      <c r="N68" s="16"/>
      <c r="O68" s="6"/>
    </row>
    <row r="69" spans="1:15">
      <c r="A69" s="13" t="s">
        <v>65</v>
      </c>
      <c r="B69" s="12">
        <v>12917512</v>
      </c>
      <c r="C69" s="12">
        <v>12793700</v>
      </c>
      <c r="D69" s="12">
        <v>13941855</v>
      </c>
      <c r="E69" s="12">
        <v>14525011</v>
      </c>
      <c r="F69" s="12">
        <v>14399159</v>
      </c>
      <c r="G69" s="12">
        <v>14361469</v>
      </c>
      <c r="H69" s="12">
        <v>14462138</v>
      </c>
      <c r="I69" s="12">
        <v>15244556</v>
      </c>
      <c r="J69" s="12">
        <v>15579898</v>
      </c>
      <c r="K69" s="12">
        <v>15948341</v>
      </c>
      <c r="L69" s="12">
        <v>16058562</v>
      </c>
      <c r="M69" s="12">
        <v>14998982</v>
      </c>
      <c r="N69" s="12"/>
      <c r="O69" s="6"/>
    </row>
    <row r="70" spans="1:15">
      <c r="A70" s="6"/>
      <c r="B70" s="6"/>
      <c r="C70" s="6"/>
      <c r="E70" s="6"/>
      <c r="F70" s="6"/>
      <c r="H70" s="6"/>
      <c r="I70" s="6"/>
      <c r="J70" s="6"/>
      <c r="K70" s="6"/>
      <c r="L70" s="6"/>
      <c r="M70" s="6"/>
      <c r="N70" s="6"/>
      <c r="O70" s="6"/>
    </row>
    <row r="71" spans="1:15">
      <c r="A71" s="24" t="s">
        <v>68</v>
      </c>
      <c r="B71" s="18"/>
      <c r="C71" s="18"/>
      <c r="D71" s="18"/>
      <c r="E71" s="18"/>
      <c r="F71" s="18"/>
      <c r="G71" s="18"/>
      <c r="H71" s="18"/>
      <c r="I71" s="18"/>
      <c r="J71" s="18"/>
      <c r="K71" s="18"/>
      <c r="L71" s="18"/>
      <c r="M71" s="18"/>
      <c r="N71" s="18"/>
      <c r="O71" s="6"/>
    </row>
    <row r="72" spans="1:15">
      <c r="A72" s="13" t="s">
        <v>63</v>
      </c>
      <c r="B72" s="31">
        <f t="shared" ref="B72:N74" si="18">+B62-B67</f>
        <v>169857.9897115808</v>
      </c>
      <c r="C72" s="31">
        <f t="shared" si="18"/>
        <v>-59307.601128265262</v>
      </c>
      <c r="D72" s="31">
        <f t="shared" si="18"/>
        <v>12398.508551932871</v>
      </c>
      <c r="E72" s="31">
        <f t="shared" si="18"/>
        <v>325241.79628113564</v>
      </c>
      <c r="F72" s="31">
        <f t="shared" si="18"/>
        <v>241259.03550347174</v>
      </c>
      <c r="G72" s="31">
        <f t="shared" si="18"/>
        <v>76133.748596895486</v>
      </c>
      <c r="H72" s="31">
        <f t="shared" si="18"/>
        <v>-29494.427410655655</v>
      </c>
      <c r="I72" s="31">
        <f t="shared" si="18"/>
        <v>-707666.90022242721</v>
      </c>
      <c r="J72" s="16">
        <f t="shared" si="18"/>
        <v>0</v>
      </c>
      <c r="K72" s="16">
        <f t="shared" si="18"/>
        <v>0</v>
      </c>
      <c r="L72" s="16">
        <f t="shared" si="18"/>
        <v>0</v>
      </c>
      <c r="M72" s="16">
        <f t="shared" si="18"/>
        <v>0</v>
      </c>
      <c r="N72" s="6"/>
      <c r="O72" s="6"/>
    </row>
    <row r="73" spans="1:15" s="6" customFormat="1">
      <c r="A73" s="13" t="s">
        <v>64</v>
      </c>
      <c r="B73" s="31">
        <f t="shared" si="18"/>
        <v>169857.9897115808</v>
      </c>
      <c r="C73" s="31">
        <f t="shared" si="18"/>
        <v>110550.38858331554</v>
      </c>
      <c r="D73" s="31">
        <f t="shared" si="18"/>
        <v>122948.89713524841</v>
      </c>
      <c r="E73" s="31">
        <f t="shared" si="18"/>
        <v>448190.69341638405</v>
      </c>
      <c r="F73" s="31">
        <f t="shared" si="18"/>
        <v>689449.72891985578</v>
      </c>
      <c r="G73" s="31">
        <f t="shared" si="18"/>
        <v>765583.47751675127</v>
      </c>
      <c r="H73" s="31">
        <f t="shared" si="18"/>
        <v>736089.05010609562</v>
      </c>
      <c r="I73" s="31">
        <f t="shared" si="18"/>
        <v>28422.149883668404</v>
      </c>
      <c r="J73" s="16">
        <f t="shared" si="18"/>
        <v>28422.149883668404</v>
      </c>
      <c r="K73" s="16">
        <f t="shared" si="18"/>
        <v>28422.149883668404</v>
      </c>
      <c r="L73" s="16">
        <f t="shared" si="18"/>
        <v>28422.149883668404</v>
      </c>
      <c r="M73" s="16">
        <f t="shared" si="18"/>
        <v>28422.149883668404</v>
      </c>
      <c r="N73" s="16">
        <f t="shared" si="18"/>
        <v>0</v>
      </c>
    </row>
    <row r="74" spans="1:15">
      <c r="A74" s="1" t="s">
        <v>65</v>
      </c>
      <c r="B74" s="16">
        <f t="shared" si="18"/>
        <v>-412182</v>
      </c>
      <c r="C74" s="16">
        <f t="shared" si="18"/>
        <v>-449688.55000000075</v>
      </c>
      <c r="D74" s="16">
        <f t="shared" si="18"/>
        <v>-730803.55999999866</v>
      </c>
      <c r="E74" s="16">
        <f t="shared" si="18"/>
        <v>-438608.08000000007</v>
      </c>
      <c r="F74" s="16">
        <f t="shared" si="18"/>
        <v>-129950.08000000007</v>
      </c>
      <c r="G74" s="16">
        <f t="shared" si="18"/>
        <v>-23108.080000000075</v>
      </c>
      <c r="H74" s="16">
        <f t="shared" si="18"/>
        <v>15252.919999999925</v>
      </c>
      <c r="I74" s="16">
        <f t="shared" si="18"/>
        <v>-975424.08000000007</v>
      </c>
      <c r="J74" s="16">
        <f t="shared" si="18"/>
        <v>-654654.32990069315</v>
      </c>
      <c r="K74" s="16">
        <f t="shared" si="18"/>
        <v>-891971.00349773653</v>
      </c>
      <c r="L74" s="16">
        <f t="shared" si="18"/>
        <v>-762829.02516282722</v>
      </c>
      <c r="M74" s="16">
        <f t="shared" si="18"/>
        <v>-585200.6641989816</v>
      </c>
      <c r="N74" s="16"/>
      <c r="O74" s="6"/>
    </row>
    <row r="75" spans="1:15">
      <c r="B75" s="6"/>
      <c r="C75" s="6"/>
      <c r="E75" s="6"/>
      <c r="F75" s="6"/>
      <c r="H75" s="6"/>
      <c r="I75" s="6"/>
      <c r="J75" s="6"/>
      <c r="K75" s="6"/>
      <c r="L75" s="6"/>
      <c r="M75" s="6"/>
      <c r="N75" s="6"/>
    </row>
    <row r="76" spans="1:15">
      <c r="A76" s="1"/>
      <c r="B76" s="4"/>
      <c r="C76" s="8"/>
      <c r="D76" s="8"/>
      <c r="E76" s="8"/>
      <c r="F76" s="8"/>
      <c r="G76" s="96"/>
      <c r="H76" s="97"/>
      <c r="I76" s="5"/>
      <c r="J76" s="96"/>
      <c r="K76" s="96"/>
      <c r="L76" s="5"/>
    </row>
    <row r="77" spans="1:15">
      <c r="A77" s="1"/>
      <c r="B77" s="4"/>
      <c r="C77" s="8"/>
      <c r="D77" s="8"/>
      <c r="E77" s="8"/>
      <c r="F77" s="8"/>
      <c r="G77" s="96"/>
      <c r="H77" s="98"/>
      <c r="I77" s="99"/>
      <c r="J77" s="98"/>
      <c r="K77" s="5"/>
      <c r="L77" s="5"/>
    </row>
    <row r="78" spans="1:15">
      <c r="A78" s="1"/>
      <c r="B78" s="4"/>
      <c r="D78" s="8"/>
      <c r="E78" s="8"/>
      <c r="F78" s="8"/>
      <c r="H78" s="61"/>
      <c r="J78" s="6"/>
    </row>
    <row r="79" spans="1:15">
      <c r="E79" s="6"/>
      <c r="H79" s="20"/>
      <c r="J79" s="6"/>
      <c r="N79" s="25"/>
    </row>
    <row r="80" spans="1:15">
      <c r="A80" t="s">
        <v>69</v>
      </c>
      <c r="B80" t="s">
        <v>69</v>
      </c>
      <c r="C80" t="s">
        <v>69</v>
      </c>
      <c r="D80" s="6" t="s">
        <v>69</v>
      </c>
      <c r="E80" s="6" t="s">
        <v>69</v>
      </c>
      <c r="F80" t="s">
        <v>69</v>
      </c>
      <c r="G80" s="6" t="s">
        <v>69</v>
      </c>
      <c r="H80" t="s">
        <v>69</v>
      </c>
      <c r="I80" t="s">
        <v>69</v>
      </c>
      <c r="J80" s="6" t="s">
        <v>69</v>
      </c>
      <c r="K80" t="s">
        <v>69</v>
      </c>
      <c r="L80" t="s">
        <v>69</v>
      </c>
      <c r="M80" t="s">
        <v>69</v>
      </c>
      <c r="N80" t="s">
        <v>69</v>
      </c>
    </row>
    <row r="84" spans="6:6">
      <c r="F84" s="2"/>
    </row>
    <row r="85" spans="6:6">
      <c r="F85" s="2"/>
    </row>
  </sheetData>
  <pageMargins left="0.28000000000000003" right="0.25" top="0.99" bottom="0.75" header="0.63" footer="0.23"/>
  <pageSetup scale="60" orientation="landscape" r:id="rId1"/>
  <headerFooter alignWithMargins="0">
    <oddHeader xml:space="preserve">&amp;C&amp;"Arial,Bold"&amp;11 49ER SHOPS, INC.
&amp;UFY2019/2020 OPERATIONAL CASH FLOW </oddHeader>
    <oddFooter>&amp;CCash Flow - FY19/20
January, 2020</oddFooter>
  </headerFooter>
  <legacyDrawing r:id="rId2"/>
</worksheet>
</file>

<file path=xl/worksheets/sheet4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92D050"/>
    <pageSetUpPr fitToPage="1"/>
  </sheetPr>
  <dimension ref="A1:Z85"/>
  <sheetViews>
    <sheetView showGridLines="0" zoomScale="80" zoomScaleNormal="80" workbookViewId="0">
      <selection activeCell="B35" sqref="B35"/>
    </sheetView>
  </sheetViews>
  <sheetFormatPr defaultRowHeight="12.75"/>
  <cols>
    <col min="1" max="1" width="35.42578125" customWidth="1"/>
    <col min="2" max="2" width="14" customWidth="1"/>
    <col min="3" max="3" width="14.5703125" customWidth="1"/>
    <col min="4" max="4" width="14" customWidth="1"/>
    <col min="5" max="6" width="13.5703125" customWidth="1"/>
    <col min="7" max="7" width="16.5703125" style="6" customWidth="1"/>
    <col min="8" max="8" width="14.140625" customWidth="1"/>
    <col min="9" max="9" width="14.42578125" customWidth="1"/>
    <col min="10" max="10" width="13.85546875" customWidth="1"/>
    <col min="11" max="11" width="15.140625" customWidth="1"/>
    <col min="12" max="12" width="13.5703125" customWidth="1"/>
    <col min="13" max="13" width="14.42578125" customWidth="1"/>
    <col min="14" max="14" width="16.5703125" customWidth="1"/>
    <col min="15" max="15" width="12.42578125" bestFit="1" customWidth="1"/>
    <col min="16" max="16" width="14.140625" customWidth="1"/>
  </cols>
  <sheetData>
    <row r="1" spans="1:15" ht="13.5" thickBot="1">
      <c r="A1" s="46" t="s">
        <v>119</v>
      </c>
      <c r="E1" s="6"/>
      <c r="F1" s="6"/>
      <c r="J1" s="6"/>
      <c r="K1" s="6"/>
      <c r="N1" s="3"/>
    </row>
    <row r="2" spans="1:15">
      <c r="B2" s="45" t="s">
        <v>24</v>
      </c>
      <c r="C2" s="45" t="s">
        <v>24</v>
      </c>
      <c r="D2" s="45" t="s">
        <v>24</v>
      </c>
      <c r="E2" s="45" t="s">
        <v>24</v>
      </c>
      <c r="F2" s="45" t="s">
        <v>24</v>
      </c>
      <c r="G2" s="45" t="s">
        <v>24</v>
      </c>
      <c r="H2" s="45" t="s">
        <v>24</v>
      </c>
      <c r="I2" s="45" t="s">
        <v>24</v>
      </c>
      <c r="J2" s="45" t="s">
        <v>24</v>
      </c>
      <c r="K2" s="45" t="s">
        <v>76</v>
      </c>
      <c r="L2" s="45" t="s">
        <v>76</v>
      </c>
      <c r="M2" s="45" t="s">
        <v>76</v>
      </c>
      <c r="N2" s="28" t="s">
        <v>25</v>
      </c>
    </row>
    <row r="3" spans="1:15" s="5" customFormat="1">
      <c r="B3" s="11">
        <v>43283</v>
      </c>
      <c r="C3" s="11">
        <v>43314</v>
      </c>
      <c r="D3" s="11">
        <v>43345</v>
      </c>
      <c r="E3" s="11">
        <v>43375</v>
      </c>
      <c r="F3" s="11">
        <v>43406</v>
      </c>
      <c r="G3" s="11">
        <v>43436</v>
      </c>
      <c r="H3" s="11">
        <v>43467</v>
      </c>
      <c r="I3" s="11">
        <v>43498</v>
      </c>
      <c r="J3" s="11">
        <v>43526</v>
      </c>
      <c r="K3" s="11">
        <v>43557</v>
      </c>
      <c r="L3" s="11">
        <v>43587</v>
      </c>
      <c r="M3" s="11">
        <v>43618</v>
      </c>
      <c r="N3" s="57" t="s">
        <v>113</v>
      </c>
    </row>
    <row r="4" spans="1:15" hidden="1">
      <c r="A4" s="1" t="s">
        <v>27</v>
      </c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>
        <f>SUM(B4:M4)</f>
        <v>0</v>
      </c>
      <c r="O4" s="29"/>
    </row>
    <row r="5" spans="1:15" s="6" customFormat="1" hidden="1">
      <c r="A5" s="6" t="s">
        <v>28</v>
      </c>
      <c r="B5" s="53">
        <v>1664716</v>
      </c>
      <c r="C5" s="53">
        <v>4334056</v>
      </c>
      <c r="D5" s="53">
        <v>4037246</v>
      </c>
      <c r="E5" s="53">
        <v>3697436</v>
      </c>
      <c r="F5" s="53">
        <v>2202637</v>
      </c>
      <c r="G5" s="53">
        <v>2399169</v>
      </c>
      <c r="H5" s="53">
        <v>4093574</v>
      </c>
      <c r="I5" s="53">
        <v>3274668</v>
      </c>
      <c r="J5" s="53">
        <v>3199134</v>
      </c>
      <c r="K5" s="53">
        <v>3507287</v>
      </c>
      <c r="L5" s="53">
        <v>2668320</v>
      </c>
      <c r="M5" s="53">
        <v>1617618</v>
      </c>
      <c r="N5" s="12">
        <f>SUM(B5:M5)</f>
        <v>36695861</v>
      </c>
      <c r="O5" s="29"/>
    </row>
    <row r="6" spans="1:15" s="6" customFormat="1" hidden="1">
      <c r="A6" s="6" t="s">
        <v>29</v>
      </c>
      <c r="B6" s="53">
        <v>98799</v>
      </c>
      <c r="C6" s="53">
        <v>92990</v>
      </c>
      <c r="D6" s="53">
        <v>321611</v>
      </c>
      <c r="E6" s="53">
        <v>154261</v>
      </c>
      <c r="F6" s="53">
        <v>145205</v>
      </c>
      <c r="G6" s="53">
        <v>58506</v>
      </c>
      <c r="H6" s="53">
        <v>100712</v>
      </c>
      <c r="I6" s="53">
        <v>72668</v>
      </c>
      <c r="J6" s="53">
        <v>106938</v>
      </c>
      <c r="K6" s="53">
        <v>117110</v>
      </c>
      <c r="L6" s="53">
        <v>111576</v>
      </c>
      <c r="M6" s="53">
        <v>95131</v>
      </c>
      <c r="N6" s="7">
        <f>SUM(B6:M6)</f>
        <v>1475507</v>
      </c>
      <c r="O6" s="29"/>
    </row>
    <row r="7" spans="1:15" s="6" customFormat="1" hidden="1">
      <c r="B7" s="7"/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7">
        <f>SUM(B7:M7)</f>
        <v>0</v>
      </c>
      <c r="O7" s="29"/>
    </row>
    <row r="8" spans="1:15" s="6" customFormat="1" hidden="1">
      <c r="B8" s="15"/>
      <c r="C8" s="15"/>
      <c r="D8" s="15"/>
      <c r="E8" s="15"/>
      <c r="F8" s="15"/>
      <c r="G8" s="15"/>
      <c r="H8" s="15"/>
      <c r="I8" s="15"/>
      <c r="J8" s="15"/>
      <c r="K8" s="15"/>
      <c r="L8" s="15"/>
      <c r="M8" s="15"/>
      <c r="N8" s="15">
        <f>SUM(B8:M8)</f>
        <v>0</v>
      </c>
      <c r="O8" s="29"/>
    </row>
    <row r="9" spans="1:15" s="6" customFormat="1">
      <c r="A9" s="13" t="s">
        <v>30</v>
      </c>
      <c r="B9" s="12">
        <f t="shared" ref="B9:N9" si="0">SUM(B5:B8)</f>
        <v>1763515</v>
      </c>
      <c r="C9" s="12">
        <f t="shared" si="0"/>
        <v>4427046</v>
      </c>
      <c r="D9" s="12">
        <f t="shared" si="0"/>
        <v>4358857</v>
      </c>
      <c r="E9" s="12">
        <f t="shared" si="0"/>
        <v>3851697</v>
      </c>
      <c r="F9" s="12">
        <f t="shared" si="0"/>
        <v>2347842</v>
      </c>
      <c r="G9" s="12">
        <f t="shared" si="0"/>
        <v>2457675</v>
      </c>
      <c r="H9" s="12">
        <f t="shared" si="0"/>
        <v>4194286</v>
      </c>
      <c r="I9" s="12">
        <f t="shared" si="0"/>
        <v>3347336</v>
      </c>
      <c r="J9" s="12">
        <f t="shared" si="0"/>
        <v>3306072</v>
      </c>
      <c r="K9" s="12">
        <f t="shared" si="0"/>
        <v>3624397</v>
      </c>
      <c r="L9" s="12">
        <f t="shared" si="0"/>
        <v>2779896</v>
      </c>
      <c r="M9" s="12">
        <f t="shared" si="0"/>
        <v>1712749</v>
      </c>
      <c r="N9" s="12">
        <f t="shared" si="0"/>
        <v>38171368</v>
      </c>
      <c r="O9" s="29"/>
    </row>
    <row r="10" spans="1:15" s="6" customFormat="1" ht="6.75" customHeight="1"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29"/>
    </row>
    <row r="11" spans="1:15" s="6" customFormat="1">
      <c r="A11" s="13" t="s">
        <v>31</v>
      </c>
      <c r="B11" s="7">
        <v>910</v>
      </c>
      <c r="C11" s="7">
        <v>38</v>
      </c>
      <c r="D11" s="7">
        <v>885</v>
      </c>
      <c r="E11" s="7">
        <v>0</v>
      </c>
      <c r="F11" s="7">
        <v>0</v>
      </c>
      <c r="G11" s="7">
        <v>20473</v>
      </c>
      <c r="H11" s="7">
        <v>4352</v>
      </c>
      <c r="I11" s="7">
        <v>10</v>
      </c>
      <c r="J11" s="42">
        <v>0</v>
      </c>
      <c r="K11" s="7">
        <v>0</v>
      </c>
      <c r="L11" s="7">
        <v>0</v>
      </c>
      <c r="M11" s="7">
        <v>0</v>
      </c>
      <c r="N11" s="7">
        <f>SUM(B11:M11)</f>
        <v>26668</v>
      </c>
      <c r="O11" s="29"/>
    </row>
    <row r="12" spans="1:15" s="6" customFormat="1" ht="7.5" customHeight="1">
      <c r="B12" s="7"/>
      <c r="C12" s="7"/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  <c r="O12" s="29"/>
    </row>
    <row r="13" spans="1:15" s="6" customFormat="1" ht="13.5" thickBot="1">
      <c r="A13" s="13" t="s">
        <v>32</v>
      </c>
      <c r="B13" s="14">
        <f t="shared" ref="B13:N13" si="1">B9+B11</f>
        <v>1764425</v>
      </c>
      <c r="C13" s="14">
        <f>C9+C11</f>
        <v>4427084</v>
      </c>
      <c r="D13" s="14">
        <f t="shared" si="1"/>
        <v>4359742</v>
      </c>
      <c r="E13" s="14">
        <f t="shared" si="1"/>
        <v>3851697</v>
      </c>
      <c r="F13" s="14">
        <f t="shared" si="1"/>
        <v>2347842</v>
      </c>
      <c r="G13" s="14">
        <f t="shared" si="1"/>
        <v>2478148</v>
      </c>
      <c r="H13" s="14">
        <f t="shared" si="1"/>
        <v>4198638</v>
      </c>
      <c r="I13" s="14">
        <f t="shared" si="1"/>
        <v>3347346</v>
      </c>
      <c r="J13" s="14">
        <f t="shared" si="1"/>
        <v>3306072</v>
      </c>
      <c r="K13" s="14">
        <f t="shared" si="1"/>
        <v>3624397</v>
      </c>
      <c r="L13" s="14">
        <f t="shared" si="1"/>
        <v>2779896</v>
      </c>
      <c r="M13" s="14">
        <f t="shared" si="1"/>
        <v>1712749</v>
      </c>
      <c r="N13" s="14">
        <f t="shared" si="1"/>
        <v>38198036</v>
      </c>
      <c r="O13" s="29"/>
    </row>
    <row r="14" spans="1:15" s="6" customFormat="1" ht="13.5" thickTop="1">
      <c r="B14" s="7"/>
      <c r="C14" s="7"/>
      <c r="D14" s="7"/>
      <c r="E14" s="7"/>
      <c r="F14" s="7"/>
      <c r="G14" s="7"/>
      <c r="H14" s="7"/>
      <c r="I14" s="7"/>
      <c r="J14" s="7"/>
      <c r="K14" s="7"/>
      <c r="L14" s="7"/>
      <c r="M14" s="7"/>
    </row>
    <row r="15" spans="1:15" s="6" customFormat="1">
      <c r="A15" s="13" t="s">
        <v>33</v>
      </c>
      <c r="B15" s="7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</row>
    <row r="16" spans="1:15" s="6" customFormat="1">
      <c r="A16" s="6" t="s">
        <v>34</v>
      </c>
      <c r="B16" s="53">
        <v>808507</v>
      </c>
      <c r="C16" s="53">
        <v>2662695</v>
      </c>
      <c r="D16" s="53">
        <v>1620992</v>
      </c>
      <c r="E16" s="53">
        <v>1274587</v>
      </c>
      <c r="F16" s="53">
        <v>814523</v>
      </c>
      <c r="G16" s="53">
        <v>866327</v>
      </c>
      <c r="H16" s="53">
        <v>2296042</v>
      </c>
      <c r="I16" s="53">
        <v>1205375</v>
      </c>
      <c r="J16" s="53">
        <v>1116694</v>
      </c>
      <c r="K16" s="53">
        <v>1332035</v>
      </c>
      <c r="L16" s="53">
        <v>1066893</v>
      </c>
      <c r="M16" s="53">
        <v>774058</v>
      </c>
      <c r="N16" s="7">
        <f>SUM(B16:M16)</f>
        <v>15838728</v>
      </c>
      <c r="O16" s="29"/>
    </row>
    <row r="17" spans="1:15" s="6" customFormat="1">
      <c r="B17" s="27"/>
      <c r="C17" s="27"/>
      <c r="D17" s="27"/>
      <c r="E17" s="27"/>
      <c r="F17" s="27"/>
      <c r="G17" s="27"/>
      <c r="H17" s="27"/>
      <c r="I17" s="27"/>
      <c r="J17" s="27"/>
      <c r="K17" s="27"/>
      <c r="L17" s="27"/>
      <c r="M17" s="27"/>
      <c r="N17" s="7">
        <f>SUM(B17:M17)</f>
        <v>0</v>
      </c>
    </row>
    <row r="18" spans="1:15" s="6" customFormat="1">
      <c r="B18" s="7"/>
      <c r="C18" s="7"/>
      <c r="D18" s="7"/>
      <c r="E18" s="7"/>
      <c r="F18" s="7"/>
      <c r="G18" s="7"/>
      <c r="H18" s="7"/>
      <c r="I18" s="7"/>
      <c r="J18" s="7"/>
      <c r="K18" s="7"/>
      <c r="L18" s="7"/>
      <c r="M18" s="7"/>
      <c r="N18" s="7">
        <v>0</v>
      </c>
    </row>
    <row r="19" spans="1:15" s="6" customFormat="1">
      <c r="B19" s="15"/>
      <c r="C19" s="15"/>
      <c r="D19" s="15"/>
      <c r="E19" s="15"/>
      <c r="F19" s="15"/>
      <c r="G19" s="15"/>
      <c r="H19" s="15"/>
      <c r="I19" s="15"/>
      <c r="J19" s="15"/>
      <c r="K19" s="15"/>
      <c r="L19" s="15"/>
      <c r="M19" s="15"/>
      <c r="N19" s="15">
        <f>SUM(B19:M19)</f>
        <v>0</v>
      </c>
    </row>
    <row r="20" spans="1:15" s="6" customFormat="1">
      <c r="A20" s="13" t="s">
        <v>35</v>
      </c>
      <c r="B20" s="12">
        <f t="shared" ref="B20:N20" si="2">SUM(B16:B19)</f>
        <v>808507</v>
      </c>
      <c r="C20" s="12">
        <f t="shared" si="2"/>
        <v>2662695</v>
      </c>
      <c r="D20" s="12">
        <f t="shared" si="2"/>
        <v>1620992</v>
      </c>
      <c r="E20" s="12">
        <f t="shared" si="2"/>
        <v>1274587</v>
      </c>
      <c r="F20" s="12">
        <f t="shared" si="2"/>
        <v>814523</v>
      </c>
      <c r="G20" s="12">
        <f t="shared" si="2"/>
        <v>866327</v>
      </c>
      <c r="H20" s="12">
        <f t="shared" si="2"/>
        <v>2296042</v>
      </c>
      <c r="I20" s="12">
        <f t="shared" si="2"/>
        <v>1205375</v>
      </c>
      <c r="J20" s="12">
        <f t="shared" si="2"/>
        <v>1116694</v>
      </c>
      <c r="K20" s="12">
        <f t="shared" si="2"/>
        <v>1332035</v>
      </c>
      <c r="L20" s="12">
        <f t="shared" si="2"/>
        <v>1066893</v>
      </c>
      <c r="M20" s="12">
        <f t="shared" si="2"/>
        <v>774058</v>
      </c>
      <c r="N20" s="12">
        <f t="shared" si="2"/>
        <v>15838728</v>
      </c>
      <c r="O20" s="29"/>
    </row>
    <row r="21" spans="1:15" s="6" customFormat="1">
      <c r="B21" s="7"/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</row>
    <row r="22" spans="1:15" s="6" customFormat="1">
      <c r="A22" s="13" t="s">
        <v>36</v>
      </c>
      <c r="B22" s="7"/>
      <c r="C22" s="7"/>
      <c r="D22" s="7"/>
      <c r="E22" s="7"/>
      <c r="F22" s="7"/>
      <c r="G22" s="7"/>
      <c r="H22" s="7"/>
      <c r="I22" s="7"/>
      <c r="J22" s="7"/>
      <c r="K22" s="7"/>
      <c r="L22" s="7"/>
      <c r="M22" s="7"/>
    </row>
    <row r="23" spans="1:15" s="6" customFormat="1">
      <c r="A23" s="6" t="s">
        <v>37</v>
      </c>
      <c r="B23" s="7">
        <f t="shared" ref="B23:M26" si="3">+B5-B16</f>
        <v>856209</v>
      </c>
      <c r="C23" s="7">
        <f t="shared" si="3"/>
        <v>1671361</v>
      </c>
      <c r="D23" s="7">
        <f t="shared" si="3"/>
        <v>2416254</v>
      </c>
      <c r="E23" s="7">
        <f t="shared" si="3"/>
        <v>2422849</v>
      </c>
      <c r="F23" s="7">
        <f t="shared" si="3"/>
        <v>1388114</v>
      </c>
      <c r="G23" s="7">
        <f t="shared" si="3"/>
        <v>1532842</v>
      </c>
      <c r="H23" s="7">
        <f t="shared" si="3"/>
        <v>1797532</v>
      </c>
      <c r="I23" s="7">
        <f t="shared" si="3"/>
        <v>2069293</v>
      </c>
      <c r="J23" s="7">
        <f t="shared" si="3"/>
        <v>2082440</v>
      </c>
      <c r="K23" s="7">
        <f t="shared" si="3"/>
        <v>2175252</v>
      </c>
      <c r="L23" s="7">
        <f t="shared" si="3"/>
        <v>1601427</v>
      </c>
      <c r="M23" s="7">
        <f t="shared" si="3"/>
        <v>843560</v>
      </c>
      <c r="N23" s="7">
        <f>SUM(B23:M23)</f>
        <v>20857133</v>
      </c>
      <c r="O23" s="29"/>
    </row>
    <row r="24" spans="1:15" s="6" customFormat="1">
      <c r="A24" s="6" t="s">
        <v>37</v>
      </c>
      <c r="B24" s="7">
        <f t="shared" si="3"/>
        <v>98799</v>
      </c>
      <c r="C24" s="7">
        <f t="shared" si="3"/>
        <v>92990</v>
      </c>
      <c r="D24" s="7">
        <f t="shared" si="3"/>
        <v>321611</v>
      </c>
      <c r="E24" s="7">
        <f t="shared" si="3"/>
        <v>154261</v>
      </c>
      <c r="F24" s="7">
        <f t="shared" si="3"/>
        <v>145205</v>
      </c>
      <c r="G24" s="7">
        <f t="shared" si="3"/>
        <v>58506</v>
      </c>
      <c r="H24" s="7">
        <f t="shared" si="3"/>
        <v>100712</v>
      </c>
      <c r="I24" s="7">
        <f t="shared" si="3"/>
        <v>72668</v>
      </c>
      <c r="J24" s="7">
        <f t="shared" si="3"/>
        <v>106938</v>
      </c>
      <c r="K24" s="7">
        <f t="shared" si="3"/>
        <v>117110</v>
      </c>
      <c r="L24" s="7">
        <f t="shared" si="3"/>
        <v>111576</v>
      </c>
      <c r="M24" s="7">
        <f t="shared" si="3"/>
        <v>95131</v>
      </c>
      <c r="N24" s="7">
        <f>SUM(B24:M24)</f>
        <v>1475507</v>
      </c>
      <c r="O24" s="29"/>
    </row>
    <row r="25" spans="1:15" s="6" customFormat="1">
      <c r="A25" s="6" t="s">
        <v>38</v>
      </c>
      <c r="B25" s="7">
        <f t="shared" si="3"/>
        <v>0</v>
      </c>
      <c r="C25" s="7">
        <f t="shared" si="3"/>
        <v>0</v>
      </c>
      <c r="D25" s="7">
        <f t="shared" si="3"/>
        <v>0</v>
      </c>
      <c r="E25" s="7">
        <f t="shared" si="3"/>
        <v>0</v>
      </c>
      <c r="F25" s="7">
        <f t="shared" si="3"/>
        <v>0</v>
      </c>
      <c r="G25" s="7">
        <f t="shared" si="3"/>
        <v>0</v>
      </c>
      <c r="H25" s="7">
        <f t="shared" si="3"/>
        <v>0</v>
      </c>
      <c r="I25" s="7">
        <f t="shared" si="3"/>
        <v>0</v>
      </c>
      <c r="J25" s="7">
        <f t="shared" si="3"/>
        <v>0</v>
      </c>
      <c r="K25" s="7">
        <f t="shared" si="3"/>
        <v>0</v>
      </c>
      <c r="L25" s="7">
        <f t="shared" si="3"/>
        <v>0</v>
      </c>
      <c r="M25" s="7">
        <f t="shared" si="3"/>
        <v>0</v>
      </c>
      <c r="N25" s="7">
        <f>SUM(B25:M25)</f>
        <v>0</v>
      </c>
      <c r="O25" s="29"/>
    </row>
    <row r="26" spans="1:15" s="6" customFormat="1">
      <c r="A26" s="6" t="s">
        <v>38</v>
      </c>
      <c r="B26" s="15">
        <f t="shared" si="3"/>
        <v>0</v>
      </c>
      <c r="C26" s="15">
        <f t="shared" si="3"/>
        <v>0</v>
      </c>
      <c r="D26" s="15">
        <f t="shared" si="3"/>
        <v>0</v>
      </c>
      <c r="E26" s="15">
        <f t="shared" si="3"/>
        <v>0</v>
      </c>
      <c r="F26" s="15">
        <f t="shared" si="3"/>
        <v>0</v>
      </c>
      <c r="G26" s="15">
        <f t="shared" si="3"/>
        <v>0</v>
      </c>
      <c r="H26" s="15">
        <f t="shared" si="3"/>
        <v>0</v>
      </c>
      <c r="I26" s="15">
        <f t="shared" si="3"/>
        <v>0</v>
      </c>
      <c r="J26" s="15">
        <f t="shared" si="3"/>
        <v>0</v>
      </c>
      <c r="K26" s="15">
        <f t="shared" si="3"/>
        <v>0</v>
      </c>
      <c r="L26" s="15">
        <f t="shared" si="3"/>
        <v>0</v>
      </c>
      <c r="M26" s="15">
        <f t="shared" si="3"/>
        <v>0</v>
      </c>
      <c r="N26" s="15">
        <f>SUM(B26:M26)</f>
        <v>0</v>
      </c>
      <c r="O26" s="29"/>
    </row>
    <row r="27" spans="1:15" s="6" customFormat="1">
      <c r="A27" s="13" t="s">
        <v>39</v>
      </c>
      <c r="B27" s="12">
        <f t="shared" ref="B27:N27" si="4">SUM(B23:B26)</f>
        <v>955008</v>
      </c>
      <c r="C27" s="12">
        <f t="shared" si="4"/>
        <v>1764351</v>
      </c>
      <c r="D27" s="12">
        <f t="shared" si="4"/>
        <v>2737865</v>
      </c>
      <c r="E27" s="12">
        <f t="shared" si="4"/>
        <v>2577110</v>
      </c>
      <c r="F27" s="12">
        <f t="shared" si="4"/>
        <v>1533319</v>
      </c>
      <c r="G27" s="12">
        <f t="shared" si="4"/>
        <v>1591348</v>
      </c>
      <c r="H27" s="12">
        <f t="shared" si="4"/>
        <v>1898244</v>
      </c>
      <c r="I27" s="12">
        <f t="shared" si="4"/>
        <v>2141961</v>
      </c>
      <c r="J27" s="12">
        <f t="shared" si="4"/>
        <v>2189378</v>
      </c>
      <c r="K27" s="12">
        <f t="shared" si="4"/>
        <v>2292362</v>
      </c>
      <c r="L27" s="12">
        <f t="shared" si="4"/>
        <v>1713003</v>
      </c>
      <c r="M27" s="12">
        <f>SUM(M23:M26)</f>
        <v>938691</v>
      </c>
      <c r="N27" s="12">
        <f t="shared" si="4"/>
        <v>22332640</v>
      </c>
      <c r="O27" s="29"/>
    </row>
    <row r="28" spans="1:15" s="6" customFormat="1" ht="14.45" customHeight="1">
      <c r="B28" s="73">
        <f>+B27/B9</f>
        <v>0.54153664698060411</v>
      </c>
      <c r="C28" s="73">
        <f t="shared" ref="C28:N28" si="5">+C27/C9</f>
        <v>0.39853911615104065</v>
      </c>
      <c r="D28" s="73">
        <f t="shared" si="5"/>
        <v>0.62811535225863113</v>
      </c>
      <c r="E28" s="73">
        <f t="shared" si="5"/>
        <v>0.66908430232180771</v>
      </c>
      <c r="F28" s="73">
        <f t="shared" si="5"/>
        <v>0.65307588841157116</v>
      </c>
      <c r="G28" s="73">
        <f t="shared" si="5"/>
        <v>0.6475013986796464</v>
      </c>
      <c r="H28" s="73">
        <f t="shared" si="5"/>
        <v>0.45257857952461994</v>
      </c>
      <c r="I28" s="73">
        <f t="shared" si="5"/>
        <v>0.63990020720955409</v>
      </c>
      <c r="J28" s="73">
        <f t="shared" si="5"/>
        <v>0.66222937673468696</v>
      </c>
      <c r="K28" s="73">
        <f t="shared" si="5"/>
        <v>0.6324809340698605</v>
      </c>
      <c r="L28" s="73">
        <f t="shared" si="5"/>
        <v>0.61621118200105329</v>
      </c>
      <c r="M28" s="73">
        <f t="shared" si="5"/>
        <v>0.54806104105154929</v>
      </c>
      <c r="N28" s="73">
        <f t="shared" si="5"/>
        <v>0.58506260503946306</v>
      </c>
    </row>
    <row r="29" spans="1:15" s="6" customFormat="1">
      <c r="A29" s="13" t="s">
        <v>40</v>
      </c>
      <c r="B29" s="7"/>
      <c r="C29" s="7"/>
      <c r="D29" s="7"/>
      <c r="E29" s="7"/>
      <c r="F29" s="7"/>
      <c r="G29" s="7"/>
      <c r="H29" s="7"/>
      <c r="I29" s="7"/>
      <c r="J29" s="7"/>
      <c r="K29" s="7"/>
      <c r="L29" s="7"/>
      <c r="M29" s="7"/>
    </row>
    <row r="30" spans="1:15" s="6" customFormat="1">
      <c r="A30" s="6" t="s">
        <v>93</v>
      </c>
      <c r="B30" s="53">
        <v>550190</v>
      </c>
      <c r="C30" s="53">
        <v>644844</v>
      </c>
      <c r="D30" s="53">
        <v>702597</v>
      </c>
      <c r="E30" s="53">
        <v>894957</v>
      </c>
      <c r="F30" s="53">
        <v>586761</v>
      </c>
      <c r="G30" s="53">
        <v>580848</v>
      </c>
      <c r="H30" s="53">
        <v>737164</v>
      </c>
      <c r="I30" s="53">
        <v>782261</v>
      </c>
      <c r="J30" s="53">
        <v>740529</v>
      </c>
      <c r="K30" s="53">
        <v>823718</v>
      </c>
      <c r="L30" s="53">
        <v>672632</v>
      </c>
      <c r="M30" s="53">
        <v>481272</v>
      </c>
      <c r="N30" s="7">
        <f>SUM(B30:M30)</f>
        <v>8197773</v>
      </c>
      <c r="O30" s="29"/>
    </row>
    <row r="31" spans="1:15" s="6" customFormat="1">
      <c r="A31" s="6" t="s">
        <v>42</v>
      </c>
      <c r="B31" s="53">
        <v>192847</v>
      </c>
      <c r="C31" s="53">
        <v>222888</v>
      </c>
      <c r="D31" s="53">
        <v>200354</v>
      </c>
      <c r="E31" s="53">
        <v>299177</v>
      </c>
      <c r="F31" s="53">
        <v>208586</v>
      </c>
      <c r="G31" s="53">
        <v>216521</v>
      </c>
      <c r="H31" s="53">
        <v>230074</v>
      </c>
      <c r="I31" s="53">
        <v>214469</v>
      </c>
      <c r="J31" s="53">
        <v>220622</v>
      </c>
      <c r="K31" s="53">
        <v>249552</v>
      </c>
      <c r="L31" s="53">
        <v>214590</v>
      </c>
      <c r="M31" s="53">
        <v>210384</v>
      </c>
      <c r="N31" s="7">
        <f>SUM(B31:M31)</f>
        <v>2680064</v>
      </c>
      <c r="O31" s="29"/>
    </row>
    <row r="32" spans="1:15" s="6" customFormat="1" ht="15">
      <c r="A32" s="6" t="s">
        <v>38</v>
      </c>
      <c r="B32" s="68"/>
      <c r="C32" s="68"/>
      <c r="D32" s="68"/>
      <c r="E32" s="68"/>
      <c r="F32" s="68"/>
      <c r="G32" s="68"/>
      <c r="H32" s="68"/>
      <c r="I32" s="68"/>
      <c r="J32" s="68"/>
      <c r="K32" s="68"/>
      <c r="L32" s="68"/>
      <c r="M32" s="68"/>
      <c r="N32" s="7">
        <f>SUM(B32:M32)</f>
        <v>0</v>
      </c>
      <c r="O32" s="29"/>
    </row>
    <row r="33" spans="1:16" s="6" customFormat="1">
      <c r="B33" s="15"/>
      <c r="C33" s="15"/>
      <c r="D33" s="15"/>
      <c r="E33" s="15"/>
      <c r="F33" s="15"/>
      <c r="G33" s="15"/>
      <c r="H33" s="15"/>
      <c r="I33" s="15"/>
      <c r="J33" s="15"/>
      <c r="K33" s="15"/>
      <c r="L33" s="15"/>
      <c r="M33" s="15"/>
      <c r="N33" s="15">
        <f>SUM(B33:M33)</f>
        <v>0</v>
      </c>
      <c r="O33" s="29"/>
    </row>
    <row r="34" spans="1:16" s="6" customFormat="1">
      <c r="A34" s="13" t="s">
        <v>43</v>
      </c>
      <c r="B34" s="12">
        <f t="shared" ref="B34:N34" si="6">SUM(B30:B33)</f>
        <v>743037</v>
      </c>
      <c r="C34" s="12">
        <f t="shared" si="6"/>
        <v>867732</v>
      </c>
      <c r="D34" s="12">
        <f t="shared" si="6"/>
        <v>902951</v>
      </c>
      <c r="E34" s="12">
        <f t="shared" si="6"/>
        <v>1194134</v>
      </c>
      <c r="F34" s="12">
        <f t="shared" si="6"/>
        <v>795347</v>
      </c>
      <c r="G34" s="12">
        <f t="shared" si="6"/>
        <v>797369</v>
      </c>
      <c r="H34" s="12">
        <f t="shared" si="6"/>
        <v>967238</v>
      </c>
      <c r="I34" s="12">
        <f t="shared" si="6"/>
        <v>996730</v>
      </c>
      <c r="J34" s="12">
        <f t="shared" si="6"/>
        <v>961151</v>
      </c>
      <c r="K34" s="12">
        <f t="shared" si="6"/>
        <v>1073270</v>
      </c>
      <c r="L34" s="12">
        <f t="shared" si="6"/>
        <v>887222</v>
      </c>
      <c r="M34" s="12">
        <f t="shared" si="6"/>
        <v>691656</v>
      </c>
      <c r="N34" s="12">
        <f t="shared" si="6"/>
        <v>10877837</v>
      </c>
      <c r="O34" s="29"/>
    </row>
    <row r="35" spans="1:16" s="6" customFormat="1">
      <c r="B35" s="7"/>
      <c r="C35" s="7"/>
      <c r="D35" s="7"/>
      <c r="E35" s="7"/>
      <c r="F35" s="7"/>
      <c r="G35" s="7"/>
      <c r="H35" s="7"/>
      <c r="I35" s="7"/>
      <c r="J35" s="7"/>
      <c r="K35" s="7"/>
      <c r="L35" s="7"/>
      <c r="M35" s="7"/>
    </row>
    <row r="36" spans="1:16" s="6" customFormat="1">
      <c r="A36" s="13" t="s">
        <v>44</v>
      </c>
      <c r="B36" s="7"/>
      <c r="C36" s="7"/>
      <c r="D36" s="7"/>
      <c r="E36" s="7"/>
      <c r="F36" s="7"/>
      <c r="G36" s="7"/>
      <c r="H36" s="7"/>
      <c r="I36" s="7"/>
      <c r="J36" s="7"/>
      <c r="K36" s="7"/>
      <c r="L36" s="7"/>
      <c r="M36" s="7"/>
    </row>
    <row r="37" spans="1:16" s="6" customFormat="1">
      <c r="A37" s="6" t="s">
        <v>45</v>
      </c>
      <c r="B37" s="53">
        <v>1292386</v>
      </c>
      <c r="C37" s="53">
        <v>1363232</v>
      </c>
      <c r="D37" s="53">
        <v>1482893</v>
      </c>
      <c r="E37" s="53">
        <v>1759651</v>
      </c>
      <c r="F37" s="53">
        <v>1355166</v>
      </c>
      <c r="G37" s="66">
        <v>1331199</v>
      </c>
      <c r="H37" s="66">
        <v>1469965</v>
      </c>
      <c r="I37" s="66">
        <v>1591079</v>
      </c>
      <c r="J37" s="66">
        <v>1545361</v>
      </c>
      <c r="K37" s="53">
        <v>1699036</v>
      </c>
      <c r="L37" s="53">
        <v>1429774</v>
      </c>
      <c r="M37" s="53">
        <v>1131406</v>
      </c>
      <c r="N37" s="7">
        <f>SUM(B37:M37)</f>
        <v>17451148</v>
      </c>
      <c r="O37" s="29"/>
    </row>
    <row r="38" spans="1:16" s="6" customFormat="1">
      <c r="A38" s="6" t="s">
        <v>46</v>
      </c>
      <c r="B38" s="7">
        <f>-B34</f>
        <v>-743037</v>
      </c>
      <c r="C38" s="7">
        <f t="shared" ref="C38:M38" si="7">-C34</f>
        <v>-867732</v>
      </c>
      <c r="D38" s="7">
        <f t="shared" si="7"/>
        <v>-902951</v>
      </c>
      <c r="E38" s="7">
        <f t="shared" si="7"/>
        <v>-1194134</v>
      </c>
      <c r="F38" s="7">
        <f t="shared" si="7"/>
        <v>-795347</v>
      </c>
      <c r="G38" s="7">
        <f t="shared" si="7"/>
        <v>-797369</v>
      </c>
      <c r="H38" s="7">
        <f t="shared" si="7"/>
        <v>-967238</v>
      </c>
      <c r="I38" s="7">
        <f t="shared" si="7"/>
        <v>-996730</v>
      </c>
      <c r="J38" s="7">
        <f t="shared" si="7"/>
        <v>-961151</v>
      </c>
      <c r="K38" s="7">
        <f t="shared" si="7"/>
        <v>-1073270</v>
      </c>
      <c r="L38" s="7">
        <f t="shared" si="7"/>
        <v>-887222</v>
      </c>
      <c r="M38" s="7">
        <f t="shared" si="7"/>
        <v>-691656</v>
      </c>
      <c r="N38" s="7">
        <f>SUM(B38:M38)</f>
        <v>-10877837</v>
      </c>
      <c r="O38" s="29"/>
    </row>
    <row r="39" spans="1:16" s="6" customFormat="1">
      <c r="A39" s="6" t="s">
        <v>47</v>
      </c>
      <c r="B39" s="72">
        <v>-79744</v>
      </c>
      <c r="C39" s="72">
        <v>-79744</v>
      </c>
      <c r="D39" s="72">
        <v>79744</v>
      </c>
      <c r="E39" s="72">
        <v>-73419</v>
      </c>
      <c r="F39" s="72">
        <v>73419</v>
      </c>
      <c r="G39" s="72">
        <v>-73419</v>
      </c>
      <c r="H39" s="72">
        <v>-73419</v>
      </c>
      <c r="I39" s="72">
        <v>-77993</v>
      </c>
      <c r="J39" s="72">
        <v>-81832</v>
      </c>
      <c r="K39" s="72">
        <v>-82780</v>
      </c>
      <c r="L39" s="72">
        <v>-82780</v>
      </c>
      <c r="M39" s="72">
        <v>-81945</v>
      </c>
      <c r="N39" s="7">
        <f>SUM(B39:M39)</f>
        <v>-633912</v>
      </c>
      <c r="O39" s="29"/>
    </row>
    <row r="40" spans="1:16" s="6" customFormat="1">
      <c r="A40" s="6" t="s">
        <v>78</v>
      </c>
      <c r="B40" s="53"/>
      <c r="C40" s="53"/>
      <c r="D40" s="53"/>
      <c r="E40" s="53"/>
      <c r="F40" s="53"/>
      <c r="G40" s="53"/>
      <c r="H40" s="53"/>
      <c r="I40" s="53"/>
      <c r="J40" s="53"/>
      <c r="K40" s="53"/>
      <c r="L40" s="53"/>
      <c r="M40" s="53"/>
      <c r="N40" s="7">
        <f>SUM(B40:M40)</f>
        <v>0</v>
      </c>
      <c r="O40" s="29"/>
    </row>
    <row r="41" spans="1:16" s="6" customFormat="1">
      <c r="A41" s="6" t="s">
        <v>48</v>
      </c>
      <c r="B41" s="60">
        <v>-10000</v>
      </c>
      <c r="C41" s="60">
        <v>-10000</v>
      </c>
      <c r="D41" s="60">
        <v>-10000</v>
      </c>
      <c r="E41" s="60">
        <v>-10000</v>
      </c>
      <c r="F41" s="60">
        <v>-10000</v>
      </c>
      <c r="G41" s="60">
        <v>-10000</v>
      </c>
      <c r="H41" s="60">
        <v>-10000</v>
      </c>
      <c r="I41" s="60">
        <v>-10000</v>
      </c>
      <c r="J41" s="60">
        <v>-10300</v>
      </c>
      <c r="K41" s="60">
        <v>-10300</v>
      </c>
      <c r="L41" s="60">
        <v>-10300</v>
      </c>
      <c r="M41" s="60">
        <v>-10000</v>
      </c>
      <c r="N41" s="15">
        <f>SUM(B41:M41)</f>
        <v>-120900</v>
      </c>
      <c r="O41" s="29"/>
    </row>
    <row r="42" spans="1:16" s="6" customFormat="1">
      <c r="A42" s="13" t="s">
        <v>49</v>
      </c>
      <c r="B42" s="12">
        <f t="shared" ref="B42:N42" si="8">SUM(B37:B41)</f>
        <v>459605</v>
      </c>
      <c r="C42" s="12">
        <f t="shared" si="8"/>
        <v>405756</v>
      </c>
      <c r="D42" s="12">
        <f t="shared" si="8"/>
        <v>649686</v>
      </c>
      <c r="E42" s="12">
        <f t="shared" si="8"/>
        <v>482098</v>
      </c>
      <c r="F42" s="12">
        <f t="shared" si="8"/>
        <v>623238</v>
      </c>
      <c r="G42" s="12">
        <f t="shared" si="8"/>
        <v>450411</v>
      </c>
      <c r="H42" s="12">
        <f t="shared" si="8"/>
        <v>419308</v>
      </c>
      <c r="I42" s="12">
        <f t="shared" si="8"/>
        <v>506356</v>
      </c>
      <c r="J42" s="12">
        <f t="shared" si="8"/>
        <v>492078</v>
      </c>
      <c r="K42" s="12">
        <f t="shared" si="8"/>
        <v>532686</v>
      </c>
      <c r="L42" s="12">
        <f t="shared" si="8"/>
        <v>449472</v>
      </c>
      <c r="M42" s="12">
        <f t="shared" si="8"/>
        <v>347805</v>
      </c>
      <c r="N42" s="12">
        <f t="shared" si="8"/>
        <v>5818499</v>
      </c>
      <c r="O42" s="29"/>
    </row>
    <row r="43" spans="1:16">
      <c r="A43" s="1"/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2"/>
      <c r="N43" s="12"/>
      <c r="O43" s="6"/>
    </row>
    <row r="44" spans="1:16">
      <c r="A44" s="13" t="s">
        <v>50</v>
      </c>
      <c r="B44" s="53">
        <v>341767</v>
      </c>
      <c r="C44" s="53">
        <v>270679</v>
      </c>
      <c r="D44" s="53">
        <v>279225</v>
      </c>
      <c r="E44" s="53">
        <v>369606</v>
      </c>
      <c r="F44" s="53">
        <v>415556</v>
      </c>
      <c r="G44" s="53">
        <v>301819</v>
      </c>
      <c r="H44" s="53">
        <v>303493</v>
      </c>
      <c r="I44" s="53">
        <v>379392</v>
      </c>
      <c r="J44" s="53">
        <v>400807</v>
      </c>
      <c r="K44" s="53">
        <v>352963</v>
      </c>
      <c r="L44" s="53">
        <v>301088</v>
      </c>
      <c r="M44" s="53">
        <f>743355-270</f>
        <v>743085</v>
      </c>
      <c r="N44" s="12">
        <f>SUM(B44:M44)</f>
        <v>4459480</v>
      </c>
      <c r="O44" s="29"/>
      <c r="P44" s="25"/>
    </row>
    <row r="45" spans="1:16">
      <c r="A45" s="6" t="s">
        <v>107</v>
      </c>
      <c r="B45" s="22"/>
      <c r="C45" s="22"/>
      <c r="D45" s="22"/>
      <c r="E45" s="22"/>
      <c r="F45" s="22"/>
      <c r="G45" s="22"/>
      <c r="H45" s="22"/>
      <c r="I45" s="22"/>
      <c r="J45" s="22"/>
      <c r="K45" s="22"/>
      <c r="L45" s="22"/>
      <c r="M45" s="22"/>
      <c r="N45" s="22">
        <f>SUM(B45:M45)</f>
        <v>0</v>
      </c>
      <c r="O45" s="29"/>
    </row>
    <row r="46" spans="1:16">
      <c r="A46" s="1" t="s">
        <v>50</v>
      </c>
      <c r="B46" s="12">
        <f>SUM(B44:B45)</f>
        <v>341767</v>
      </c>
      <c r="C46" s="12">
        <f>SUM(C44:C45)</f>
        <v>270679</v>
      </c>
      <c r="D46" s="12">
        <f t="shared" ref="D46:N46" si="9">SUM(D44:D45)</f>
        <v>279225</v>
      </c>
      <c r="E46" s="12">
        <f t="shared" si="9"/>
        <v>369606</v>
      </c>
      <c r="F46" s="12">
        <f t="shared" si="9"/>
        <v>415556</v>
      </c>
      <c r="G46" s="12">
        <f t="shared" si="9"/>
        <v>301819</v>
      </c>
      <c r="H46" s="12">
        <f t="shared" si="9"/>
        <v>303493</v>
      </c>
      <c r="I46" s="12">
        <f t="shared" si="9"/>
        <v>379392</v>
      </c>
      <c r="J46" s="12">
        <f t="shared" si="9"/>
        <v>400807</v>
      </c>
      <c r="K46" s="12">
        <f t="shared" si="9"/>
        <v>352963</v>
      </c>
      <c r="L46" s="12">
        <f t="shared" si="9"/>
        <v>301088</v>
      </c>
      <c r="M46" s="12">
        <f t="shared" si="9"/>
        <v>743085</v>
      </c>
      <c r="N46" s="12">
        <f t="shared" si="9"/>
        <v>4459480</v>
      </c>
      <c r="O46" s="29"/>
    </row>
    <row r="47" spans="1:16">
      <c r="B47" s="7"/>
      <c r="C47" s="7"/>
      <c r="D47" s="7"/>
      <c r="E47" s="7"/>
      <c r="F47" s="7"/>
      <c r="G47" s="7"/>
      <c r="H47" s="7"/>
      <c r="I47" s="7"/>
      <c r="J47" s="7"/>
      <c r="K47" s="6"/>
      <c r="L47" s="6"/>
      <c r="M47" s="6"/>
      <c r="N47" s="6"/>
      <c r="O47" s="6"/>
    </row>
    <row r="48" spans="1:16">
      <c r="A48" s="13" t="s">
        <v>52</v>
      </c>
      <c r="B48" s="19">
        <f t="shared" ref="B48:N48" si="10">+B20+B34+B42+B46</f>
        <v>2352916</v>
      </c>
      <c r="C48" s="19">
        <f t="shared" si="10"/>
        <v>4206862</v>
      </c>
      <c r="D48" s="19">
        <f t="shared" si="10"/>
        <v>3452854</v>
      </c>
      <c r="E48" s="19">
        <f t="shared" si="10"/>
        <v>3320425</v>
      </c>
      <c r="F48" s="19">
        <f t="shared" si="10"/>
        <v>2648664</v>
      </c>
      <c r="G48" s="19">
        <f t="shared" si="10"/>
        <v>2415926</v>
      </c>
      <c r="H48" s="19">
        <f t="shared" si="10"/>
        <v>3986081</v>
      </c>
      <c r="I48" s="19">
        <f t="shared" si="10"/>
        <v>3087853</v>
      </c>
      <c r="J48" s="19">
        <f t="shared" si="10"/>
        <v>2970730</v>
      </c>
      <c r="K48" s="19">
        <f t="shared" si="10"/>
        <v>3290954</v>
      </c>
      <c r="L48" s="19">
        <f t="shared" si="10"/>
        <v>2704675</v>
      </c>
      <c r="M48" s="19">
        <f t="shared" si="10"/>
        <v>2556604</v>
      </c>
      <c r="N48" s="19">
        <f t="shared" si="10"/>
        <v>36994544</v>
      </c>
      <c r="O48" s="29"/>
    </row>
    <row r="49" spans="1:26">
      <c r="B49" s="7"/>
      <c r="C49" s="7"/>
      <c r="D49" s="7"/>
      <c r="E49" s="7"/>
      <c r="F49" s="7"/>
      <c r="G49" s="7"/>
      <c r="H49" s="7"/>
      <c r="I49" s="7"/>
      <c r="J49" s="7"/>
      <c r="K49" s="6"/>
      <c r="L49" s="6"/>
      <c r="M49" s="6"/>
      <c r="N49" s="6"/>
      <c r="O49" s="6"/>
    </row>
    <row r="50" spans="1:26">
      <c r="A50" s="1" t="s">
        <v>53</v>
      </c>
      <c r="B50" s="12">
        <f t="shared" ref="B50:M50" si="11">+B13-B48</f>
        <v>-588491</v>
      </c>
      <c r="C50" s="12">
        <f t="shared" si="11"/>
        <v>220222</v>
      </c>
      <c r="D50" s="12">
        <f t="shared" si="11"/>
        <v>906888</v>
      </c>
      <c r="E50" s="12">
        <f t="shared" si="11"/>
        <v>531272</v>
      </c>
      <c r="F50" s="12">
        <f t="shared" si="11"/>
        <v>-300822</v>
      </c>
      <c r="G50" s="12">
        <f t="shared" si="11"/>
        <v>62222</v>
      </c>
      <c r="H50" s="12">
        <f t="shared" si="11"/>
        <v>212557</v>
      </c>
      <c r="I50" s="12">
        <f t="shared" si="11"/>
        <v>259493</v>
      </c>
      <c r="J50" s="12">
        <f t="shared" si="11"/>
        <v>335342</v>
      </c>
      <c r="K50" s="12">
        <f t="shared" si="11"/>
        <v>333443</v>
      </c>
      <c r="L50" s="12">
        <f t="shared" si="11"/>
        <v>75221</v>
      </c>
      <c r="M50" s="12">
        <f t="shared" si="11"/>
        <v>-843855</v>
      </c>
      <c r="N50" s="12">
        <f>SUM(B50:M50)</f>
        <v>1203492</v>
      </c>
      <c r="O50" s="7">
        <f>+N50+N39+N41</f>
        <v>448680</v>
      </c>
    </row>
    <row r="51" spans="1:26" ht="7.5" customHeight="1">
      <c r="B51" s="7"/>
      <c r="C51" s="7"/>
      <c r="D51" s="7"/>
      <c r="E51" s="7"/>
      <c r="F51" s="7"/>
      <c r="G51" s="7"/>
      <c r="H51" s="7"/>
      <c r="I51" s="7"/>
      <c r="J51" s="7"/>
      <c r="K51" s="6"/>
      <c r="L51" s="6"/>
      <c r="M51" s="6"/>
      <c r="N51" s="6"/>
      <c r="O51" s="6"/>
    </row>
    <row r="52" spans="1:26">
      <c r="A52" s="1" t="s">
        <v>54</v>
      </c>
      <c r="B52" s="7"/>
      <c r="C52" s="7"/>
      <c r="D52" s="7"/>
      <c r="E52" s="7"/>
      <c r="F52" s="7"/>
      <c r="G52" s="7"/>
      <c r="H52" s="7"/>
      <c r="I52" s="7"/>
      <c r="J52" s="7"/>
      <c r="K52" s="6"/>
      <c r="L52" s="6"/>
      <c r="M52" s="6"/>
      <c r="N52" s="6"/>
      <c r="O52" s="6"/>
    </row>
    <row r="53" spans="1:26" s="6" customFormat="1">
      <c r="A53" s="6" t="s">
        <v>55</v>
      </c>
      <c r="B53" s="10">
        <v>21640</v>
      </c>
      <c r="C53" s="10">
        <v>45767</v>
      </c>
      <c r="D53" s="10">
        <v>849</v>
      </c>
      <c r="E53" s="10">
        <v>0</v>
      </c>
      <c r="F53" s="10">
        <v>6800</v>
      </c>
      <c r="G53" s="10">
        <v>30969</v>
      </c>
      <c r="H53" s="23">
        <v>110259</v>
      </c>
      <c r="I53" s="10">
        <v>168478</v>
      </c>
      <c r="J53" s="10">
        <v>50000</v>
      </c>
      <c r="K53" s="10">
        <v>10000</v>
      </c>
      <c r="L53" s="10">
        <v>10000</v>
      </c>
      <c r="M53" s="10">
        <v>265725</v>
      </c>
      <c r="N53" s="10">
        <f>SUM(B53:M53)</f>
        <v>720487</v>
      </c>
      <c r="O53" s="10">
        <v>930725</v>
      </c>
      <c r="P53" s="40">
        <f>+O53-N53</f>
        <v>210238</v>
      </c>
      <c r="Z53" s="40">
        <f>N53-P53+O53-N53</f>
        <v>720487</v>
      </c>
    </row>
    <row r="54" spans="1:26" s="6" customFormat="1">
      <c r="A54" s="6" t="s">
        <v>96</v>
      </c>
      <c r="B54" s="10"/>
      <c r="C54" s="10"/>
      <c r="D54" s="10"/>
      <c r="E54" s="10"/>
      <c r="F54" s="10">
        <v>90000</v>
      </c>
      <c r="G54" s="10"/>
      <c r="H54" s="10"/>
      <c r="I54" s="10"/>
      <c r="J54" s="10"/>
      <c r="K54" s="10"/>
      <c r="L54" s="10"/>
      <c r="M54" s="10"/>
      <c r="N54" s="10">
        <f>SUM(B54:M54)</f>
        <v>90000</v>
      </c>
    </row>
    <row r="55" spans="1:26" s="6" customFormat="1">
      <c r="A55" s="6" t="s">
        <v>111</v>
      </c>
      <c r="B55" s="10">
        <v>348240</v>
      </c>
      <c r="C55" s="10"/>
      <c r="D55" s="10"/>
      <c r="E55" s="10"/>
      <c r="F55" s="10"/>
      <c r="G55" s="10"/>
      <c r="H55" s="10"/>
      <c r="I55" s="10"/>
      <c r="J55" s="10"/>
      <c r="K55" s="10"/>
      <c r="L55" s="10">
        <v>0</v>
      </c>
      <c r="M55" s="56"/>
      <c r="N55" s="10">
        <f>SUM(B55:M55)</f>
        <v>348240</v>
      </c>
    </row>
    <row r="56" spans="1:26" s="6" customFormat="1">
      <c r="A56" s="37" t="s">
        <v>58</v>
      </c>
      <c r="B56" s="7">
        <v>-15538.11</v>
      </c>
      <c r="C56" s="7">
        <v>-13830</v>
      </c>
      <c r="D56" s="7">
        <v>-11781</v>
      </c>
      <c r="E56" s="7">
        <v>-16823</v>
      </c>
      <c r="F56" s="7">
        <v>-11637</v>
      </c>
      <c r="G56" s="7">
        <v>-235725</v>
      </c>
      <c r="H56" s="7">
        <v>-12112</v>
      </c>
      <c r="I56" s="7">
        <v>-10838</v>
      </c>
      <c r="J56" s="7">
        <v>-25000</v>
      </c>
      <c r="K56" s="7">
        <v>-20000</v>
      </c>
      <c r="L56" s="7">
        <v>-20000</v>
      </c>
      <c r="M56" s="7">
        <v>-25000</v>
      </c>
      <c r="N56" s="7">
        <f>SUM(B56:M56)</f>
        <v>-418284.11</v>
      </c>
      <c r="O56" s="7">
        <v>412620</v>
      </c>
    </row>
    <row r="57" spans="1:26" s="6" customFormat="1">
      <c r="A57" s="6" t="s">
        <v>59</v>
      </c>
      <c r="B57" s="22">
        <v>-171741</v>
      </c>
      <c r="C57" s="22">
        <v>17619</v>
      </c>
      <c r="D57" s="22">
        <v>-544</v>
      </c>
      <c r="E57" s="22">
        <v>666189</v>
      </c>
      <c r="F57" s="22">
        <v>-73191</v>
      </c>
      <c r="G57" s="22">
        <v>752472</v>
      </c>
      <c r="H57" s="22">
        <v>-562011</v>
      </c>
      <c r="I57" s="22">
        <v>-225136</v>
      </c>
      <c r="J57" s="22">
        <v>-25000</v>
      </c>
      <c r="K57" s="22">
        <v>-25000</v>
      </c>
      <c r="L57" s="22">
        <v>-25000</v>
      </c>
      <c r="M57" s="22">
        <v>-25000</v>
      </c>
      <c r="N57" s="22">
        <f>SUM(B57:M57)</f>
        <v>303657</v>
      </c>
      <c r="O57" s="56">
        <v>306614</v>
      </c>
    </row>
    <row r="58" spans="1:26" s="6" customFormat="1">
      <c r="A58" s="13" t="s">
        <v>60</v>
      </c>
      <c r="B58" s="19">
        <f t="shared" ref="B58:N58" si="12">SUM(B53:B57)</f>
        <v>182600.89</v>
      </c>
      <c r="C58" s="19">
        <f t="shared" si="12"/>
        <v>49556</v>
      </c>
      <c r="D58" s="19">
        <f t="shared" si="12"/>
        <v>-11476</v>
      </c>
      <c r="E58" s="19">
        <f t="shared" si="12"/>
        <v>649366</v>
      </c>
      <c r="F58" s="19">
        <f t="shared" si="12"/>
        <v>11972</v>
      </c>
      <c r="G58" s="19">
        <f t="shared" si="12"/>
        <v>547716</v>
      </c>
      <c r="H58" s="19">
        <f>SUM(H53:H57)</f>
        <v>-463864</v>
      </c>
      <c r="I58" s="19">
        <f t="shared" si="12"/>
        <v>-67496</v>
      </c>
      <c r="J58" s="19">
        <f t="shared" si="12"/>
        <v>0</v>
      </c>
      <c r="K58" s="19">
        <f t="shared" si="12"/>
        <v>-35000</v>
      </c>
      <c r="L58" s="19">
        <f t="shared" si="12"/>
        <v>-35000</v>
      </c>
      <c r="M58" s="19">
        <f t="shared" si="12"/>
        <v>215725</v>
      </c>
      <c r="N58" s="19">
        <f t="shared" si="12"/>
        <v>1044099.89</v>
      </c>
      <c r="O58" s="29"/>
    </row>
    <row r="59" spans="1:26">
      <c r="B59" s="7"/>
      <c r="C59" s="7"/>
      <c r="D59" s="7"/>
      <c r="E59" s="7"/>
      <c r="F59" s="7"/>
      <c r="G59" s="7"/>
      <c r="H59" s="7"/>
      <c r="I59" s="7"/>
      <c r="J59" s="7"/>
      <c r="K59" s="7"/>
      <c r="L59" s="7"/>
      <c r="M59" s="7"/>
      <c r="N59" s="7"/>
      <c r="O59" s="6"/>
    </row>
    <row r="60" spans="1:26">
      <c r="A60" s="1" t="s">
        <v>61</v>
      </c>
      <c r="B60" s="12">
        <v>14357541</v>
      </c>
      <c r="C60" s="7"/>
      <c r="D60" s="7"/>
      <c r="E60" s="7"/>
      <c r="F60" s="7"/>
      <c r="G60" s="7"/>
      <c r="H60" s="7" t="s">
        <v>38</v>
      </c>
      <c r="I60" s="7"/>
      <c r="J60" s="7"/>
      <c r="K60" s="6"/>
      <c r="L60" s="6"/>
      <c r="M60" s="6"/>
      <c r="N60" s="6"/>
      <c r="O60" s="6"/>
    </row>
    <row r="61" spans="1:26">
      <c r="A61" s="13" t="s">
        <v>62</v>
      </c>
      <c r="B61" s="19">
        <f t="shared" ref="B61:N61" si="13">+B58+B48</f>
        <v>2535516.89</v>
      </c>
      <c r="C61" s="19">
        <f t="shared" si="13"/>
        <v>4256418</v>
      </c>
      <c r="D61" s="19">
        <f t="shared" si="13"/>
        <v>3441378</v>
      </c>
      <c r="E61" s="19">
        <f t="shared" si="13"/>
        <v>3969791</v>
      </c>
      <c r="F61" s="19">
        <f t="shared" si="13"/>
        <v>2660636</v>
      </c>
      <c r="G61" s="19">
        <f t="shared" si="13"/>
        <v>2963642</v>
      </c>
      <c r="H61" s="19">
        <f t="shared" si="13"/>
        <v>3522217</v>
      </c>
      <c r="I61" s="19">
        <f t="shared" si="13"/>
        <v>3020357</v>
      </c>
      <c r="J61" s="19">
        <f t="shared" si="13"/>
        <v>2970730</v>
      </c>
      <c r="K61" s="19">
        <f t="shared" si="13"/>
        <v>3255954</v>
      </c>
      <c r="L61" s="19">
        <f t="shared" si="13"/>
        <v>2669675</v>
      </c>
      <c r="M61" s="19">
        <f t="shared" si="13"/>
        <v>2772329</v>
      </c>
      <c r="N61" s="19">
        <f t="shared" si="13"/>
        <v>38038643.890000001</v>
      </c>
      <c r="O61" s="29"/>
    </row>
    <row r="62" spans="1:26" ht="13.5" thickBot="1">
      <c r="A62" s="13" t="s">
        <v>63</v>
      </c>
      <c r="B62" s="30">
        <f t="shared" ref="B62:N62" si="14">+B13-B61</f>
        <v>-771091.89000000013</v>
      </c>
      <c r="C62" s="30">
        <f t="shared" si="14"/>
        <v>170666</v>
      </c>
      <c r="D62" s="30">
        <f t="shared" si="14"/>
        <v>918364</v>
      </c>
      <c r="E62" s="30">
        <f t="shared" si="14"/>
        <v>-118094</v>
      </c>
      <c r="F62" s="30">
        <f t="shared" si="14"/>
        <v>-312794</v>
      </c>
      <c r="G62" s="30">
        <f t="shared" si="14"/>
        <v>-485494</v>
      </c>
      <c r="H62" s="30">
        <f t="shared" si="14"/>
        <v>676421</v>
      </c>
      <c r="I62" s="30">
        <f t="shared" si="14"/>
        <v>326989</v>
      </c>
      <c r="J62" s="30">
        <f t="shared" si="14"/>
        <v>335342</v>
      </c>
      <c r="K62" s="14">
        <f t="shared" si="14"/>
        <v>368443</v>
      </c>
      <c r="L62" s="14">
        <f t="shared" si="14"/>
        <v>110221</v>
      </c>
      <c r="M62" s="14">
        <f t="shared" si="14"/>
        <v>-1059580</v>
      </c>
      <c r="N62" s="14">
        <f t="shared" si="14"/>
        <v>159392.1099999994</v>
      </c>
      <c r="O62" s="29"/>
    </row>
    <row r="63" spans="1:26" s="6" customFormat="1" ht="13.5" thickTop="1">
      <c r="A63" s="13" t="s">
        <v>64</v>
      </c>
      <c r="B63" s="32">
        <f>+B62</f>
        <v>-771091.89000000013</v>
      </c>
      <c r="C63" s="32">
        <f t="shared" ref="C63:M63" si="15">B63+C62</f>
        <v>-600425.89000000013</v>
      </c>
      <c r="D63" s="32">
        <f t="shared" si="15"/>
        <v>317938.10999999987</v>
      </c>
      <c r="E63" s="32">
        <f t="shared" si="15"/>
        <v>199844.10999999987</v>
      </c>
      <c r="F63" s="32">
        <f t="shared" si="15"/>
        <v>-112949.89000000013</v>
      </c>
      <c r="G63" s="32">
        <f t="shared" si="15"/>
        <v>-598443.89000000013</v>
      </c>
      <c r="H63" s="32">
        <f t="shared" si="15"/>
        <v>77977.10999999987</v>
      </c>
      <c r="I63" s="32">
        <f t="shared" si="15"/>
        <v>404966.10999999987</v>
      </c>
      <c r="J63" s="32">
        <f t="shared" si="15"/>
        <v>740308.10999999987</v>
      </c>
      <c r="K63" s="12">
        <f t="shared" si="15"/>
        <v>1108751.1099999999</v>
      </c>
      <c r="L63" s="12">
        <f t="shared" si="15"/>
        <v>1218972.1099999999</v>
      </c>
      <c r="M63" s="12">
        <f t="shared" si="15"/>
        <v>159392.10999999987</v>
      </c>
      <c r="N63" s="12"/>
    </row>
    <row r="64" spans="1:26">
      <c r="A64" s="13" t="s">
        <v>65</v>
      </c>
      <c r="B64" s="12">
        <f t="shared" ref="B64:M64" si="16">+$B$60+B63</f>
        <v>13586449.109999999</v>
      </c>
      <c r="C64" s="12">
        <f t="shared" si="16"/>
        <v>13757115.109999999</v>
      </c>
      <c r="D64" s="12">
        <f t="shared" si="16"/>
        <v>14675479.109999999</v>
      </c>
      <c r="E64" s="12">
        <f t="shared" si="16"/>
        <v>14557385.109999999</v>
      </c>
      <c r="F64" s="12">
        <f t="shared" si="16"/>
        <v>14244591.109999999</v>
      </c>
      <c r="G64" s="12">
        <f t="shared" si="16"/>
        <v>13759097.109999999</v>
      </c>
      <c r="H64" s="12">
        <f t="shared" si="16"/>
        <v>14435518.109999999</v>
      </c>
      <c r="I64" s="12">
        <f t="shared" si="16"/>
        <v>14762507.109999999</v>
      </c>
      <c r="J64" s="12">
        <f t="shared" si="16"/>
        <v>15097849.109999999</v>
      </c>
      <c r="K64" s="12">
        <f t="shared" si="16"/>
        <v>15466292.109999999</v>
      </c>
      <c r="L64" s="12">
        <f t="shared" si="16"/>
        <v>15576513.109999999</v>
      </c>
      <c r="M64" s="12">
        <f t="shared" si="16"/>
        <v>14516933.109999999</v>
      </c>
      <c r="N64" s="12"/>
      <c r="O64" s="6"/>
    </row>
    <row r="65" spans="1:15">
      <c r="A65" s="6"/>
      <c r="B65" s="7"/>
      <c r="C65" s="7"/>
      <c r="D65" s="7"/>
      <c r="E65" s="7"/>
      <c r="F65" s="7"/>
      <c r="G65" s="7"/>
      <c r="H65" s="7"/>
      <c r="I65" s="7"/>
      <c r="J65" s="7"/>
      <c r="K65" s="6"/>
      <c r="L65" s="6"/>
      <c r="M65" s="6"/>
      <c r="N65" s="6"/>
      <c r="O65" s="6"/>
    </row>
    <row r="66" spans="1:15" s="6" customFormat="1">
      <c r="A66" s="17" t="s">
        <v>114</v>
      </c>
      <c r="B66" s="18"/>
      <c r="C66" s="18"/>
      <c r="D66" s="18"/>
      <c r="E66" s="18"/>
      <c r="F66" s="18"/>
      <c r="G66" s="18"/>
      <c r="H66" s="18"/>
      <c r="I66" s="18"/>
      <c r="J66" s="18"/>
      <c r="K66" s="18"/>
      <c r="L66" s="18"/>
      <c r="M66" s="18"/>
      <c r="N66" s="18"/>
    </row>
    <row r="67" spans="1:15" ht="13.5" thickBot="1">
      <c r="A67" s="13" t="s">
        <v>67</v>
      </c>
      <c r="B67" s="14">
        <v>-1440029</v>
      </c>
      <c r="C67" s="14">
        <v>-123812</v>
      </c>
      <c r="D67" s="14">
        <v>1148155</v>
      </c>
      <c r="E67" s="14">
        <v>583156</v>
      </c>
      <c r="F67" s="14">
        <v>-125852</v>
      </c>
      <c r="G67" s="14">
        <v>-37690</v>
      </c>
      <c r="H67" s="14">
        <v>100669</v>
      </c>
      <c r="I67" s="14">
        <v>782418</v>
      </c>
      <c r="J67" s="14">
        <v>335342</v>
      </c>
      <c r="K67" s="14">
        <v>368443</v>
      </c>
      <c r="L67" s="14">
        <v>110221</v>
      </c>
      <c r="M67" s="14">
        <v>-1059580</v>
      </c>
      <c r="N67" s="16"/>
      <c r="O67" s="6"/>
    </row>
    <row r="68" spans="1:15" ht="13.5" thickTop="1">
      <c r="A68" s="13" t="s">
        <v>64</v>
      </c>
      <c r="B68" s="12">
        <f>+B67</f>
        <v>-1440029</v>
      </c>
      <c r="C68" s="12">
        <f>+B68+C67</f>
        <v>-1563841</v>
      </c>
      <c r="D68" s="12">
        <f t="shared" ref="D68:M68" si="17">+C68+D67</f>
        <v>-415686</v>
      </c>
      <c r="E68" s="12">
        <f t="shared" si="17"/>
        <v>167470</v>
      </c>
      <c r="F68" s="12">
        <f t="shared" si="17"/>
        <v>41618</v>
      </c>
      <c r="G68" s="12">
        <f t="shared" si="17"/>
        <v>3928</v>
      </c>
      <c r="H68" s="12">
        <f t="shared" si="17"/>
        <v>104597</v>
      </c>
      <c r="I68" s="12">
        <f t="shared" si="17"/>
        <v>887015</v>
      </c>
      <c r="J68" s="12">
        <f t="shared" si="17"/>
        <v>1222357</v>
      </c>
      <c r="K68" s="12">
        <f t="shared" si="17"/>
        <v>1590800</v>
      </c>
      <c r="L68" s="12">
        <f t="shared" si="17"/>
        <v>1701021</v>
      </c>
      <c r="M68" s="12">
        <f t="shared" si="17"/>
        <v>641441</v>
      </c>
      <c r="N68" s="16"/>
      <c r="O68" s="6"/>
    </row>
    <row r="69" spans="1:15">
      <c r="A69" s="13" t="s">
        <v>65</v>
      </c>
      <c r="B69" s="12">
        <v>12917512</v>
      </c>
      <c r="C69" s="12">
        <v>12793700</v>
      </c>
      <c r="D69" s="12">
        <v>13941855</v>
      </c>
      <c r="E69" s="12">
        <v>14525011</v>
      </c>
      <c r="F69" s="12">
        <v>14399159</v>
      </c>
      <c r="G69" s="12">
        <v>14361469</v>
      </c>
      <c r="H69" s="12">
        <v>14462138</v>
      </c>
      <c r="I69" s="12">
        <v>15244556</v>
      </c>
      <c r="J69" s="12">
        <v>15579898</v>
      </c>
      <c r="K69" s="12">
        <v>15948341</v>
      </c>
      <c r="L69" s="12">
        <v>16058562</v>
      </c>
      <c r="M69" s="12">
        <v>14998982</v>
      </c>
      <c r="N69" s="12"/>
      <c r="O69" s="6"/>
    </row>
    <row r="70" spans="1:15">
      <c r="A70" s="6"/>
      <c r="B70" s="6"/>
      <c r="C70" s="6"/>
      <c r="D70" s="6"/>
      <c r="E70" s="6"/>
      <c r="F70" s="6"/>
      <c r="H70" s="6"/>
      <c r="I70" s="6"/>
      <c r="J70" s="6"/>
      <c r="K70" s="6"/>
      <c r="L70" s="6"/>
      <c r="M70" s="6"/>
      <c r="N70" s="6"/>
      <c r="O70" s="6"/>
    </row>
    <row r="71" spans="1:15">
      <c r="A71" s="24" t="s">
        <v>68</v>
      </c>
      <c r="B71" s="18"/>
      <c r="C71" s="18"/>
      <c r="D71" s="18"/>
      <c r="E71" s="18"/>
      <c r="F71" s="18"/>
      <c r="G71" s="18"/>
      <c r="H71" s="18"/>
      <c r="I71" s="18"/>
      <c r="J71" s="18"/>
      <c r="K71" s="18"/>
      <c r="L71" s="18"/>
      <c r="M71" s="18"/>
      <c r="N71" s="18"/>
      <c r="O71" s="6"/>
    </row>
    <row r="72" spans="1:15">
      <c r="A72" s="13" t="s">
        <v>63</v>
      </c>
      <c r="B72" s="31">
        <f t="shared" ref="B72:N74" si="18">+B62-B67</f>
        <v>668937.10999999987</v>
      </c>
      <c r="C72" s="31">
        <f t="shared" si="18"/>
        <v>294478</v>
      </c>
      <c r="D72" s="31">
        <f t="shared" si="18"/>
        <v>-229791</v>
      </c>
      <c r="E72" s="31">
        <f t="shared" si="18"/>
        <v>-701250</v>
      </c>
      <c r="F72" s="31">
        <f t="shared" si="18"/>
        <v>-186942</v>
      </c>
      <c r="G72" s="31">
        <f t="shared" si="18"/>
        <v>-447804</v>
      </c>
      <c r="H72" s="31">
        <f t="shared" si="18"/>
        <v>575752</v>
      </c>
      <c r="I72" s="31">
        <f t="shared" si="18"/>
        <v>-455429</v>
      </c>
      <c r="J72" s="31">
        <f t="shared" si="18"/>
        <v>0</v>
      </c>
      <c r="K72" s="31">
        <f t="shared" si="18"/>
        <v>0</v>
      </c>
      <c r="L72" s="31">
        <f t="shared" si="18"/>
        <v>0</v>
      </c>
      <c r="M72" s="31">
        <f t="shared" si="18"/>
        <v>0</v>
      </c>
      <c r="N72" s="6"/>
      <c r="O72" s="6"/>
    </row>
    <row r="73" spans="1:15" s="6" customFormat="1">
      <c r="A73" s="13" t="s">
        <v>64</v>
      </c>
      <c r="B73" s="31">
        <f t="shared" si="18"/>
        <v>668937.10999999987</v>
      </c>
      <c r="C73" s="31">
        <f t="shared" si="18"/>
        <v>963415.10999999987</v>
      </c>
      <c r="D73" s="31">
        <f t="shared" si="18"/>
        <v>733624.10999999987</v>
      </c>
      <c r="E73" s="31">
        <f t="shared" si="18"/>
        <v>32374.10999999987</v>
      </c>
      <c r="F73" s="31">
        <f t="shared" si="18"/>
        <v>-154567.89000000013</v>
      </c>
      <c r="G73" s="31">
        <f t="shared" si="18"/>
        <v>-602371.89000000013</v>
      </c>
      <c r="H73" s="31">
        <f t="shared" si="18"/>
        <v>-26619.89000000013</v>
      </c>
      <c r="I73" s="31">
        <f t="shared" si="18"/>
        <v>-482048.89000000013</v>
      </c>
      <c r="J73" s="31">
        <f t="shared" si="18"/>
        <v>-482048.89000000013</v>
      </c>
      <c r="K73" s="31">
        <f t="shared" si="18"/>
        <v>-482048.89000000013</v>
      </c>
      <c r="L73" s="31">
        <f t="shared" si="18"/>
        <v>-482048.89000000013</v>
      </c>
      <c r="M73" s="31">
        <f t="shared" si="18"/>
        <v>-482048.89000000013</v>
      </c>
      <c r="N73" s="16">
        <f t="shared" si="18"/>
        <v>0</v>
      </c>
    </row>
    <row r="74" spans="1:15">
      <c r="A74" s="1" t="s">
        <v>65</v>
      </c>
      <c r="B74" s="16">
        <f t="shared" si="18"/>
        <v>668937.1099999994</v>
      </c>
      <c r="C74" s="16">
        <f t="shared" si="18"/>
        <v>963415.1099999994</v>
      </c>
      <c r="D74" s="16">
        <f t="shared" si="18"/>
        <v>733624.1099999994</v>
      </c>
      <c r="E74" s="16">
        <f t="shared" si="18"/>
        <v>32374.109999999404</v>
      </c>
      <c r="F74" s="16">
        <f t="shared" si="18"/>
        <v>-154567.8900000006</v>
      </c>
      <c r="G74" s="16">
        <f t="shared" si="18"/>
        <v>-602371.8900000006</v>
      </c>
      <c r="H74" s="16">
        <f t="shared" si="18"/>
        <v>-26619.890000000596</v>
      </c>
      <c r="I74" s="16">
        <f t="shared" si="18"/>
        <v>-482048.8900000006</v>
      </c>
      <c r="J74" s="16">
        <f t="shared" si="18"/>
        <v>-482048.8900000006</v>
      </c>
      <c r="K74" s="16">
        <f t="shared" si="18"/>
        <v>-482048.8900000006</v>
      </c>
      <c r="L74" s="16">
        <f t="shared" si="18"/>
        <v>-482048.8900000006</v>
      </c>
      <c r="M74" s="16">
        <f t="shared" si="18"/>
        <v>-482048.8900000006</v>
      </c>
      <c r="N74" s="16"/>
      <c r="O74" s="6"/>
    </row>
    <row r="75" spans="1:15">
      <c r="B75" s="6"/>
      <c r="C75" s="6"/>
      <c r="D75" s="6"/>
      <c r="E75" s="6"/>
      <c r="F75" s="6"/>
      <c r="H75" s="6"/>
      <c r="I75" s="6"/>
      <c r="J75" s="6"/>
      <c r="K75" s="6"/>
      <c r="L75" s="6"/>
      <c r="M75" s="6"/>
      <c r="N75" s="6"/>
    </row>
    <row r="76" spans="1:15">
      <c r="A76" s="1"/>
      <c r="B76" s="4"/>
      <c r="C76" s="8"/>
      <c r="D76" s="8"/>
      <c r="E76" s="8"/>
      <c r="F76" s="8"/>
      <c r="H76" s="20"/>
      <c r="J76" s="6"/>
      <c r="K76" s="6"/>
    </row>
    <row r="77" spans="1:15">
      <c r="A77" s="1"/>
      <c r="B77" s="4"/>
      <c r="C77" s="8"/>
      <c r="D77" s="8"/>
      <c r="E77" s="8"/>
      <c r="F77" s="8"/>
      <c r="H77" s="85">
        <v>12112.349999999999</v>
      </c>
      <c r="I77" s="86"/>
      <c r="J77" s="85">
        <v>562010.51</v>
      </c>
    </row>
    <row r="78" spans="1:15">
      <c r="A78" s="1"/>
      <c r="B78" s="4"/>
      <c r="D78" s="8"/>
      <c r="E78" s="8"/>
      <c r="F78" s="8"/>
      <c r="H78" s="61"/>
      <c r="J78" s="6"/>
    </row>
    <row r="79" spans="1:15">
      <c r="E79" s="6"/>
      <c r="H79" s="20"/>
      <c r="J79" s="6"/>
      <c r="N79" s="25"/>
    </row>
    <row r="80" spans="1:15">
      <c r="A80" t="s">
        <v>69</v>
      </c>
      <c r="B80" t="s">
        <v>69</v>
      </c>
      <c r="C80" t="s">
        <v>69</v>
      </c>
      <c r="D80" t="s">
        <v>69</v>
      </c>
      <c r="E80" s="6" t="s">
        <v>69</v>
      </c>
      <c r="F80" t="s">
        <v>69</v>
      </c>
      <c r="G80" s="6" t="s">
        <v>69</v>
      </c>
      <c r="H80" t="s">
        <v>69</v>
      </c>
      <c r="I80" t="s">
        <v>69</v>
      </c>
      <c r="J80" s="6" t="s">
        <v>69</v>
      </c>
      <c r="K80" t="s">
        <v>69</v>
      </c>
      <c r="L80" t="s">
        <v>69</v>
      </c>
      <c r="M80" t="s">
        <v>69</v>
      </c>
      <c r="N80" t="s">
        <v>69</v>
      </c>
    </row>
    <row r="82" spans="6:8">
      <c r="F82">
        <v>11636.78</v>
      </c>
      <c r="H82">
        <v>73191.26999999999</v>
      </c>
    </row>
    <row r="84" spans="6:8">
      <c r="F84" s="2">
        <f>SUM(B56:F56)</f>
        <v>-69609.11</v>
      </c>
    </row>
    <row r="85" spans="6:8">
      <c r="F85" s="2">
        <f>SUM(B57:F57)</f>
        <v>438332</v>
      </c>
    </row>
  </sheetData>
  <pageMargins left="0.28000000000000003" right="0.25" top="0.99" bottom="0.75" header="0.63" footer="0.23"/>
  <pageSetup scale="60" orientation="landscape" r:id="rId1"/>
  <headerFooter alignWithMargins="0">
    <oddHeader xml:space="preserve">&amp;C&amp;"Arial,Bold"&amp;11 49ER SHOPS, INC.
&amp;UFY2017/2018 OPERATIONAL CASH FLOW </oddHeader>
    <oddFooter xml:space="preserve">&amp;CCash Flow - FY2018/2019
January 2019
</oddFooter>
  </headerFooter>
  <legacyDrawing r:id="rId2"/>
</worksheet>
</file>

<file path=xl/worksheets/sheet4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92D050"/>
    <pageSetUpPr fitToPage="1"/>
  </sheetPr>
  <dimension ref="A1:Z85"/>
  <sheetViews>
    <sheetView showGridLines="0" zoomScale="90" zoomScaleNormal="90" workbookViewId="0"/>
  </sheetViews>
  <sheetFormatPr defaultRowHeight="12.75"/>
  <cols>
    <col min="1" max="1" width="35.42578125" customWidth="1"/>
    <col min="2" max="2" width="14" customWidth="1"/>
    <col min="3" max="3" width="14.5703125" customWidth="1"/>
    <col min="4" max="4" width="14" style="6" customWidth="1"/>
    <col min="5" max="6" width="13.5703125" customWidth="1"/>
    <col min="7" max="7" width="16.5703125" style="6" customWidth="1"/>
    <col min="8" max="8" width="14.140625" customWidth="1"/>
    <col min="9" max="9" width="14.42578125" customWidth="1"/>
    <col min="10" max="10" width="13.85546875" customWidth="1"/>
    <col min="11" max="11" width="15.140625" customWidth="1"/>
    <col min="12" max="12" width="13.5703125" customWidth="1"/>
    <col min="13" max="13" width="14.42578125" customWidth="1"/>
    <col min="14" max="14" width="16.5703125" customWidth="1"/>
    <col min="15" max="15" width="12.42578125" bestFit="1" customWidth="1"/>
    <col min="16" max="16" width="14.140625" customWidth="1"/>
  </cols>
  <sheetData>
    <row r="1" spans="1:16" ht="13.5" thickBot="1">
      <c r="A1" s="46" t="s">
        <v>132</v>
      </c>
      <c r="E1" s="6"/>
      <c r="F1" s="6"/>
      <c r="J1" s="6"/>
      <c r="K1" s="6"/>
      <c r="N1" s="3"/>
    </row>
    <row r="2" spans="1:16">
      <c r="B2" s="92" t="s">
        <v>24</v>
      </c>
      <c r="C2" s="92" t="s">
        <v>24</v>
      </c>
      <c r="D2" s="92" t="s">
        <v>24</v>
      </c>
      <c r="E2" s="92" t="s">
        <v>24</v>
      </c>
      <c r="F2" s="92" t="s">
        <v>24</v>
      </c>
      <c r="G2" s="92" t="s">
        <v>24</v>
      </c>
      <c r="H2" s="92" t="s">
        <v>24</v>
      </c>
      <c r="I2" s="92" t="s">
        <v>76</v>
      </c>
      <c r="J2" s="92" t="s">
        <v>76</v>
      </c>
      <c r="K2" s="92" t="s">
        <v>76</v>
      </c>
      <c r="L2" s="92" t="s">
        <v>76</v>
      </c>
      <c r="M2" s="92" t="s">
        <v>76</v>
      </c>
      <c r="N2" s="93" t="s">
        <v>25</v>
      </c>
    </row>
    <row r="3" spans="1:16" s="5" customFormat="1">
      <c r="B3" s="94">
        <v>43648</v>
      </c>
      <c r="C3" s="95">
        <v>43679</v>
      </c>
      <c r="D3" s="95">
        <v>43710</v>
      </c>
      <c r="E3" s="94">
        <v>43740</v>
      </c>
      <c r="F3" s="94">
        <v>43771</v>
      </c>
      <c r="G3" s="95">
        <v>43801</v>
      </c>
      <c r="H3" s="94">
        <v>43832</v>
      </c>
      <c r="I3" s="94">
        <v>43863</v>
      </c>
      <c r="J3" s="94">
        <v>43892</v>
      </c>
      <c r="K3" s="94">
        <v>43923</v>
      </c>
      <c r="L3" s="94">
        <v>43953</v>
      </c>
      <c r="M3" s="94">
        <v>43984</v>
      </c>
      <c r="N3" s="94" t="s">
        <v>133</v>
      </c>
    </row>
    <row r="4" spans="1:16">
      <c r="A4" s="1" t="s">
        <v>27</v>
      </c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>
        <f>SUM(B4:M4)</f>
        <v>0</v>
      </c>
      <c r="O4" s="29"/>
    </row>
    <row r="5" spans="1:16" s="6" customFormat="1" ht="13.5" hidden="1" customHeight="1">
      <c r="A5" s="6" t="s">
        <v>28</v>
      </c>
      <c r="B5" s="49">
        <v>1506911</v>
      </c>
      <c r="C5" s="53">
        <v>4218296</v>
      </c>
      <c r="D5" s="53">
        <v>4008767</v>
      </c>
      <c r="E5" s="53">
        <v>3723428</v>
      </c>
      <c r="F5" s="53">
        <v>2637007</v>
      </c>
      <c r="G5" s="53">
        <v>1983421</v>
      </c>
      <c r="H5" s="53">
        <v>3653867</v>
      </c>
      <c r="I5" s="53">
        <v>3413283.7329099998</v>
      </c>
      <c r="J5" s="53">
        <v>3663286.3910400001</v>
      </c>
      <c r="K5" s="53">
        <v>3303515.2019700003</v>
      </c>
      <c r="L5" s="53">
        <v>2866321.64855</v>
      </c>
      <c r="M5" s="53">
        <v>1394806.15129</v>
      </c>
      <c r="N5" s="12">
        <f>SUM(B5:M5)</f>
        <v>36372910.125760004</v>
      </c>
      <c r="O5" s="29"/>
    </row>
    <row r="6" spans="1:16" s="6" customFormat="1" ht="12.75" hidden="1" customHeight="1">
      <c r="A6" s="6" t="s">
        <v>29</v>
      </c>
      <c r="B6" s="49">
        <v>122669</v>
      </c>
      <c r="C6" s="53">
        <v>65308</v>
      </c>
      <c r="D6" s="53">
        <v>368424</v>
      </c>
      <c r="E6" s="53">
        <v>265657</v>
      </c>
      <c r="F6" s="53">
        <v>90828</v>
      </c>
      <c r="G6" s="53">
        <v>46005</v>
      </c>
      <c r="H6" s="53">
        <v>118231</v>
      </c>
      <c r="I6" s="53">
        <v>171397</v>
      </c>
      <c r="J6" s="53">
        <v>127523</v>
      </c>
      <c r="K6" s="53">
        <v>123229</v>
      </c>
      <c r="L6" s="53">
        <v>130378</v>
      </c>
      <c r="M6" s="53">
        <v>105525</v>
      </c>
      <c r="N6" s="7">
        <f>SUM(B6:M6)</f>
        <v>1735174</v>
      </c>
      <c r="O6" s="29"/>
    </row>
    <row r="7" spans="1:16" s="6" customFormat="1" ht="12.75" hidden="1" customHeight="1">
      <c r="B7" s="7"/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7">
        <f>SUM(B7:M7)</f>
        <v>0</v>
      </c>
      <c r="O7" s="29"/>
    </row>
    <row r="8" spans="1:16" s="6" customFormat="1" ht="12.75" hidden="1" customHeight="1">
      <c r="B8" s="15"/>
      <c r="C8" s="15"/>
      <c r="D8" s="15"/>
      <c r="E8" s="15"/>
      <c r="F8" s="15"/>
      <c r="G8" s="15"/>
      <c r="H8" s="15"/>
      <c r="I8" s="15"/>
      <c r="J8" s="15"/>
      <c r="K8" s="15"/>
      <c r="L8" s="15"/>
      <c r="M8" s="15"/>
      <c r="N8" s="15">
        <f>SUM(B8:M8)</f>
        <v>0</v>
      </c>
      <c r="O8" s="29"/>
    </row>
    <row r="9" spans="1:16" s="6" customFormat="1">
      <c r="A9" s="13" t="s">
        <v>30</v>
      </c>
      <c r="B9" s="12">
        <f t="shared" ref="B9:N9" si="0">SUM(B5:B8)</f>
        <v>1629580</v>
      </c>
      <c r="C9" s="12">
        <f t="shared" si="0"/>
        <v>4283604</v>
      </c>
      <c r="D9" s="12">
        <f t="shared" si="0"/>
        <v>4377191</v>
      </c>
      <c r="E9" s="12">
        <f t="shared" si="0"/>
        <v>3989085</v>
      </c>
      <c r="F9" s="12">
        <f t="shared" si="0"/>
        <v>2727835</v>
      </c>
      <c r="G9" s="12">
        <f t="shared" si="0"/>
        <v>2029426</v>
      </c>
      <c r="H9" s="12">
        <f t="shared" si="0"/>
        <v>3772098</v>
      </c>
      <c r="I9" s="12">
        <f t="shared" si="0"/>
        <v>3584680.7329099998</v>
      </c>
      <c r="J9" s="12">
        <f t="shared" si="0"/>
        <v>3790809.3910400001</v>
      </c>
      <c r="K9" s="12">
        <f t="shared" si="0"/>
        <v>3426744.2019700003</v>
      </c>
      <c r="L9" s="12">
        <f t="shared" si="0"/>
        <v>2996699.64855</v>
      </c>
      <c r="M9" s="12">
        <f t="shared" si="0"/>
        <v>1500331.15129</v>
      </c>
      <c r="N9" s="12">
        <f t="shared" si="0"/>
        <v>38108084.125760004</v>
      </c>
      <c r="O9" s="29"/>
      <c r="P9" s="29">
        <f>+N9</f>
        <v>38108084.125760004</v>
      </c>
    </row>
    <row r="10" spans="1:16" s="6" customFormat="1" ht="6.75" customHeight="1"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29"/>
    </row>
    <row r="11" spans="1:16" s="6" customFormat="1">
      <c r="A11" s="13" t="s">
        <v>31</v>
      </c>
      <c r="B11" s="7">
        <v>2191</v>
      </c>
      <c r="C11" s="7">
        <v>230</v>
      </c>
      <c r="D11" s="7">
        <v>408.4</v>
      </c>
      <c r="E11" s="7">
        <v>-227</v>
      </c>
      <c r="F11" s="7">
        <v>225</v>
      </c>
      <c r="G11" s="7">
        <v>3197</v>
      </c>
      <c r="H11" s="7">
        <v>367</v>
      </c>
      <c r="I11" s="7"/>
      <c r="J11" s="7"/>
      <c r="K11" s="7"/>
      <c r="L11" s="7"/>
      <c r="M11" s="7"/>
      <c r="N11" s="7">
        <f>SUM(B11:M11)</f>
        <v>6391.4</v>
      </c>
      <c r="O11" s="29"/>
    </row>
    <row r="12" spans="1:16" s="6" customFormat="1" ht="7.5" customHeight="1">
      <c r="B12" s="7"/>
      <c r="C12" s="7"/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  <c r="O12" s="29"/>
    </row>
    <row r="13" spans="1:16" s="6" customFormat="1" ht="21" customHeight="1" thickBot="1">
      <c r="A13" s="13" t="s">
        <v>32</v>
      </c>
      <c r="B13" s="14">
        <f t="shared" ref="B13:N13" si="1">B9+B11</f>
        <v>1631771</v>
      </c>
      <c r="C13" s="14">
        <f>C9+C11</f>
        <v>4283834</v>
      </c>
      <c r="D13" s="14">
        <f t="shared" si="1"/>
        <v>4377599.4000000004</v>
      </c>
      <c r="E13" s="14">
        <f t="shared" si="1"/>
        <v>3988858</v>
      </c>
      <c r="F13" s="14">
        <f t="shared" si="1"/>
        <v>2728060</v>
      </c>
      <c r="G13" s="14">
        <f t="shared" si="1"/>
        <v>2032623</v>
      </c>
      <c r="H13" s="14">
        <f t="shared" si="1"/>
        <v>3772465</v>
      </c>
      <c r="I13" s="14">
        <f t="shared" si="1"/>
        <v>3584680.7329099998</v>
      </c>
      <c r="J13" s="14">
        <f t="shared" si="1"/>
        <v>3790809.3910400001</v>
      </c>
      <c r="K13" s="14">
        <f t="shared" si="1"/>
        <v>3426744.2019700003</v>
      </c>
      <c r="L13" s="14">
        <f t="shared" si="1"/>
        <v>2996699.64855</v>
      </c>
      <c r="M13" s="14">
        <f t="shared" si="1"/>
        <v>1500331.15129</v>
      </c>
      <c r="N13" s="14">
        <f t="shared" si="1"/>
        <v>38114475.525760002</v>
      </c>
      <c r="O13" s="29"/>
    </row>
    <row r="14" spans="1:16" s="6" customFormat="1" ht="21" hidden="1" customHeight="1" thickTop="1">
      <c r="B14" s="7"/>
      <c r="C14" s="7"/>
      <c r="D14" s="7"/>
      <c r="E14" s="7"/>
      <c r="F14" s="7"/>
      <c r="G14" s="7"/>
      <c r="H14" s="7"/>
      <c r="I14" s="7"/>
      <c r="J14" s="7"/>
      <c r="K14" s="7"/>
      <c r="L14" s="7"/>
      <c r="M14" s="7"/>
    </row>
    <row r="15" spans="1:16" s="6" customFormat="1" ht="17.25" hidden="1" customHeight="1">
      <c r="A15" s="13" t="s">
        <v>33</v>
      </c>
      <c r="B15" s="7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</row>
    <row r="16" spans="1:16" s="6" customFormat="1" ht="12" hidden="1" customHeight="1">
      <c r="A16" s="6" t="s">
        <v>34</v>
      </c>
      <c r="B16" s="49">
        <v>789538</v>
      </c>
      <c r="C16" s="53">
        <v>2542832</v>
      </c>
      <c r="D16" s="53">
        <v>1670912</v>
      </c>
      <c r="E16" s="53">
        <v>1241006</v>
      </c>
      <c r="F16" s="53">
        <v>943426</v>
      </c>
      <c r="G16" s="53">
        <v>694088</v>
      </c>
      <c r="H16" s="53">
        <v>1773539</v>
      </c>
      <c r="I16" s="53">
        <v>1238755.4207799998</v>
      </c>
      <c r="J16" s="53">
        <v>1292296.5777699999</v>
      </c>
      <c r="K16" s="53">
        <v>1245676.8455400001</v>
      </c>
      <c r="L16" s="53">
        <v>1172737.3767599999</v>
      </c>
      <c r="M16" s="53">
        <v>726619.06070999999</v>
      </c>
      <c r="N16" s="7">
        <f>SUM(B16:M16)</f>
        <v>15331426.28156</v>
      </c>
      <c r="O16" s="29"/>
      <c r="P16" s="7">
        <f>-N16</f>
        <v>-15331426.28156</v>
      </c>
    </row>
    <row r="17" spans="1:16" s="6" customFormat="1" ht="20.25" hidden="1" customHeight="1">
      <c r="B17" s="27"/>
      <c r="C17" s="27"/>
      <c r="D17" s="27"/>
      <c r="E17" s="27"/>
      <c r="F17" s="27"/>
      <c r="G17" s="27"/>
      <c r="H17" s="27"/>
      <c r="I17" s="27"/>
      <c r="J17" s="27"/>
      <c r="K17" s="27"/>
      <c r="L17" s="27"/>
      <c r="M17" s="27"/>
      <c r="N17" s="7">
        <f>SUM(B17:M17)</f>
        <v>0</v>
      </c>
    </row>
    <row r="18" spans="1:16" s="6" customFormat="1" ht="26.25" hidden="1" customHeight="1">
      <c r="B18" s="7"/>
      <c r="C18" s="7"/>
      <c r="D18" s="7"/>
      <c r="E18" s="7"/>
      <c r="F18" s="7"/>
      <c r="G18" s="7"/>
      <c r="H18" s="7"/>
      <c r="I18" s="7"/>
      <c r="J18" s="7"/>
      <c r="K18" s="7"/>
      <c r="L18" s="7"/>
      <c r="M18" s="7"/>
      <c r="N18" s="7">
        <v>0</v>
      </c>
    </row>
    <row r="19" spans="1:16" s="6" customFormat="1" ht="12" hidden="1" customHeight="1">
      <c r="B19" s="15"/>
      <c r="C19" s="15"/>
      <c r="D19" s="15"/>
      <c r="E19" s="15"/>
      <c r="F19" s="15"/>
      <c r="G19" s="15"/>
      <c r="H19" s="15"/>
      <c r="I19" s="15"/>
      <c r="J19" s="15"/>
      <c r="K19" s="15"/>
      <c r="L19" s="15"/>
      <c r="M19" s="15"/>
      <c r="N19" s="15">
        <f>SUM(B19:M19)</f>
        <v>0</v>
      </c>
    </row>
    <row r="20" spans="1:16" s="6" customFormat="1" ht="13.5" thickTop="1">
      <c r="A20" s="13" t="s">
        <v>35</v>
      </c>
      <c r="B20" s="12">
        <f t="shared" ref="B20:N20" si="2">SUM(B16:B19)</f>
        <v>789538</v>
      </c>
      <c r="C20" s="12">
        <f t="shared" si="2"/>
        <v>2542832</v>
      </c>
      <c r="D20" s="12">
        <f t="shared" si="2"/>
        <v>1670912</v>
      </c>
      <c r="E20" s="12">
        <f t="shared" si="2"/>
        <v>1241006</v>
      </c>
      <c r="F20" s="12">
        <f t="shared" si="2"/>
        <v>943426</v>
      </c>
      <c r="G20" s="12">
        <f t="shared" si="2"/>
        <v>694088</v>
      </c>
      <c r="H20" s="12">
        <f t="shared" si="2"/>
        <v>1773539</v>
      </c>
      <c r="I20" s="12">
        <f t="shared" si="2"/>
        <v>1238755.4207799998</v>
      </c>
      <c r="J20" s="12">
        <f t="shared" si="2"/>
        <v>1292296.5777699999</v>
      </c>
      <c r="K20" s="12">
        <f t="shared" si="2"/>
        <v>1245676.8455400001</v>
      </c>
      <c r="L20" s="12">
        <f t="shared" si="2"/>
        <v>1172737.3767599999</v>
      </c>
      <c r="M20" s="12">
        <f t="shared" si="2"/>
        <v>726619.06070999999</v>
      </c>
      <c r="N20" s="12">
        <f t="shared" si="2"/>
        <v>15331426.28156</v>
      </c>
      <c r="O20" s="29"/>
    </row>
    <row r="21" spans="1:16" s="6" customFormat="1" ht="13.5" hidden="1" customHeight="1">
      <c r="B21" s="7"/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</row>
    <row r="22" spans="1:16" s="6" customFormat="1" ht="17.25" hidden="1" customHeight="1">
      <c r="A22" s="13" t="s">
        <v>36</v>
      </c>
      <c r="B22" s="7"/>
      <c r="C22" s="7"/>
      <c r="D22" s="7"/>
      <c r="E22" s="7"/>
      <c r="F22" s="7"/>
      <c r="G22" s="7"/>
      <c r="H22" s="7"/>
      <c r="I22" s="7"/>
      <c r="J22" s="7"/>
      <c r="K22" s="7"/>
      <c r="L22" s="7"/>
      <c r="M22" s="7"/>
    </row>
    <row r="23" spans="1:16" s="6" customFormat="1" hidden="1">
      <c r="A23" s="6" t="s">
        <v>37</v>
      </c>
      <c r="B23" s="7">
        <f t="shared" ref="B23:M26" si="3">+B5-B16</f>
        <v>717373</v>
      </c>
      <c r="C23" s="7">
        <f t="shared" si="3"/>
        <v>1675464</v>
      </c>
      <c r="D23" s="7">
        <f t="shared" si="3"/>
        <v>2337855</v>
      </c>
      <c r="E23" s="7">
        <f t="shared" si="3"/>
        <v>2482422</v>
      </c>
      <c r="F23" s="7">
        <f t="shared" si="3"/>
        <v>1693581</v>
      </c>
      <c r="G23" s="7">
        <f t="shared" si="3"/>
        <v>1289333</v>
      </c>
      <c r="H23" s="7">
        <f t="shared" si="3"/>
        <v>1880328</v>
      </c>
      <c r="I23" s="7">
        <f t="shared" si="3"/>
        <v>2174528.31213</v>
      </c>
      <c r="J23" s="7">
        <f t="shared" si="3"/>
        <v>2370989.8132700003</v>
      </c>
      <c r="K23" s="7">
        <f t="shared" si="3"/>
        <v>2057838.3564300002</v>
      </c>
      <c r="L23" s="7">
        <f t="shared" si="3"/>
        <v>1693584.2717900001</v>
      </c>
      <c r="M23" s="7">
        <f t="shared" si="3"/>
        <v>668187.09057999996</v>
      </c>
      <c r="N23" s="7">
        <f>SUM(B23:M23)</f>
        <v>21041483.844200004</v>
      </c>
      <c r="O23" s="29"/>
    </row>
    <row r="24" spans="1:16" s="6" customFormat="1" hidden="1">
      <c r="A24" s="6" t="s">
        <v>37</v>
      </c>
      <c r="B24" s="7">
        <f t="shared" si="3"/>
        <v>122669</v>
      </c>
      <c r="C24" s="7">
        <f t="shared" si="3"/>
        <v>65308</v>
      </c>
      <c r="D24" s="7">
        <f t="shared" si="3"/>
        <v>368424</v>
      </c>
      <c r="E24" s="7">
        <f t="shared" si="3"/>
        <v>265657</v>
      </c>
      <c r="F24" s="7">
        <f t="shared" si="3"/>
        <v>90828</v>
      </c>
      <c r="G24" s="7">
        <f t="shared" si="3"/>
        <v>46005</v>
      </c>
      <c r="H24" s="7">
        <f t="shared" si="3"/>
        <v>118231</v>
      </c>
      <c r="I24" s="7">
        <f t="shared" si="3"/>
        <v>171397</v>
      </c>
      <c r="J24" s="7">
        <f t="shared" si="3"/>
        <v>127523</v>
      </c>
      <c r="K24" s="7">
        <f t="shared" si="3"/>
        <v>123229</v>
      </c>
      <c r="L24" s="7">
        <f t="shared" si="3"/>
        <v>130378</v>
      </c>
      <c r="M24" s="7">
        <f t="shared" si="3"/>
        <v>105525</v>
      </c>
      <c r="N24" s="7">
        <f>SUM(B24:M24)</f>
        <v>1735174</v>
      </c>
      <c r="O24" s="29"/>
    </row>
    <row r="25" spans="1:16" s="6" customFormat="1" hidden="1">
      <c r="A25" s="6" t="s">
        <v>38</v>
      </c>
      <c r="B25" s="7">
        <f t="shared" si="3"/>
        <v>0</v>
      </c>
      <c r="C25" s="7">
        <f t="shared" si="3"/>
        <v>0</v>
      </c>
      <c r="D25" s="7">
        <f t="shared" si="3"/>
        <v>0</v>
      </c>
      <c r="E25" s="7">
        <f t="shared" si="3"/>
        <v>0</v>
      </c>
      <c r="F25" s="7">
        <f t="shared" si="3"/>
        <v>0</v>
      </c>
      <c r="G25" s="7">
        <f t="shared" si="3"/>
        <v>0</v>
      </c>
      <c r="H25" s="7">
        <f t="shared" si="3"/>
        <v>0</v>
      </c>
      <c r="I25" s="7">
        <f t="shared" si="3"/>
        <v>0</v>
      </c>
      <c r="J25" s="7">
        <f t="shared" si="3"/>
        <v>0</v>
      </c>
      <c r="K25" s="7">
        <f t="shared" si="3"/>
        <v>0</v>
      </c>
      <c r="L25" s="7">
        <f t="shared" si="3"/>
        <v>0</v>
      </c>
      <c r="M25" s="7">
        <f t="shared" si="3"/>
        <v>0</v>
      </c>
      <c r="N25" s="7">
        <f>SUM(B25:M25)</f>
        <v>0</v>
      </c>
      <c r="O25" s="29"/>
    </row>
    <row r="26" spans="1:16" s="6" customFormat="1" hidden="1">
      <c r="A26" s="6" t="s">
        <v>38</v>
      </c>
      <c r="B26" s="15">
        <f t="shared" si="3"/>
        <v>0</v>
      </c>
      <c r="C26" s="15">
        <f t="shared" si="3"/>
        <v>0</v>
      </c>
      <c r="D26" s="15">
        <f t="shared" si="3"/>
        <v>0</v>
      </c>
      <c r="E26" s="15">
        <f t="shared" si="3"/>
        <v>0</v>
      </c>
      <c r="F26" s="15">
        <f t="shared" si="3"/>
        <v>0</v>
      </c>
      <c r="G26" s="15">
        <f t="shared" si="3"/>
        <v>0</v>
      </c>
      <c r="H26" s="15">
        <f t="shared" si="3"/>
        <v>0</v>
      </c>
      <c r="I26" s="15">
        <f t="shared" si="3"/>
        <v>0</v>
      </c>
      <c r="J26" s="15">
        <f t="shared" si="3"/>
        <v>0</v>
      </c>
      <c r="K26" s="15">
        <f t="shared" si="3"/>
        <v>0</v>
      </c>
      <c r="L26" s="15">
        <f t="shared" si="3"/>
        <v>0</v>
      </c>
      <c r="M26" s="15">
        <f t="shared" si="3"/>
        <v>0</v>
      </c>
      <c r="N26" s="15">
        <f>SUM(B26:M26)</f>
        <v>0</v>
      </c>
      <c r="O26" s="29"/>
    </row>
    <row r="27" spans="1:16" s="6" customFormat="1">
      <c r="A27" s="13" t="s">
        <v>39</v>
      </c>
      <c r="B27" s="12">
        <f t="shared" ref="B27:N27" si="4">SUM(B23:B26)</f>
        <v>840042</v>
      </c>
      <c r="C27" s="12">
        <f t="shared" si="4"/>
        <v>1740772</v>
      </c>
      <c r="D27" s="12">
        <f t="shared" si="4"/>
        <v>2706279</v>
      </c>
      <c r="E27" s="12">
        <f t="shared" si="4"/>
        <v>2748079</v>
      </c>
      <c r="F27" s="12">
        <f t="shared" si="4"/>
        <v>1784409</v>
      </c>
      <c r="G27" s="12">
        <f t="shared" si="4"/>
        <v>1335338</v>
      </c>
      <c r="H27" s="12">
        <f>SUM(H23:H26)</f>
        <v>1998559</v>
      </c>
      <c r="I27" s="12">
        <f t="shared" si="4"/>
        <v>2345925.31213</v>
      </c>
      <c r="J27" s="12">
        <f t="shared" si="4"/>
        <v>2498512.8132700003</v>
      </c>
      <c r="K27" s="12">
        <f t="shared" si="4"/>
        <v>2181067.3564300002</v>
      </c>
      <c r="L27" s="12">
        <f t="shared" si="4"/>
        <v>1823962.2717900001</v>
      </c>
      <c r="M27" s="12">
        <f>SUM(M23:M26)</f>
        <v>773712.09057999996</v>
      </c>
      <c r="N27" s="12">
        <f t="shared" si="4"/>
        <v>22776657.844200004</v>
      </c>
      <c r="O27" s="29"/>
      <c r="P27" s="29">
        <f>+N27</f>
        <v>22776657.844200004</v>
      </c>
    </row>
    <row r="28" spans="1:16" s="6" customFormat="1" ht="14.25" customHeight="1">
      <c r="B28" s="73">
        <f>+B27/B9</f>
        <v>0.51549601737871109</v>
      </c>
      <c r="C28" s="73">
        <f t="shared" ref="C28:N28" si="5">+C27/C9</f>
        <v>0.40638023496102815</v>
      </c>
      <c r="D28" s="73">
        <f t="shared" si="5"/>
        <v>0.61826842831395756</v>
      </c>
      <c r="E28" s="73">
        <f t="shared" si="5"/>
        <v>0.68889958474186441</v>
      </c>
      <c r="F28" s="73">
        <f t="shared" si="5"/>
        <v>0.65414843639736275</v>
      </c>
      <c r="G28" s="73">
        <f t="shared" si="5"/>
        <v>0.65798802222894548</v>
      </c>
      <c r="H28" s="73">
        <f t="shared" si="5"/>
        <v>0.52982690269446875</v>
      </c>
      <c r="I28" s="73">
        <f t="shared" si="5"/>
        <v>0.65443075323073652</v>
      </c>
      <c r="J28" s="73">
        <f t="shared" si="5"/>
        <v>0.65909745269058195</v>
      </c>
      <c r="K28" s="73">
        <f t="shared" si="5"/>
        <v>0.63648385402567453</v>
      </c>
      <c r="L28" s="73">
        <f t="shared" si="5"/>
        <v>0.60865701795391902</v>
      </c>
      <c r="M28" s="73">
        <f t="shared" si="5"/>
        <v>0.51569421185099995</v>
      </c>
      <c r="N28" s="73">
        <f t="shared" si="5"/>
        <v>0.59768572382266827</v>
      </c>
    </row>
    <row r="29" spans="1:16" s="6" customFormat="1" ht="27" hidden="1" customHeight="1">
      <c r="A29" s="13" t="s">
        <v>40</v>
      </c>
      <c r="B29" s="7"/>
      <c r="C29" s="7"/>
      <c r="D29" s="7"/>
      <c r="E29" s="7"/>
      <c r="F29" s="7"/>
      <c r="G29" s="7"/>
      <c r="H29" s="7"/>
      <c r="I29" s="7"/>
      <c r="J29" s="7"/>
      <c r="K29" s="7"/>
      <c r="L29" s="7"/>
      <c r="M29" s="7"/>
    </row>
    <row r="30" spans="1:16" s="6" customFormat="1" hidden="1">
      <c r="A30" s="6" t="s">
        <v>93</v>
      </c>
      <c r="B30" s="49">
        <v>599577</v>
      </c>
      <c r="C30" s="53">
        <v>671079</v>
      </c>
      <c r="D30" s="53">
        <v>793811</v>
      </c>
      <c r="E30" s="53">
        <v>957117</v>
      </c>
      <c r="F30" s="53">
        <v>689782</v>
      </c>
      <c r="G30" s="53">
        <v>611497</v>
      </c>
      <c r="H30" s="53">
        <v>797690</v>
      </c>
      <c r="I30" s="53">
        <v>781375.03238776349</v>
      </c>
      <c r="J30" s="53">
        <v>800842.39032942755</v>
      </c>
      <c r="K30" s="53">
        <v>843636.89934994141</v>
      </c>
      <c r="L30" s="53">
        <v>694327.62761942751</v>
      </c>
      <c r="M30" s="53">
        <v>505922.77644506848</v>
      </c>
      <c r="N30" s="7">
        <f>SUM(B30:M30)</f>
        <v>8746657.7261316292</v>
      </c>
      <c r="O30" s="29"/>
    </row>
    <row r="31" spans="1:16" s="6" customFormat="1" hidden="1">
      <c r="A31" s="6" t="s">
        <v>42</v>
      </c>
      <c r="B31" s="49">
        <v>243836</v>
      </c>
      <c r="C31" s="53">
        <v>217946</v>
      </c>
      <c r="D31" s="53">
        <v>239113</v>
      </c>
      <c r="E31" s="53">
        <v>257850</v>
      </c>
      <c r="F31" s="53">
        <v>223271</v>
      </c>
      <c r="G31" s="53">
        <v>225464</v>
      </c>
      <c r="H31" s="53">
        <v>230373</v>
      </c>
      <c r="I31" s="53">
        <v>211238.57951980905</v>
      </c>
      <c r="J31" s="53">
        <v>216879.11284126632</v>
      </c>
      <c r="K31" s="53">
        <v>235419.63067710202</v>
      </c>
      <c r="L31" s="53">
        <v>214783.16583566315</v>
      </c>
      <c r="M31" s="53">
        <v>196662.95050247436</v>
      </c>
      <c r="N31" s="7">
        <f>SUM(B31:M31)</f>
        <v>2712836.4393763151</v>
      </c>
      <c r="O31" s="29"/>
    </row>
    <row r="32" spans="1:16" s="6" customFormat="1" ht="15" hidden="1">
      <c r="A32" s="6" t="s">
        <v>38</v>
      </c>
      <c r="B32" s="68"/>
      <c r="C32" s="68"/>
      <c r="D32" s="68"/>
      <c r="E32" s="68"/>
      <c r="F32" s="68"/>
      <c r="G32" s="68"/>
      <c r="H32" s="68"/>
      <c r="I32" s="68"/>
      <c r="J32" s="68"/>
      <c r="K32" s="68"/>
      <c r="L32" s="68"/>
      <c r="M32" s="68"/>
      <c r="N32" s="7">
        <f>SUM(B32:M32)</f>
        <v>0</v>
      </c>
      <c r="O32" s="29"/>
    </row>
    <row r="33" spans="1:16" s="6" customFormat="1" ht="13.5" hidden="1" customHeight="1">
      <c r="B33" s="15"/>
      <c r="C33" s="15"/>
      <c r="D33" s="15"/>
      <c r="E33" s="15"/>
      <c r="F33" s="15"/>
      <c r="G33" s="15"/>
      <c r="H33" s="15"/>
      <c r="I33" s="15"/>
      <c r="J33" s="15"/>
      <c r="K33" s="15"/>
      <c r="L33" s="15"/>
      <c r="M33" s="15"/>
      <c r="N33" s="15">
        <f>SUM(B33:M33)</f>
        <v>0</v>
      </c>
      <c r="O33" s="29"/>
    </row>
    <row r="34" spans="1:16" s="6" customFormat="1">
      <c r="A34" s="13" t="s">
        <v>43</v>
      </c>
      <c r="B34" s="12">
        <f t="shared" ref="B34:N34" si="6">SUM(B30:B33)</f>
        <v>843413</v>
      </c>
      <c r="C34" s="12">
        <f t="shared" si="6"/>
        <v>889025</v>
      </c>
      <c r="D34" s="12">
        <f t="shared" si="6"/>
        <v>1032924</v>
      </c>
      <c r="E34" s="12">
        <f t="shared" si="6"/>
        <v>1214967</v>
      </c>
      <c r="F34" s="12">
        <f t="shared" si="6"/>
        <v>913053</v>
      </c>
      <c r="G34" s="12">
        <f t="shared" si="6"/>
        <v>836961</v>
      </c>
      <c r="H34" s="12">
        <f t="shared" si="6"/>
        <v>1028063</v>
      </c>
      <c r="I34" s="12">
        <f t="shared" si="6"/>
        <v>992613.61190757249</v>
      </c>
      <c r="J34" s="12">
        <f t="shared" si="6"/>
        <v>1017721.5031706939</v>
      </c>
      <c r="K34" s="12">
        <f t="shared" si="6"/>
        <v>1079056.5300270435</v>
      </c>
      <c r="L34" s="12">
        <f t="shared" si="6"/>
        <v>909110.79345509061</v>
      </c>
      <c r="M34" s="12">
        <f t="shared" si="6"/>
        <v>702585.72694754286</v>
      </c>
      <c r="N34" s="12">
        <f t="shared" si="6"/>
        <v>11459494.165507944</v>
      </c>
      <c r="O34" s="29"/>
    </row>
    <row r="35" spans="1:16" s="6" customFormat="1">
      <c r="B35" s="7"/>
      <c r="C35" s="7"/>
      <c r="D35" s="7"/>
      <c r="E35" s="7"/>
      <c r="F35" s="7"/>
      <c r="G35" s="7"/>
      <c r="H35" s="7"/>
      <c r="I35" s="7"/>
      <c r="J35" s="7"/>
      <c r="K35" s="7"/>
      <c r="L35" s="7"/>
      <c r="M35" s="7"/>
    </row>
    <row r="36" spans="1:16" s="6" customFormat="1" ht="18" hidden="1" customHeight="1">
      <c r="A36" s="13" t="s">
        <v>44</v>
      </c>
      <c r="B36" s="7"/>
      <c r="C36" s="7"/>
      <c r="D36" s="7"/>
      <c r="E36" s="7"/>
      <c r="F36" s="7"/>
      <c r="G36" s="7"/>
      <c r="H36" s="7"/>
      <c r="I36" s="7"/>
      <c r="J36" s="7"/>
      <c r="K36" s="7"/>
      <c r="L36" s="7"/>
      <c r="M36" s="7"/>
    </row>
    <row r="37" spans="1:16" s="6" customFormat="1" ht="12.75" hidden="1" customHeight="1">
      <c r="A37" s="6" t="s">
        <v>45</v>
      </c>
      <c r="B37" s="53">
        <v>1312659</v>
      </c>
      <c r="C37" s="53">
        <v>1350844</v>
      </c>
      <c r="D37" s="53">
        <v>1621977</v>
      </c>
      <c r="E37" s="53">
        <v>1862721</v>
      </c>
      <c r="F37" s="53">
        <v>1464546</v>
      </c>
      <c r="G37" s="66">
        <v>1373998</v>
      </c>
      <c r="H37" s="66">
        <v>1519146</v>
      </c>
      <c r="I37" s="66">
        <v>1630408.4119075725</v>
      </c>
      <c r="J37" s="66">
        <v>1636445.0631706938</v>
      </c>
      <c r="K37" s="53">
        <v>1704354.0300270435</v>
      </c>
      <c r="L37" s="53">
        <v>1425328.2934550906</v>
      </c>
      <c r="M37" s="53">
        <v>1205462.7296161538</v>
      </c>
      <c r="N37" s="7">
        <f>SUM(B37:M37)</f>
        <v>18107889.528176554</v>
      </c>
      <c r="O37" s="29"/>
    </row>
    <row r="38" spans="1:16" s="6" customFormat="1" ht="12.75" hidden="1" customHeight="1">
      <c r="A38" s="6" t="s">
        <v>46</v>
      </c>
      <c r="B38" s="7">
        <f>-B34</f>
        <v>-843413</v>
      </c>
      <c r="C38" s="7">
        <f t="shared" ref="C38:M38" si="7">-C34</f>
        <v>-889025</v>
      </c>
      <c r="D38" s="7">
        <f t="shared" si="7"/>
        <v>-1032924</v>
      </c>
      <c r="E38" s="7">
        <f t="shared" si="7"/>
        <v>-1214967</v>
      </c>
      <c r="F38" s="7">
        <f t="shared" si="7"/>
        <v>-913053</v>
      </c>
      <c r="G38" s="7">
        <f t="shared" si="7"/>
        <v>-836961</v>
      </c>
      <c r="H38" s="7">
        <f>-H34</f>
        <v>-1028063</v>
      </c>
      <c r="I38" s="7">
        <f t="shared" si="7"/>
        <v>-992613.61190757249</v>
      </c>
      <c r="J38" s="7">
        <f t="shared" si="7"/>
        <v>-1017721.5031706939</v>
      </c>
      <c r="K38" s="7">
        <f t="shared" si="7"/>
        <v>-1079056.5300270435</v>
      </c>
      <c r="L38" s="7">
        <f t="shared" si="7"/>
        <v>-909110.79345509061</v>
      </c>
      <c r="M38" s="7">
        <f t="shared" si="7"/>
        <v>-702585.72694754286</v>
      </c>
      <c r="N38" s="7">
        <f>SUM(B38:M38)</f>
        <v>-11459494.165507942</v>
      </c>
      <c r="O38" s="29"/>
    </row>
    <row r="39" spans="1:16" s="6" customFormat="1" ht="12.75" hidden="1" customHeight="1">
      <c r="A39" s="6" t="s">
        <v>47</v>
      </c>
      <c r="B39" s="72">
        <v>-77862</v>
      </c>
      <c r="C39" s="72">
        <v>-77862</v>
      </c>
      <c r="D39" s="72">
        <v>-77862</v>
      </c>
      <c r="E39" s="72">
        <v>-77862</v>
      </c>
      <c r="F39" s="72">
        <v>-77862</v>
      </c>
      <c r="G39" s="72">
        <v>-79350</v>
      </c>
      <c r="H39" s="72">
        <v>-79350</v>
      </c>
      <c r="I39" s="72">
        <v>-85493</v>
      </c>
      <c r="J39" s="72">
        <v>-85493</v>
      </c>
      <c r="K39" s="72">
        <v>-85493</v>
      </c>
      <c r="L39" s="72">
        <v>-85493</v>
      </c>
      <c r="M39" s="72">
        <v>-85493</v>
      </c>
      <c r="N39" s="42">
        <f>SUM(B39:M39)</f>
        <v>-975475</v>
      </c>
      <c r="O39" s="88"/>
      <c r="P39" s="42"/>
    </row>
    <row r="40" spans="1:16" s="6" customFormat="1" ht="12.75" hidden="1" customHeight="1">
      <c r="A40" s="6" t="s">
        <v>124</v>
      </c>
      <c r="B40" s="53">
        <v>-8600</v>
      </c>
      <c r="C40" s="53">
        <v>-8600</v>
      </c>
      <c r="D40" s="53">
        <v>-8600</v>
      </c>
      <c r="E40" s="53">
        <v>-8600</v>
      </c>
      <c r="F40" s="53">
        <v>-8600</v>
      </c>
      <c r="G40" s="53">
        <v>-8600</v>
      </c>
      <c r="H40" s="53">
        <v>-8600</v>
      </c>
      <c r="I40" s="53">
        <v>-8893</v>
      </c>
      <c r="J40" s="53">
        <v>-8893</v>
      </c>
      <c r="K40" s="53">
        <v>-8893</v>
      </c>
      <c r="L40" s="53">
        <v>-8893</v>
      </c>
      <c r="M40" s="53">
        <v>-8893</v>
      </c>
      <c r="N40" s="42">
        <f>SUM(B40:M40)</f>
        <v>-104665</v>
      </c>
      <c r="O40" s="88"/>
      <c r="P40" s="58"/>
    </row>
    <row r="41" spans="1:16" s="6" customFormat="1" ht="12.75" hidden="1" customHeight="1">
      <c r="A41" s="6" t="s">
        <v>48</v>
      </c>
      <c r="B41" s="60">
        <v>-4150</v>
      </c>
      <c r="C41" s="60">
        <v>-4250</v>
      </c>
      <c r="D41" s="60">
        <v>-4250</v>
      </c>
      <c r="E41" s="60">
        <v>-4250</v>
      </c>
      <c r="F41" s="60">
        <v>-4250</v>
      </c>
      <c r="G41" s="60">
        <v>-10050</v>
      </c>
      <c r="H41" s="60">
        <v>-4250</v>
      </c>
      <c r="I41" s="60">
        <v>-4250</v>
      </c>
      <c r="J41" s="60">
        <v>-4550</v>
      </c>
      <c r="K41" s="60">
        <v>-4550</v>
      </c>
      <c r="L41" s="60">
        <v>-4550</v>
      </c>
      <c r="M41" s="60">
        <v>-90050</v>
      </c>
      <c r="N41" s="43">
        <f>SUM(B41:M41)</f>
        <v>-143400</v>
      </c>
      <c r="O41" s="88"/>
      <c r="P41" s="42">
        <f>SUM(N39:N41)</f>
        <v>-1223540</v>
      </c>
    </row>
    <row r="42" spans="1:16" s="6" customFormat="1">
      <c r="A42" s="13" t="s">
        <v>49</v>
      </c>
      <c r="B42" s="12">
        <f t="shared" ref="B42:N42" si="8">SUM(B37:B41)</f>
        <v>378634</v>
      </c>
      <c r="C42" s="12">
        <f t="shared" si="8"/>
        <v>371107</v>
      </c>
      <c r="D42" s="12">
        <f t="shared" si="8"/>
        <v>498341</v>
      </c>
      <c r="E42" s="12">
        <f t="shared" si="8"/>
        <v>557042</v>
      </c>
      <c r="F42" s="12">
        <f t="shared" si="8"/>
        <v>460781</v>
      </c>
      <c r="G42" s="12">
        <f t="shared" si="8"/>
        <v>439037</v>
      </c>
      <c r="H42" s="12">
        <f t="shared" si="8"/>
        <v>398883</v>
      </c>
      <c r="I42" s="12">
        <f t="shared" si="8"/>
        <v>539158.80000000005</v>
      </c>
      <c r="J42" s="12">
        <f t="shared" si="8"/>
        <v>519787.55999999994</v>
      </c>
      <c r="K42" s="12">
        <f t="shared" si="8"/>
        <v>526361.5</v>
      </c>
      <c r="L42" s="12">
        <f t="shared" si="8"/>
        <v>417281.5</v>
      </c>
      <c r="M42" s="12">
        <f t="shared" si="8"/>
        <v>318441.00266861089</v>
      </c>
      <c r="N42" s="12">
        <f t="shared" si="8"/>
        <v>5424855.3626686111</v>
      </c>
      <c r="O42" s="29"/>
    </row>
    <row r="43" spans="1:16">
      <c r="A43" s="1"/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2"/>
      <c r="N43" s="12"/>
      <c r="O43" s="6"/>
    </row>
    <row r="44" spans="1:16" ht="18" hidden="1" customHeight="1">
      <c r="A44" s="13" t="s">
        <v>50</v>
      </c>
      <c r="B44" s="53">
        <v>313331</v>
      </c>
      <c r="C44" s="53">
        <v>400498</v>
      </c>
      <c r="D44" s="53">
        <v>331729</v>
      </c>
      <c r="E44" s="53">
        <v>309099</v>
      </c>
      <c r="F44" s="53">
        <v>349633</v>
      </c>
      <c r="G44" s="53">
        <v>248256</v>
      </c>
      <c r="H44" s="53">
        <v>313763</v>
      </c>
      <c r="I44" s="53">
        <v>344745</v>
      </c>
      <c r="J44" s="53">
        <v>339892</v>
      </c>
      <c r="K44" s="53">
        <v>384523</v>
      </c>
      <c r="L44" s="53">
        <v>298207</v>
      </c>
      <c r="M44" s="53">
        <v>669637</v>
      </c>
      <c r="N44" s="12">
        <f>SUM(B44:M44)</f>
        <v>4303313</v>
      </c>
      <c r="O44" s="29"/>
      <c r="P44" s="25"/>
    </row>
    <row r="45" spans="1:16" hidden="1">
      <c r="A45" s="6" t="s">
        <v>107</v>
      </c>
      <c r="B45" s="22"/>
      <c r="C45" s="22"/>
      <c r="D45" s="22"/>
      <c r="E45" s="22"/>
      <c r="F45" s="22"/>
      <c r="G45" s="22"/>
      <c r="H45" s="22"/>
      <c r="I45" s="22"/>
      <c r="J45" s="22"/>
      <c r="K45" s="22"/>
      <c r="L45" s="22"/>
      <c r="M45" s="22"/>
      <c r="N45" s="22">
        <f>SUM(B45:M45)</f>
        <v>0</v>
      </c>
      <c r="O45" s="29"/>
    </row>
    <row r="46" spans="1:16">
      <c r="A46" s="1" t="s">
        <v>50</v>
      </c>
      <c r="B46" s="12">
        <f>SUM(B44:B45)</f>
        <v>313331</v>
      </c>
      <c r="C46" s="12">
        <f>SUM(C44:C45)</f>
        <v>400498</v>
      </c>
      <c r="D46" s="12">
        <f t="shared" ref="D46:N46" si="9">SUM(D44:D45)</f>
        <v>331729</v>
      </c>
      <c r="E46" s="12">
        <f t="shared" si="9"/>
        <v>309099</v>
      </c>
      <c r="F46" s="12">
        <f t="shared" si="9"/>
        <v>349633</v>
      </c>
      <c r="G46" s="12">
        <f t="shared" si="9"/>
        <v>248256</v>
      </c>
      <c r="H46" s="12">
        <f t="shared" si="9"/>
        <v>313763</v>
      </c>
      <c r="I46" s="12">
        <f t="shared" si="9"/>
        <v>344745</v>
      </c>
      <c r="J46" s="12">
        <f t="shared" si="9"/>
        <v>339892</v>
      </c>
      <c r="K46" s="12">
        <f t="shared" si="9"/>
        <v>384523</v>
      </c>
      <c r="L46" s="12">
        <f t="shared" si="9"/>
        <v>298207</v>
      </c>
      <c r="M46" s="12">
        <f t="shared" si="9"/>
        <v>669637</v>
      </c>
      <c r="N46" s="12">
        <f t="shared" si="9"/>
        <v>4303313</v>
      </c>
      <c r="O46" s="29"/>
    </row>
    <row r="47" spans="1:16">
      <c r="B47" s="7"/>
      <c r="C47" s="7"/>
      <c r="D47" s="7"/>
      <c r="E47" s="7"/>
      <c r="F47" s="7"/>
      <c r="G47" s="7"/>
      <c r="H47" s="7"/>
      <c r="I47" s="7"/>
      <c r="J47" s="7"/>
      <c r="K47" s="6"/>
      <c r="L47" s="6"/>
      <c r="M47" s="6"/>
      <c r="N47" s="6"/>
      <c r="O47" s="6"/>
    </row>
    <row r="48" spans="1:16">
      <c r="A48" s="13" t="s">
        <v>52</v>
      </c>
      <c r="B48" s="19">
        <f t="shared" ref="B48:N48" si="10">+B20+B34+B42+B46</f>
        <v>2324916</v>
      </c>
      <c r="C48" s="19">
        <f t="shared" si="10"/>
        <v>4203462</v>
      </c>
      <c r="D48" s="19">
        <f t="shared" si="10"/>
        <v>3533906</v>
      </c>
      <c r="E48" s="19">
        <f t="shared" si="10"/>
        <v>3322114</v>
      </c>
      <c r="F48" s="19">
        <f>+F20+F34+F42+F46</f>
        <v>2666893</v>
      </c>
      <c r="G48" s="19">
        <f t="shared" si="10"/>
        <v>2218342</v>
      </c>
      <c r="H48" s="19">
        <f t="shared" si="10"/>
        <v>3514248</v>
      </c>
      <c r="I48" s="19">
        <f t="shared" si="10"/>
        <v>3115272.8326875726</v>
      </c>
      <c r="J48" s="19">
        <f t="shared" si="10"/>
        <v>3169697.6409406937</v>
      </c>
      <c r="K48" s="19">
        <f t="shared" si="10"/>
        <v>3235617.8755670437</v>
      </c>
      <c r="L48" s="19">
        <f t="shared" si="10"/>
        <v>2797336.6702150907</v>
      </c>
      <c r="M48" s="19">
        <f t="shared" si="10"/>
        <v>2417282.7903261539</v>
      </c>
      <c r="N48" s="19">
        <f t="shared" si="10"/>
        <v>36519088.809736557</v>
      </c>
      <c r="O48" s="29"/>
      <c r="P48" s="25"/>
    </row>
    <row r="49" spans="1:26">
      <c r="B49" s="7"/>
      <c r="C49" s="7"/>
      <c r="D49" s="7"/>
      <c r="E49" s="7"/>
      <c r="F49" s="7"/>
      <c r="G49" s="7"/>
      <c r="H49" s="7"/>
      <c r="I49" s="7"/>
      <c r="J49" s="7"/>
      <c r="K49" s="6"/>
      <c r="L49" s="6"/>
      <c r="M49" s="6"/>
      <c r="N49" s="6"/>
      <c r="O49" s="6"/>
    </row>
    <row r="50" spans="1:26">
      <c r="A50" s="1" t="s">
        <v>53</v>
      </c>
      <c r="B50" s="12">
        <f t="shared" ref="B50:M50" si="11">+B13-B48</f>
        <v>-693145</v>
      </c>
      <c r="C50" s="12">
        <f t="shared" si="11"/>
        <v>80372</v>
      </c>
      <c r="D50" s="12">
        <f t="shared" si="11"/>
        <v>843693.40000000037</v>
      </c>
      <c r="E50" s="12">
        <f t="shared" si="11"/>
        <v>666744</v>
      </c>
      <c r="F50" s="12">
        <f>+F13-F48</f>
        <v>61167</v>
      </c>
      <c r="G50" s="12">
        <f t="shared" si="11"/>
        <v>-185719</v>
      </c>
      <c r="H50" s="12">
        <f>+H13-H48</f>
        <v>258217</v>
      </c>
      <c r="I50" s="12">
        <f t="shared" si="11"/>
        <v>469407.90022242721</v>
      </c>
      <c r="J50" s="12">
        <f t="shared" si="11"/>
        <v>621111.75009930646</v>
      </c>
      <c r="K50" s="12">
        <f t="shared" si="11"/>
        <v>191126.32640295662</v>
      </c>
      <c r="L50" s="12">
        <f t="shared" si="11"/>
        <v>199362.9783349093</v>
      </c>
      <c r="M50" s="12">
        <f t="shared" si="11"/>
        <v>-916951.63903615391</v>
      </c>
      <c r="N50" s="12">
        <f>SUM(B50:M50)</f>
        <v>1595386.7160234461</v>
      </c>
      <c r="O50" s="7"/>
      <c r="P50" s="25">
        <f>+N50</f>
        <v>1595386.7160234461</v>
      </c>
    </row>
    <row r="51" spans="1:26" ht="7.5" customHeight="1">
      <c r="B51" s="7"/>
      <c r="C51" s="7"/>
      <c r="D51" s="7"/>
      <c r="E51" s="7"/>
      <c r="F51" s="7"/>
      <c r="G51" s="7"/>
      <c r="H51" s="7"/>
      <c r="I51" s="7"/>
      <c r="J51" s="7"/>
      <c r="K51" s="6"/>
      <c r="L51" s="6"/>
      <c r="M51" s="6"/>
      <c r="N51" s="6"/>
      <c r="O51" s="6"/>
    </row>
    <row r="52" spans="1:26">
      <c r="A52" s="1" t="s">
        <v>54</v>
      </c>
      <c r="B52" s="7"/>
      <c r="C52" s="7"/>
      <c r="D52" s="7"/>
      <c r="E52" s="7"/>
      <c r="F52" s="7"/>
      <c r="G52" s="7"/>
      <c r="H52" s="7"/>
      <c r="I52" s="7"/>
      <c r="J52" s="7"/>
      <c r="K52" s="6"/>
      <c r="L52" s="6"/>
      <c r="M52" s="6"/>
      <c r="N52" s="6"/>
      <c r="O52" s="6"/>
      <c r="P52" s="2">
        <f>SUM(P41:P50)</f>
        <v>371846.71602344606</v>
      </c>
    </row>
    <row r="53" spans="1:26" s="6" customFormat="1">
      <c r="A53" s="6" t="s">
        <v>55</v>
      </c>
      <c r="B53" s="10">
        <v>17969</v>
      </c>
      <c r="C53" s="10">
        <v>47133.55</v>
      </c>
      <c r="D53" s="10">
        <v>79271.41</v>
      </c>
      <c r="E53" s="10">
        <v>20893.52</v>
      </c>
      <c r="F53" s="10">
        <v>0</v>
      </c>
      <c r="G53" s="10">
        <v>29828</v>
      </c>
      <c r="H53" s="23">
        <v>16962</v>
      </c>
      <c r="I53" s="10">
        <v>20000</v>
      </c>
      <c r="J53" s="10">
        <v>10000</v>
      </c>
      <c r="K53" s="10">
        <v>110000</v>
      </c>
      <c r="L53" s="10">
        <v>10000</v>
      </c>
      <c r="M53" s="10">
        <v>10000</v>
      </c>
      <c r="N53" s="10">
        <f>SUM(B53:M53)</f>
        <v>372057.48</v>
      </c>
      <c r="O53" s="10"/>
      <c r="P53" s="40"/>
      <c r="Z53" s="40"/>
    </row>
    <row r="54" spans="1:26" s="6" customFormat="1">
      <c r="A54" s="6" t="s">
        <v>96</v>
      </c>
      <c r="B54" s="10"/>
      <c r="C54" s="10"/>
      <c r="D54" s="10"/>
      <c r="E54" s="10"/>
      <c r="F54" s="10">
        <v>90000</v>
      </c>
      <c r="G54" s="10"/>
      <c r="H54" s="10"/>
      <c r="I54" s="10"/>
      <c r="J54" s="10"/>
      <c r="K54" s="10"/>
      <c r="L54" s="10"/>
      <c r="M54" s="10"/>
      <c r="N54" s="10">
        <f>SUM(B54:M54)</f>
        <v>90000</v>
      </c>
    </row>
    <row r="55" spans="1:26" s="6" customFormat="1">
      <c r="A55" s="6" t="s">
        <v>111</v>
      </c>
      <c r="B55" s="10">
        <v>425857</v>
      </c>
      <c r="C55" s="10"/>
      <c r="D55" s="10"/>
      <c r="E55" s="10"/>
      <c r="F55" s="10"/>
      <c r="G55" s="10"/>
      <c r="H55" s="10"/>
      <c r="I55" s="10"/>
      <c r="J55" s="10"/>
      <c r="K55" s="10"/>
      <c r="L55" s="10">
        <v>0</v>
      </c>
      <c r="M55" s="56"/>
      <c r="N55" s="10">
        <f>SUM(B55:M55)</f>
        <v>425857</v>
      </c>
    </row>
    <row r="56" spans="1:26" s="6" customFormat="1">
      <c r="A56" s="37" t="s">
        <v>58</v>
      </c>
      <c r="B56" s="7">
        <v>-14346</v>
      </c>
      <c r="C56" s="7">
        <v>-15057</v>
      </c>
      <c r="D56" s="7">
        <v>-19542</v>
      </c>
      <c r="E56" s="7">
        <v>-13668</v>
      </c>
      <c r="F56" s="7">
        <v>-12737</v>
      </c>
      <c r="G56" s="7">
        <v>-77693</v>
      </c>
      <c r="H56" s="7">
        <f>-12580-367</f>
        <v>-12947</v>
      </c>
      <c r="I56" s="7">
        <v>-25000</v>
      </c>
      <c r="J56" s="7">
        <v>-20000</v>
      </c>
      <c r="K56" s="7">
        <v>-25000</v>
      </c>
      <c r="L56" s="7">
        <v>-25000</v>
      </c>
      <c r="M56" s="7">
        <v>-20000</v>
      </c>
      <c r="N56" s="7">
        <f>SUM(B56:M56)</f>
        <v>-280990</v>
      </c>
      <c r="O56" s="7"/>
    </row>
    <row r="57" spans="1:26" s="6" customFormat="1">
      <c r="A57" s="6" t="s">
        <v>134</v>
      </c>
      <c r="B57" s="22">
        <v>-29008</v>
      </c>
      <c r="C57" s="22">
        <v>209614</v>
      </c>
      <c r="D57" s="22">
        <v>-83076</v>
      </c>
      <c r="E57" s="22">
        <v>-215833</v>
      </c>
      <c r="F57" s="22">
        <v>-198902</v>
      </c>
      <c r="G57" s="22">
        <v>-207006</v>
      </c>
      <c r="H57" s="22">
        <v>115087</v>
      </c>
      <c r="I57" s="22">
        <v>-25000</v>
      </c>
      <c r="J57" s="22">
        <v>-25000</v>
      </c>
      <c r="K57" s="22">
        <v>-25000</v>
      </c>
      <c r="L57" s="22">
        <v>-25000</v>
      </c>
      <c r="M57" s="22">
        <v>-25000</v>
      </c>
      <c r="N57" s="22">
        <f>SUM(B57:M57)</f>
        <v>-534124</v>
      </c>
      <c r="O57" s="56"/>
    </row>
    <row r="58" spans="1:26" s="6" customFormat="1">
      <c r="A58" s="13" t="s">
        <v>60</v>
      </c>
      <c r="B58" s="19">
        <f t="shared" ref="B58:N58" si="12">SUM(B53:B57)</f>
        <v>400472</v>
      </c>
      <c r="C58" s="19">
        <f t="shared" si="12"/>
        <v>241690.55</v>
      </c>
      <c r="D58" s="19">
        <f t="shared" si="12"/>
        <v>-23346.589999999997</v>
      </c>
      <c r="E58" s="19">
        <f t="shared" si="12"/>
        <v>-208607.48</v>
      </c>
      <c r="F58" s="19">
        <f t="shared" si="12"/>
        <v>-121639</v>
      </c>
      <c r="G58" s="19">
        <f t="shared" si="12"/>
        <v>-254871</v>
      </c>
      <c r="H58" s="19">
        <f>SUM(H53:H57)</f>
        <v>119102</v>
      </c>
      <c r="I58" s="19">
        <f t="shared" si="12"/>
        <v>-30000</v>
      </c>
      <c r="J58" s="19">
        <f t="shared" si="12"/>
        <v>-35000</v>
      </c>
      <c r="K58" s="19">
        <f t="shared" si="12"/>
        <v>60000</v>
      </c>
      <c r="L58" s="19">
        <f t="shared" si="12"/>
        <v>-40000</v>
      </c>
      <c r="M58" s="19">
        <f t="shared" si="12"/>
        <v>-35000</v>
      </c>
      <c r="N58" s="19">
        <f t="shared" si="12"/>
        <v>72800.479999999981</v>
      </c>
      <c r="O58" s="29"/>
    </row>
    <row r="59" spans="1:26">
      <c r="B59" s="7"/>
      <c r="C59" s="7"/>
      <c r="D59" s="7"/>
      <c r="E59" s="7"/>
      <c r="F59" s="7"/>
      <c r="G59" s="7"/>
      <c r="H59" s="7"/>
      <c r="I59" s="7"/>
      <c r="J59" s="7"/>
      <c r="K59" s="7"/>
      <c r="L59" s="7"/>
      <c r="M59" s="7"/>
      <c r="N59" s="7"/>
      <c r="O59" s="6"/>
    </row>
    <row r="60" spans="1:26">
      <c r="A60" s="1" t="s">
        <v>61</v>
      </c>
      <c r="B60" s="12">
        <v>13598947</v>
      </c>
      <c r="C60" s="7"/>
      <c r="D60" s="7"/>
      <c r="E60" s="7"/>
      <c r="F60" s="7"/>
      <c r="G60" s="7"/>
      <c r="H60" s="7" t="s">
        <v>38</v>
      </c>
      <c r="I60" s="7"/>
      <c r="J60" s="7"/>
      <c r="K60" s="6"/>
      <c r="L60" s="6"/>
      <c r="M60" s="6"/>
      <c r="N60" s="6"/>
      <c r="O60" s="6"/>
    </row>
    <row r="61" spans="1:26">
      <c r="A61" s="13" t="s">
        <v>62</v>
      </c>
      <c r="B61" s="19">
        <f t="shared" ref="B61:N61" si="13">+B58+B48</f>
        <v>2725388</v>
      </c>
      <c r="C61" s="19">
        <f t="shared" si="13"/>
        <v>4445152.55</v>
      </c>
      <c r="D61" s="19">
        <f t="shared" si="13"/>
        <v>3510559.41</v>
      </c>
      <c r="E61" s="19">
        <f t="shared" si="13"/>
        <v>3113506.52</v>
      </c>
      <c r="F61" s="19">
        <f>+F58+F48</f>
        <v>2545254</v>
      </c>
      <c r="G61" s="19">
        <f t="shared" si="13"/>
        <v>1963471</v>
      </c>
      <c r="H61" s="19">
        <f t="shared" si="13"/>
        <v>3633350</v>
      </c>
      <c r="I61" s="19">
        <f t="shared" si="13"/>
        <v>3085272.8326875726</v>
      </c>
      <c r="J61" s="19">
        <f t="shared" si="13"/>
        <v>3134697.6409406937</v>
      </c>
      <c r="K61" s="19">
        <f t="shared" si="13"/>
        <v>3295617.8755670437</v>
      </c>
      <c r="L61" s="19">
        <f t="shared" si="13"/>
        <v>2757336.6702150907</v>
      </c>
      <c r="M61" s="19">
        <f t="shared" si="13"/>
        <v>2382282.7903261539</v>
      </c>
      <c r="N61" s="19">
        <f t="shared" si="13"/>
        <v>36591889.289736554</v>
      </c>
      <c r="O61" s="29"/>
    </row>
    <row r="62" spans="1:26" ht="13.5" thickBot="1">
      <c r="A62" s="13" t="s">
        <v>63</v>
      </c>
      <c r="B62" s="14">
        <f t="shared" ref="B62:N62" si="14">+B13-B61</f>
        <v>-1093617</v>
      </c>
      <c r="C62" s="14">
        <f t="shared" si="14"/>
        <v>-161318.54999999981</v>
      </c>
      <c r="D62" s="14">
        <f t="shared" si="14"/>
        <v>867039.99000000022</v>
      </c>
      <c r="E62" s="14">
        <f t="shared" si="14"/>
        <v>875351.48</v>
      </c>
      <c r="F62" s="14">
        <f>+F13-F61</f>
        <v>182806</v>
      </c>
      <c r="G62" s="14">
        <f t="shared" si="14"/>
        <v>69152</v>
      </c>
      <c r="H62" s="14">
        <f t="shared" si="14"/>
        <v>139115</v>
      </c>
      <c r="I62" s="14">
        <f t="shared" si="14"/>
        <v>499407.90022242721</v>
      </c>
      <c r="J62" s="14">
        <f t="shared" si="14"/>
        <v>656111.75009930646</v>
      </c>
      <c r="K62" s="14">
        <f t="shared" si="14"/>
        <v>131126.32640295662</v>
      </c>
      <c r="L62" s="14">
        <f t="shared" si="14"/>
        <v>239362.9783349093</v>
      </c>
      <c r="M62" s="14">
        <f t="shared" si="14"/>
        <v>-881951.63903615391</v>
      </c>
      <c r="N62" s="14">
        <f t="shared" si="14"/>
        <v>1522586.2360234484</v>
      </c>
      <c r="O62" s="29"/>
    </row>
    <row r="63" spans="1:26" s="6" customFormat="1" ht="13.5" thickTop="1">
      <c r="A63" s="13" t="s">
        <v>64</v>
      </c>
      <c r="B63" s="12">
        <f>+B62</f>
        <v>-1093617</v>
      </c>
      <c r="C63" s="12">
        <f t="shared" ref="C63:M63" si="15">B63+C62</f>
        <v>-1254935.5499999998</v>
      </c>
      <c r="D63" s="12">
        <f t="shared" si="15"/>
        <v>-387895.55999999959</v>
      </c>
      <c r="E63" s="12">
        <f t="shared" si="15"/>
        <v>487455.92000000039</v>
      </c>
      <c r="F63" s="12">
        <f t="shared" si="15"/>
        <v>670261.92000000039</v>
      </c>
      <c r="G63" s="12">
        <f t="shared" si="15"/>
        <v>739413.92000000039</v>
      </c>
      <c r="H63" s="12">
        <f t="shared" si="15"/>
        <v>878528.92000000039</v>
      </c>
      <c r="I63" s="12">
        <f t="shared" si="15"/>
        <v>1377936.8202224276</v>
      </c>
      <c r="J63" s="12">
        <f t="shared" si="15"/>
        <v>2034048.5703217341</v>
      </c>
      <c r="K63" s="12">
        <f t="shared" si="15"/>
        <v>2165174.8967246907</v>
      </c>
      <c r="L63" s="12">
        <f t="shared" si="15"/>
        <v>2404537.8750596</v>
      </c>
      <c r="M63" s="12">
        <f t="shared" si="15"/>
        <v>1522586.2360234461</v>
      </c>
      <c r="N63" s="12"/>
    </row>
    <row r="64" spans="1:26">
      <c r="A64" s="13" t="s">
        <v>65</v>
      </c>
      <c r="B64" s="12">
        <f t="shared" ref="B64:M64" si="16">+$B$60+B63</f>
        <v>12505330</v>
      </c>
      <c r="C64" s="12">
        <f t="shared" si="16"/>
        <v>12344011.449999999</v>
      </c>
      <c r="D64" s="12">
        <f t="shared" si="16"/>
        <v>13211051.440000001</v>
      </c>
      <c r="E64" s="12">
        <f t="shared" si="16"/>
        <v>14086402.92</v>
      </c>
      <c r="F64" s="12">
        <f>+$B$60+F63</f>
        <v>14269208.92</v>
      </c>
      <c r="G64" s="12">
        <f t="shared" si="16"/>
        <v>14338360.92</v>
      </c>
      <c r="H64" s="12">
        <f t="shared" si="16"/>
        <v>14477475.92</v>
      </c>
      <c r="I64" s="12">
        <f t="shared" si="16"/>
        <v>14976883.820222428</v>
      </c>
      <c r="J64" s="12">
        <f t="shared" si="16"/>
        <v>15632995.570321735</v>
      </c>
      <c r="K64" s="12">
        <f t="shared" si="16"/>
        <v>15764121.89672469</v>
      </c>
      <c r="L64" s="12">
        <f t="shared" si="16"/>
        <v>16003484.875059601</v>
      </c>
      <c r="M64" s="12">
        <f t="shared" si="16"/>
        <v>15121533.236023447</v>
      </c>
      <c r="N64" s="12"/>
      <c r="O64" s="6"/>
    </row>
    <row r="65" spans="1:15">
      <c r="A65" s="6"/>
      <c r="B65" s="7"/>
      <c r="C65" s="7"/>
      <c r="D65" s="7"/>
      <c r="E65" s="7"/>
      <c r="F65" s="7"/>
      <c r="G65" s="7"/>
      <c r="H65" s="7"/>
      <c r="I65" s="7"/>
      <c r="J65" s="7"/>
      <c r="K65" s="6"/>
      <c r="L65" s="6"/>
      <c r="M65" s="6"/>
      <c r="N65" s="6"/>
      <c r="O65" s="6"/>
    </row>
    <row r="66" spans="1:15" s="6" customFormat="1">
      <c r="A66" s="17" t="s">
        <v>126</v>
      </c>
      <c r="B66" s="18"/>
      <c r="C66" s="18"/>
      <c r="D66" s="18"/>
      <c r="E66" s="18"/>
      <c r="F66" s="18"/>
      <c r="G66" s="18"/>
      <c r="H66" s="18"/>
      <c r="I66" s="18"/>
      <c r="J66" s="18"/>
      <c r="K66" s="18"/>
      <c r="L66" s="18"/>
      <c r="M66" s="18"/>
      <c r="N66" s="18"/>
    </row>
    <row r="67" spans="1:15" ht="13.5" thickBot="1">
      <c r="A67" s="13" t="s">
        <v>67</v>
      </c>
      <c r="B67" s="30">
        <v>-1263474.9897115808</v>
      </c>
      <c r="C67" s="30">
        <v>-102010.94887173455</v>
      </c>
      <c r="D67" s="30">
        <v>854641.48144806735</v>
      </c>
      <c r="E67" s="30">
        <v>550109.68371886434</v>
      </c>
      <c r="F67" s="30">
        <v>-58453.035503471736</v>
      </c>
      <c r="G67" s="30">
        <v>-6981.7485968954861</v>
      </c>
      <c r="H67" s="30">
        <v>168524.42741065565</v>
      </c>
      <c r="I67" s="14">
        <v>499407.90022242721</v>
      </c>
      <c r="J67" s="14">
        <v>656111.75009930646</v>
      </c>
      <c r="K67" s="14">
        <v>131126.32640295662</v>
      </c>
      <c r="L67" s="14">
        <v>239362.9783349093</v>
      </c>
      <c r="M67" s="14">
        <v>-881951.63903615391</v>
      </c>
      <c r="N67" s="16"/>
      <c r="O67" s="6"/>
    </row>
    <row r="68" spans="1:15" ht="13.5" thickTop="1">
      <c r="A68" s="13" t="s">
        <v>64</v>
      </c>
      <c r="B68" s="32">
        <f>+B67</f>
        <v>-1263474.9897115808</v>
      </c>
      <c r="C68" s="32">
        <f>+B68+C67</f>
        <v>-1365485.9385833154</v>
      </c>
      <c r="D68" s="32">
        <f t="shared" ref="D68:M68" si="17">+C68+D67</f>
        <v>-510844.457135248</v>
      </c>
      <c r="E68" s="32">
        <f t="shared" si="17"/>
        <v>39265.226583616342</v>
      </c>
      <c r="F68" s="32">
        <f t="shared" si="17"/>
        <v>-19187.808919855393</v>
      </c>
      <c r="G68" s="32">
        <f t="shared" si="17"/>
        <v>-26169.55751675088</v>
      </c>
      <c r="H68" s="32">
        <f t="shared" si="17"/>
        <v>142354.86989390478</v>
      </c>
      <c r="I68" s="12">
        <f t="shared" si="17"/>
        <v>641762.77011633199</v>
      </c>
      <c r="J68" s="12">
        <f t="shared" si="17"/>
        <v>1297874.5202156384</v>
      </c>
      <c r="K68" s="12">
        <f t="shared" si="17"/>
        <v>1429000.8466185951</v>
      </c>
      <c r="L68" s="12">
        <f t="shared" si="17"/>
        <v>1668363.8249535044</v>
      </c>
      <c r="M68" s="12">
        <f t="shared" si="17"/>
        <v>786412.18591735046</v>
      </c>
      <c r="N68" s="16"/>
      <c r="O68" s="6"/>
    </row>
    <row r="69" spans="1:15">
      <c r="A69" s="13" t="s">
        <v>65</v>
      </c>
      <c r="B69" s="12">
        <v>12917512</v>
      </c>
      <c r="C69" s="12">
        <v>12793700</v>
      </c>
      <c r="D69" s="12">
        <v>13941855</v>
      </c>
      <c r="E69" s="12">
        <v>14525011</v>
      </c>
      <c r="F69" s="12">
        <v>14399159</v>
      </c>
      <c r="G69" s="12">
        <v>14361469</v>
      </c>
      <c r="H69" s="12">
        <v>14462138</v>
      </c>
      <c r="I69" s="12">
        <v>15244556</v>
      </c>
      <c r="J69" s="12">
        <v>15579898</v>
      </c>
      <c r="K69" s="12">
        <v>15948341</v>
      </c>
      <c r="L69" s="12">
        <v>16058562</v>
      </c>
      <c r="M69" s="12">
        <v>14998982</v>
      </c>
      <c r="N69" s="12"/>
      <c r="O69" s="6"/>
    </row>
    <row r="70" spans="1:15">
      <c r="A70" s="6"/>
      <c r="B70" s="6"/>
      <c r="C70" s="6"/>
      <c r="E70" s="6"/>
      <c r="F70" s="6"/>
      <c r="H70" s="6"/>
      <c r="I70" s="6"/>
      <c r="J70" s="6"/>
      <c r="K70" s="6"/>
      <c r="L70" s="6"/>
      <c r="M70" s="6"/>
      <c r="N70" s="6"/>
      <c r="O70" s="6"/>
    </row>
    <row r="71" spans="1:15">
      <c r="A71" s="24" t="s">
        <v>68</v>
      </c>
      <c r="B71" s="18"/>
      <c r="C71" s="18"/>
      <c r="D71" s="18"/>
      <c r="E71" s="18"/>
      <c r="F71" s="18"/>
      <c r="G71" s="18"/>
      <c r="H71" s="18"/>
      <c r="I71" s="18"/>
      <c r="J71" s="18"/>
      <c r="K71" s="18"/>
      <c r="L71" s="18"/>
      <c r="M71" s="18"/>
      <c r="N71" s="18"/>
      <c r="O71" s="6"/>
    </row>
    <row r="72" spans="1:15">
      <c r="A72" s="13" t="s">
        <v>63</v>
      </c>
      <c r="B72" s="31">
        <f t="shared" ref="B72:N74" si="18">+B62-B67</f>
        <v>169857.9897115808</v>
      </c>
      <c r="C72" s="31">
        <f t="shared" si="18"/>
        <v>-59307.601128265262</v>
      </c>
      <c r="D72" s="31">
        <f t="shared" si="18"/>
        <v>12398.508551932871</v>
      </c>
      <c r="E72" s="31">
        <f t="shared" si="18"/>
        <v>325241.79628113564</v>
      </c>
      <c r="F72" s="31">
        <f t="shared" si="18"/>
        <v>241259.03550347174</v>
      </c>
      <c r="G72" s="31">
        <f t="shared" si="18"/>
        <v>76133.748596895486</v>
      </c>
      <c r="H72" s="31">
        <f t="shared" si="18"/>
        <v>-29409.427410655655</v>
      </c>
      <c r="I72" s="16">
        <f t="shared" si="18"/>
        <v>0</v>
      </c>
      <c r="J72" s="16">
        <f t="shared" si="18"/>
        <v>0</v>
      </c>
      <c r="K72" s="16">
        <f t="shared" si="18"/>
        <v>0</v>
      </c>
      <c r="L72" s="16">
        <f t="shared" si="18"/>
        <v>0</v>
      </c>
      <c r="M72" s="16">
        <f t="shared" si="18"/>
        <v>0</v>
      </c>
      <c r="N72" s="6"/>
      <c r="O72" s="6"/>
    </row>
    <row r="73" spans="1:15" s="6" customFormat="1">
      <c r="A73" s="13" t="s">
        <v>64</v>
      </c>
      <c r="B73" s="31">
        <f t="shared" si="18"/>
        <v>169857.9897115808</v>
      </c>
      <c r="C73" s="31">
        <f t="shared" si="18"/>
        <v>110550.38858331554</v>
      </c>
      <c r="D73" s="31">
        <f t="shared" si="18"/>
        <v>122948.89713524841</v>
      </c>
      <c r="E73" s="31">
        <f t="shared" si="18"/>
        <v>448190.69341638405</v>
      </c>
      <c r="F73" s="31">
        <f t="shared" si="18"/>
        <v>689449.72891985578</v>
      </c>
      <c r="G73" s="31">
        <f t="shared" si="18"/>
        <v>765583.47751675127</v>
      </c>
      <c r="H73" s="31">
        <f t="shared" si="18"/>
        <v>736174.05010609562</v>
      </c>
      <c r="I73" s="16">
        <f t="shared" si="18"/>
        <v>736174.05010609562</v>
      </c>
      <c r="J73" s="16">
        <f t="shared" si="18"/>
        <v>736174.05010609562</v>
      </c>
      <c r="K73" s="16">
        <f t="shared" si="18"/>
        <v>736174.05010609562</v>
      </c>
      <c r="L73" s="16">
        <f t="shared" si="18"/>
        <v>736174.05010609562</v>
      </c>
      <c r="M73" s="16">
        <f t="shared" si="18"/>
        <v>736174.05010609562</v>
      </c>
      <c r="N73" s="16">
        <f t="shared" si="18"/>
        <v>0</v>
      </c>
    </row>
    <row r="74" spans="1:15">
      <c r="A74" s="1" t="s">
        <v>65</v>
      </c>
      <c r="B74" s="16">
        <f t="shared" si="18"/>
        <v>-412182</v>
      </c>
      <c r="C74" s="16">
        <f t="shared" si="18"/>
        <v>-449688.55000000075</v>
      </c>
      <c r="D74" s="16">
        <f t="shared" si="18"/>
        <v>-730803.55999999866</v>
      </c>
      <c r="E74" s="16">
        <f t="shared" si="18"/>
        <v>-438608.08000000007</v>
      </c>
      <c r="F74" s="16">
        <f t="shared" si="18"/>
        <v>-129950.08000000007</v>
      </c>
      <c r="G74" s="16">
        <f t="shared" si="18"/>
        <v>-23108.080000000075</v>
      </c>
      <c r="H74" s="16">
        <f t="shared" si="18"/>
        <v>15337.919999999925</v>
      </c>
      <c r="I74" s="16">
        <f t="shared" si="18"/>
        <v>-267672.17977757193</v>
      </c>
      <c r="J74" s="16">
        <f t="shared" si="18"/>
        <v>53097.570321734995</v>
      </c>
      <c r="K74" s="16">
        <f t="shared" si="18"/>
        <v>-184219.10327531025</v>
      </c>
      <c r="L74" s="16">
        <f t="shared" si="18"/>
        <v>-55077.124940399081</v>
      </c>
      <c r="M74" s="16">
        <f t="shared" si="18"/>
        <v>122551.23602344655</v>
      </c>
      <c r="N74" s="16"/>
      <c r="O74" s="6"/>
    </row>
    <row r="75" spans="1:15">
      <c r="B75" s="6"/>
      <c r="C75" s="6"/>
      <c r="E75" s="6"/>
      <c r="F75" s="6"/>
      <c r="H75" s="6"/>
      <c r="I75" s="6"/>
      <c r="J75" s="6"/>
      <c r="K75" s="6"/>
      <c r="L75" s="6"/>
      <c r="M75" s="6"/>
      <c r="N75" s="6"/>
    </row>
    <row r="76" spans="1:15">
      <c r="A76" s="1"/>
      <c r="B76" s="4"/>
      <c r="C76" s="8"/>
      <c r="D76" s="8"/>
      <c r="E76" s="8"/>
      <c r="F76" s="8"/>
      <c r="G76" s="96"/>
      <c r="H76" s="97"/>
      <c r="I76" s="5"/>
      <c r="J76" s="96"/>
      <c r="K76" s="96"/>
      <c r="L76" s="5"/>
    </row>
    <row r="77" spans="1:15">
      <c r="A77" s="1"/>
      <c r="B77" s="4"/>
      <c r="C77" s="8"/>
      <c r="D77" s="8"/>
      <c r="E77" s="8"/>
      <c r="F77" s="8"/>
      <c r="G77" s="96"/>
      <c r="H77" s="98"/>
      <c r="I77" s="99"/>
      <c r="J77" s="98"/>
      <c r="K77" s="5"/>
      <c r="L77" s="5"/>
    </row>
    <row r="78" spans="1:15">
      <c r="A78" s="1"/>
      <c r="B78" s="4"/>
      <c r="D78" s="8"/>
      <c r="E78" s="8"/>
      <c r="F78" s="8"/>
      <c r="H78" s="61"/>
      <c r="J78" s="6"/>
    </row>
    <row r="79" spans="1:15">
      <c r="E79" s="6"/>
      <c r="H79" s="20"/>
      <c r="J79" s="6"/>
      <c r="N79" s="25"/>
    </row>
    <row r="80" spans="1:15">
      <c r="A80" t="s">
        <v>69</v>
      </c>
      <c r="B80" t="s">
        <v>69</v>
      </c>
      <c r="C80" t="s">
        <v>69</v>
      </c>
      <c r="D80" s="6" t="s">
        <v>69</v>
      </c>
      <c r="E80" s="6" t="s">
        <v>69</v>
      </c>
      <c r="F80" t="s">
        <v>69</v>
      </c>
      <c r="G80" s="6" t="s">
        <v>69</v>
      </c>
      <c r="H80" t="s">
        <v>69</v>
      </c>
      <c r="I80" t="s">
        <v>69</v>
      </c>
      <c r="J80" s="6" t="s">
        <v>69</v>
      </c>
      <c r="K80" t="s">
        <v>69</v>
      </c>
      <c r="L80" t="s">
        <v>69</v>
      </c>
      <c r="M80" t="s">
        <v>69</v>
      </c>
      <c r="N80" t="s">
        <v>69</v>
      </c>
    </row>
    <row r="84" spans="6:6">
      <c r="F84" s="2"/>
    </row>
    <row r="85" spans="6:6">
      <c r="F85" s="2"/>
    </row>
  </sheetData>
  <pageMargins left="0.28000000000000003" right="0.25" top="0.99" bottom="0.75" header="0.63" footer="0.23"/>
  <pageSetup scale="60" orientation="landscape" r:id="rId1"/>
  <headerFooter alignWithMargins="0">
    <oddHeader xml:space="preserve">&amp;C&amp;"Arial,Bold"&amp;11 49ER SHOPS, INC.
&amp;UFY2019/2020 OPERATIONAL CASH FLOW </oddHeader>
    <oddFooter>&amp;CCash Flow - FY19/20
January, 2020</oddFooter>
  </headerFooter>
  <legacyDrawing r:id="rId2"/>
</worksheet>
</file>

<file path=xl/worksheets/sheet5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92D050"/>
    <pageSetUpPr fitToPage="1"/>
  </sheetPr>
  <dimension ref="A1:Z85"/>
  <sheetViews>
    <sheetView showGridLines="0" zoomScale="90" zoomScaleNormal="90" workbookViewId="0">
      <selection activeCell="B52" sqref="B52"/>
    </sheetView>
  </sheetViews>
  <sheetFormatPr defaultRowHeight="12.75"/>
  <cols>
    <col min="1" max="1" width="35.42578125" customWidth="1"/>
    <col min="2" max="2" width="14" customWidth="1"/>
    <col min="3" max="3" width="14.5703125" customWidth="1"/>
    <col min="4" max="4" width="14" style="6" customWidth="1"/>
    <col min="5" max="6" width="13.5703125" customWidth="1"/>
    <col min="7" max="7" width="16.5703125" style="6" customWidth="1"/>
    <col min="8" max="8" width="14.140625" customWidth="1"/>
    <col min="9" max="9" width="14.42578125" customWidth="1"/>
    <col min="10" max="10" width="13.85546875" customWidth="1"/>
    <col min="11" max="11" width="15.140625" customWidth="1"/>
    <col min="12" max="12" width="13.5703125" customWidth="1"/>
    <col min="13" max="13" width="14.42578125" customWidth="1"/>
    <col min="14" max="14" width="16.5703125" customWidth="1"/>
    <col min="15" max="15" width="12.42578125" bestFit="1" customWidth="1"/>
    <col min="16" max="16" width="14.140625" customWidth="1"/>
  </cols>
  <sheetData>
    <row r="1" spans="1:16" ht="13.5" thickBot="1">
      <c r="A1" s="46" t="s">
        <v>131</v>
      </c>
      <c r="E1" s="6"/>
      <c r="F1" s="6"/>
      <c r="J1" s="6"/>
      <c r="K1" s="6"/>
      <c r="N1" s="3"/>
    </row>
    <row r="2" spans="1:16">
      <c r="B2" s="45" t="s">
        <v>24</v>
      </c>
      <c r="C2" s="45" t="s">
        <v>24</v>
      </c>
      <c r="D2" s="45" t="s">
        <v>24</v>
      </c>
      <c r="E2" s="45" t="s">
        <v>24</v>
      </c>
      <c r="F2" s="45" t="s">
        <v>24</v>
      </c>
      <c r="G2" s="45" t="s">
        <v>24</v>
      </c>
      <c r="H2" s="45" t="s">
        <v>76</v>
      </c>
      <c r="I2" s="45" t="s">
        <v>76</v>
      </c>
      <c r="J2" s="45" t="s">
        <v>76</v>
      </c>
      <c r="K2" s="45" t="s">
        <v>76</v>
      </c>
      <c r="L2" s="45" t="s">
        <v>76</v>
      </c>
      <c r="M2" s="45" t="s">
        <v>76</v>
      </c>
      <c r="N2" s="55" t="s">
        <v>25</v>
      </c>
    </row>
    <row r="3" spans="1:16" s="5" customFormat="1">
      <c r="B3" s="11">
        <v>43648</v>
      </c>
      <c r="C3" s="90">
        <v>43679</v>
      </c>
      <c r="D3" s="90">
        <v>43710</v>
      </c>
      <c r="E3" s="11">
        <v>43740</v>
      </c>
      <c r="F3" s="11">
        <v>43771</v>
      </c>
      <c r="G3" s="90">
        <v>43801</v>
      </c>
      <c r="H3" s="11">
        <v>43832</v>
      </c>
      <c r="I3" s="11">
        <v>43863</v>
      </c>
      <c r="J3" s="11">
        <v>43892</v>
      </c>
      <c r="K3" s="11">
        <v>43923</v>
      </c>
      <c r="L3" s="11">
        <v>43953</v>
      </c>
      <c r="M3" s="11">
        <v>43984</v>
      </c>
      <c r="N3" s="57" t="s">
        <v>123</v>
      </c>
    </row>
    <row r="4" spans="1:16">
      <c r="A4" s="1" t="s">
        <v>27</v>
      </c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>
        <f>SUM(B4:M4)</f>
        <v>0</v>
      </c>
      <c r="O4" s="29"/>
    </row>
    <row r="5" spans="1:16" s="6" customFormat="1" ht="13.5" hidden="1" customHeight="1">
      <c r="A5" s="6" t="s">
        <v>28</v>
      </c>
      <c r="B5" s="49">
        <v>1506911</v>
      </c>
      <c r="C5" s="53">
        <v>4218296</v>
      </c>
      <c r="D5" s="53">
        <v>4008767</v>
      </c>
      <c r="E5" s="53">
        <v>3723428</v>
      </c>
      <c r="F5" s="53">
        <v>2637007</v>
      </c>
      <c r="G5" s="53">
        <v>1983421</v>
      </c>
      <c r="H5" s="53">
        <v>3962386.4049500003</v>
      </c>
      <c r="I5" s="53">
        <v>3413283.7329099998</v>
      </c>
      <c r="J5" s="53">
        <v>3663286.3910400001</v>
      </c>
      <c r="K5" s="53">
        <v>3303515.2019700003</v>
      </c>
      <c r="L5" s="53">
        <v>2866321.64855</v>
      </c>
      <c r="M5" s="53">
        <v>1394806.15129</v>
      </c>
      <c r="N5" s="12">
        <f>SUM(B5:M5)</f>
        <v>36681429.530709997</v>
      </c>
      <c r="O5" s="29"/>
    </row>
    <row r="6" spans="1:16" s="6" customFormat="1" hidden="1">
      <c r="A6" s="6" t="s">
        <v>29</v>
      </c>
      <c r="B6" s="49">
        <v>122669</v>
      </c>
      <c r="C6" s="53">
        <v>65308</v>
      </c>
      <c r="D6" s="53">
        <v>368424</v>
      </c>
      <c r="E6" s="53">
        <v>265657</v>
      </c>
      <c r="F6" s="53">
        <v>90828</v>
      </c>
      <c r="G6" s="53">
        <v>46005</v>
      </c>
      <c r="H6" s="53">
        <v>117729</v>
      </c>
      <c r="I6" s="53">
        <v>171397</v>
      </c>
      <c r="J6" s="53">
        <v>127523</v>
      </c>
      <c r="K6" s="53">
        <v>123229</v>
      </c>
      <c r="L6" s="53">
        <v>130378</v>
      </c>
      <c r="M6" s="53">
        <v>105525</v>
      </c>
      <c r="N6" s="7">
        <f>SUM(B6:M6)</f>
        <v>1734672</v>
      </c>
      <c r="O6" s="29"/>
    </row>
    <row r="7" spans="1:16" s="6" customFormat="1" hidden="1">
      <c r="B7" s="7"/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7">
        <f>SUM(B7:M7)</f>
        <v>0</v>
      </c>
      <c r="O7" s="29"/>
    </row>
    <row r="8" spans="1:16" s="6" customFormat="1" hidden="1">
      <c r="B8" s="15"/>
      <c r="C8" s="15"/>
      <c r="D8" s="15"/>
      <c r="E8" s="15"/>
      <c r="F8" s="15"/>
      <c r="G8" s="15"/>
      <c r="H8" s="15"/>
      <c r="I8" s="15"/>
      <c r="J8" s="15"/>
      <c r="K8" s="15"/>
      <c r="L8" s="15"/>
      <c r="M8" s="15"/>
      <c r="N8" s="15">
        <f>SUM(B8:M8)</f>
        <v>0</v>
      </c>
      <c r="O8" s="29"/>
    </row>
    <row r="9" spans="1:16" s="6" customFormat="1">
      <c r="A9" s="13" t="s">
        <v>30</v>
      </c>
      <c r="B9" s="12">
        <f t="shared" ref="B9:N9" si="0">SUM(B5:B8)</f>
        <v>1629580</v>
      </c>
      <c r="C9" s="12">
        <f t="shared" si="0"/>
        <v>4283604</v>
      </c>
      <c r="D9" s="12">
        <f t="shared" si="0"/>
        <v>4377191</v>
      </c>
      <c r="E9" s="12">
        <f t="shared" si="0"/>
        <v>3989085</v>
      </c>
      <c r="F9" s="12">
        <f t="shared" si="0"/>
        <v>2727835</v>
      </c>
      <c r="G9" s="12">
        <f t="shared" si="0"/>
        <v>2029426</v>
      </c>
      <c r="H9" s="12">
        <f t="shared" si="0"/>
        <v>4080115.4049500003</v>
      </c>
      <c r="I9" s="12">
        <f t="shared" si="0"/>
        <v>3584680.7329099998</v>
      </c>
      <c r="J9" s="12">
        <f t="shared" si="0"/>
        <v>3790809.3910400001</v>
      </c>
      <c r="K9" s="12">
        <f t="shared" si="0"/>
        <v>3426744.2019700003</v>
      </c>
      <c r="L9" s="12">
        <f t="shared" si="0"/>
        <v>2996699.64855</v>
      </c>
      <c r="M9" s="12">
        <f t="shared" si="0"/>
        <v>1500331.15129</v>
      </c>
      <c r="N9" s="12">
        <f t="shared" si="0"/>
        <v>38416101.530709997</v>
      </c>
      <c r="O9" s="29"/>
      <c r="P9" s="29">
        <f>+N9</f>
        <v>38416101.530709997</v>
      </c>
    </row>
    <row r="10" spans="1:16" s="6" customFormat="1" ht="6.75" customHeight="1"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29"/>
    </row>
    <row r="11" spans="1:16" s="6" customFormat="1">
      <c r="A11" s="13" t="s">
        <v>31</v>
      </c>
      <c r="B11" s="7">
        <v>2191</v>
      </c>
      <c r="C11" s="7">
        <v>230</v>
      </c>
      <c r="D11" s="7">
        <v>408.4</v>
      </c>
      <c r="E11" s="7">
        <v>-227</v>
      </c>
      <c r="F11" s="7">
        <v>225</v>
      </c>
      <c r="G11" s="7">
        <v>3197</v>
      </c>
      <c r="H11" s="7"/>
      <c r="I11" s="7"/>
      <c r="J11" s="7"/>
      <c r="K11" s="7"/>
      <c r="L11" s="7"/>
      <c r="M11" s="7"/>
      <c r="N11" s="7">
        <f>SUM(B11:M11)</f>
        <v>6024.4</v>
      </c>
      <c r="O11" s="29"/>
    </row>
    <row r="12" spans="1:16" s="6" customFormat="1" ht="7.5" customHeight="1">
      <c r="B12" s="7"/>
      <c r="C12" s="7"/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  <c r="O12" s="29"/>
    </row>
    <row r="13" spans="1:16" s="6" customFormat="1" ht="21" customHeight="1" thickBot="1">
      <c r="A13" s="13" t="s">
        <v>32</v>
      </c>
      <c r="B13" s="14">
        <f t="shared" ref="B13:N13" si="1">B9+B11</f>
        <v>1631771</v>
      </c>
      <c r="C13" s="14">
        <f>C9+C11</f>
        <v>4283834</v>
      </c>
      <c r="D13" s="14">
        <f t="shared" si="1"/>
        <v>4377599.4000000004</v>
      </c>
      <c r="E13" s="14">
        <f t="shared" si="1"/>
        <v>3988858</v>
      </c>
      <c r="F13" s="14">
        <f t="shared" si="1"/>
        <v>2728060</v>
      </c>
      <c r="G13" s="14">
        <f t="shared" si="1"/>
        <v>2032623</v>
      </c>
      <c r="H13" s="14">
        <f t="shared" si="1"/>
        <v>4080115.4049500003</v>
      </c>
      <c r="I13" s="14">
        <f t="shared" si="1"/>
        <v>3584680.7329099998</v>
      </c>
      <c r="J13" s="14">
        <f t="shared" si="1"/>
        <v>3790809.3910400001</v>
      </c>
      <c r="K13" s="14">
        <f t="shared" si="1"/>
        <v>3426744.2019700003</v>
      </c>
      <c r="L13" s="14">
        <f t="shared" si="1"/>
        <v>2996699.64855</v>
      </c>
      <c r="M13" s="14">
        <f t="shared" si="1"/>
        <v>1500331.15129</v>
      </c>
      <c r="N13" s="14">
        <f t="shared" si="1"/>
        <v>38422125.930709995</v>
      </c>
      <c r="O13" s="29"/>
    </row>
    <row r="14" spans="1:16" s="6" customFormat="1" ht="21" hidden="1" customHeight="1" thickTop="1">
      <c r="B14" s="7"/>
      <c r="C14" s="7"/>
      <c r="D14" s="7"/>
      <c r="E14" s="7"/>
      <c r="F14" s="7"/>
      <c r="G14" s="7"/>
      <c r="H14" s="7"/>
      <c r="I14" s="7"/>
      <c r="J14" s="7"/>
      <c r="K14" s="7"/>
      <c r="L14" s="7"/>
      <c r="M14" s="7"/>
    </row>
    <row r="15" spans="1:16" s="6" customFormat="1" ht="17.25" hidden="1" customHeight="1">
      <c r="A15" s="13" t="s">
        <v>33</v>
      </c>
      <c r="B15" s="7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</row>
    <row r="16" spans="1:16" s="6" customFormat="1" ht="12" hidden="1" customHeight="1">
      <c r="A16" s="6" t="s">
        <v>34</v>
      </c>
      <c r="B16" s="49">
        <v>789538</v>
      </c>
      <c r="C16" s="53">
        <v>2542832</v>
      </c>
      <c r="D16" s="53">
        <v>1670912</v>
      </c>
      <c r="E16" s="53">
        <v>1241006</v>
      </c>
      <c r="F16" s="53">
        <v>943426</v>
      </c>
      <c r="G16" s="53">
        <v>694088</v>
      </c>
      <c r="H16" s="53">
        <v>2196091.03559</v>
      </c>
      <c r="I16" s="53">
        <v>1238755.4207799998</v>
      </c>
      <c r="J16" s="53">
        <v>1292296.5777699999</v>
      </c>
      <c r="K16" s="53">
        <v>1245676.8455400001</v>
      </c>
      <c r="L16" s="53">
        <v>1172737.3767599999</v>
      </c>
      <c r="M16" s="53">
        <v>726619.06070999999</v>
      </c>
      <c r="N16" s="7">
        <f>SUM(B16:M16)</f>
        <v>15753978.31715</v>
      </c>
      <c r="O16" s="29"/>
      <c r="P16" s="7">
        <f>-N16</f>
        <v>-15753978.31715</v>
      </c>
    </row>
    <row r="17" spans="1:16" s="6" customFormat="1" ht="20.25" hidden="1" customHeight="1">
      <c r="B17" s="27"/>
      <c r="C17" s="27"/>
      <c r="D17" s="27"/>
      <c r="E17" s="27"/>
      <c r="F17" s="27"/>
      <c r="G17" s="27"/>
      <c r="H17" s="27"/>
      <c r="I17" s="27"/>
      <c r="J17" s="27"/>
      <c r="K17" s="27"/>
      <c r="L17" s="27"/>
      <c r="M17" s="27"/>
      <c r="N17" s="7">
        <f>SUM(B17:M17)</f>
        <v>0</v>
      </c>
    </row>
    <row r="18" spans="1:16" s="6" customFormat="1" ht="26.25" hidden="1" customHeight="1">
      <c r="B18" s="7"/>
      <c r="C18" s="7"/>
      <c r="D18" s="7"/>
      <c r="E18" s="7"/>
      <c r="F18" s="7"/>
      <c r="G18" s="7"/>
      <c r="H18" s="7"/>
      <c r="I18" s="7"/>
      <c r="J18" s="7"/>
      <c r="K18" s="7"/>
      <c r="L18" s="7"/>
      <c r="M18" s="7"/>
      <c r="N18" s="7">
        <v>0</v>
      </c>
    </row>
    <row r="19" spans="1:16" s="6" customFormat="1" ht="12" hidden="1" customHeight="1">
      <c r="B19" s="15"/>
      <c r="C19" s="15"/>
      <c r="D19" s="15"/>
      <c r="E19" s="15"/>
      <c r="F19" s="15"/>
      <c r="G19" s="15"/>
      <c r="H19" s="15"/>
      <c r="I19" s="15"/>
      <c r="J19" s="15"/>
      <c r="K19" s="15"/>
      <c r="L19" s="15"/>
      <c r="M19" s="15"/>
      <c r="N19" s="15">
        <f>SUM(B19:M19)</f>
        <v>0</v>
      </c>
    </row>
    <row r="20" spans="1:16" s="6" customFormat="1" ht="13.5" thickTop="1">
      <c r="A20" s="13" t="s">
        <v>35</v>
      </c>
      <c r="B20" s="12">
        <f t="shared" ref="B20:N20" si="2">SUM(B16:B19)</f>
        <v>789538</v>
      </c>
      <c r="C20" s="12">
        <f t="shared" si="2"/>
        <v>2542832</v>
      </c>
      <c r="D20" s="12">
        <f t="shared" si="2"/>
        <v>1670912</v>
      </c>
      <c r="E20" s="12">
        <f t="shared" si="2"/>
        <v>1241006</v>
      </c>
      <c r="F20" s="12">
        <f t="shared" si="2"/>
        <v>943426</v>
      </c>
      <c r="G20" s="12">
        <f t="shared" si="2"/>
        <v>694088</v>
      </c>
      <c r="H20" s="12">
        <f t="shared" si="2"/>
        <v>2196091.03559</v>
      </c>
      <c r="I20" s="12">
        <f t="shared" si="2"/>
        <v>1238755.4207799998</v>
      </c>
      <c r="J20" s="12">
        <f t="shared" si="2"/>
        <v>1292296.5777699999</v>
      </c>
      <c r="K20" s="12">
        <f t="shared" si="2"/>
        <v>1245676.8455400001</v>
      </c>
      <c r="L20" s="12">
        <f t="shared" si="2"/>
        <v>1172737.3767599999</v>
      </c>
      <c r="M20" s="12">
        <f t="shared" si="2"/>
        <v>726619.06070999999</v>
      </c>
      <c r="N20" s="12">
        <f t="shared" si="2"/>
        <v>15753978.31715</v>
      </c>
      <c r="O20" s="29"/>
    </row>
    <row r="21" spans="1:16" s="6" customFormat="1" ht="13.5" hidden="1" customHeight="1">
      <c r="B21" s="7"/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</row>
    <row r="22" spans="1:16" s="6" customFormat="1" ht="17.25" hidden="1" customHeight="1">
      <c r="A22" s="13" t="s">
        <v>36</v>
      </c>
      <c r="B22" s="7"/>
      <c r="C22" s="7"/>
      <c r="D22" s="7"/>
      <c r="E22" s="7"/>
      <c r="F22" s="7"/>
      <c r="G22" s="7"/>
      <c r="H22" s="7"/>
      <c r="I22" s="7"/>
      <c r="J22" s="7"/>
      <c r="K22" s="7"/>
      <c r="L22" s="7"/>
      <c r="M22" s="7"/>
    </row>
    <row r="23" spans="1:16" s="6" customFormat="1" hidden="1">
      <c r="A23" s="6" t="s">
        <v>37</v>
      </c>
      <c r="B23" s="7">
        <f t="shared" ref="B23:M26" si="3">+B5-B16</f>
        <v>717373</v>
      </c>
      <c r="C23" s="7">
        <f t="shared" si="3"/>
        <v>1675464</v>
      </c>
      <c r="D23" s="7">
        <f t="shared" si="3"/>
        <v>2337855</v>
      </c>
      <c r="E23" s="7">
        <f t="shared" si="3"/>
        <v>2482422</v>
      </c>
      <c r="F23" s="7">
        <f t="shared" si="3"/>
        <v>1693581</v>
      </c>
      <c r="G23" s="7">
        <f t="shared" si="3"/>
        <v>1289333</v>
      </c>
      <c r="H23" s="7">
        <f t="shared" si="3"/>
        <v>1766295.3693600004</v>
      </c>
      <c r="I23" s="7">
        <f t="shared" si="3"/>
        <v>2174528.31213</v>
      </c>
      <c r="J23" s="7">
        <f t="shared" si="3"/>
        <v>2370989.8132700003</v>
      </c>
      <c r="K23" s="7">
        <f t="shared" si="3"/>
        <v>2057838.3564300002</v>
      </c>
      <c r="L23" s="7">
        <f t="shared" si="3"/>
        <v>1693584.2717900001</v>
      </c>
      <c r="M23" s="7">
        <f t="shared" si="3"/>
        <v>668187.09057999996</v>
      </c>
      <c r="N23" s="7">
        <f>SUM(B23:M23)</f>
        <v>20927451.213560004</v>
      </c>
      <c r="O23" s="29"/>
    </row>
    <row r="24" spans="1:16" s="6" customFormat="1" hidden="1">
      <c r="A24" s="6" t="s">
        <v>37</v>
      </c>
      <c r="B24" s="7">
        <f t="shared" si="3"/>
        <v>122669</v>
      </c>
      <c r="C24" s="7">
        <f t="shared" si="3"/>
        <v>65308</v>
      </c>
      <c r="D24" s="7">
        <f t="shared" si="3"/>
        <v>368424</v>
      </c>
      <c r="E24" s="7">
        <f t="shared" si="3"/>
        <v>265657</v>
      </c>
      <c r="F24" s="7">
        <f t="shared" si="3"/>
        <v>90828</v>
      </c>
      <c r="G24" s="7">
        <f t="shared" si="3"/>
        <v>46005</v>
      </c>
      <c r="H24" s="7">
        <f t="shared" si="3"/>
        <v>117729</v>
      </c>
      <c r="I24" s="7">
        <f t="shared" si="3"/>
        <v>171397</v>
      </c>
      <c r="J24" s="7">
        <f t="shared" si="3"/>
        <v>127523</v>
      </c>
      <c r="K24" s="7">
        <f t="shared" si="3"/>
        <v>123229</v>
      </c>
      <c r="L24" s="7">
        <f t="shared" si="3"/>
        <v>130378</v>
      </c>
      <c r="M24" s="7">
        <f t="shared" si="3"/>
        <v>105525</v>
      </c>
      <c r="N24" s="7">
        <f>SUM(B24:M24)</f>
        <v>1734672</v>
      </c>
      <c r="O24" s="29"/>
    </row>
    <row r="25" spans="1:16" s="6" customFormat="1" hidden="1">
      <c r="A25" s="6" t="s">
        <v>38</v>
      </c>
      <c r="B25" s="7">
        <f t="shared" si="3"/>
        <v>0</v>
      </c>
      <c r="C25" s="7">
        <f t="shared" si="3"/>
        <v>0</v>
      </c>
      <c r="D25" s="7">
        <f t="shared" si="3"/>
        <v>0</v>
      </c>
      <c r="E25" s="7">
        <f t="shared" si="3"/>
        <v>0</v>
      </c>
      <c r="F25" s="7">
        <f t="shared" si="3"/>
        <v>0</v>
      </c>
      <c r="G25" s="7">
        <f t="shared" si="3"/>
        <v>0</v>
      </c>
      <c r="H25" s="7">
        <f t="shared" si="3"/>
        <v>0</v>
      </c>
      <c r="I25" s="7">
        <f t="shared" si="3"/>
        <v>0</v>
      </c>
      <c r="J25" s="7">
        <f t="shared" si="3"/>
        <v>0</v>
      </c>
      <c r="K25" s="7">
        <f t="shared" si="3"/>
        <v>0</v>
      </c>
      <c r="L25" s="7">
        <f t="shared" si="3"/>
        <v>0</v>
      </c>
      <c r="M25" s="7">
        <f t="shared" si="3"/>
        <v>0</v>
      </c>
      <c r="N25" s="7">
        <f>SUM(B25:M25)</f>
        <v>0</v>
      </c>
      <c r="O25" s="29"/>
    </row>
    <row r="26" spans="1:16" s="6" customFormat="1" hidden="1">
      <c r="A26" s="6" t="s">
        <v>38</v>
      </c>
      <c r="B26" s="15">
        <f t="shared" si="3"/>
        <v>0</v>
      </c>
      <c r="C26" s="15">
        <f t="shared" si="3"/>
        <v>0</v>
      </c>
      <c r="D26" s="15">
        <f t="shared" si="3"/>
        <v>0</v>
      </c>
      <c r="E26" s="15">
        <f t="shared" si="3"/>
        <v>0</v>
      </c>
      <c r="F26" s="15">
        <f t="shared" si="3"/>
        <v>0</v>
      </c>
      <c r="G26" s="15">
        <f t="shared" si="3"/>
        <v>0</v>
      </c>
      <c r="H26" s="15">
        <f t="shared" si="3"/>
        <v>0</v>
      </c>
      <c r="I26" s="15">
        <f t="shared" si="3"/>
        <v>0</v>
      </c>
      <c r="J26" s="15">
        <f t="shared" si="3"/>
        <v>0</v>
      </c>
      <c r="K26" s="15">
        <f t="shared" si="3"/>
        <v>0</v>
      </c>
      <c r="L26" s="15">
        <f t="shared" si="3"/>
        <v>0</v>
      </c>
      <c r="M26" s="15">
        <f t="shared" si="3"/>
        <v>0</v>
      </c>
      <c r="N26" s="15">
        <f>SUM(B26:M26)</f>
        <v>0</v>
      </c>
      <c r="O26" s="29"/>
    </row>
    <row r="27" spans="1:16" s="6" customFormat="1">
      <c r="A27" s="13" t="s">
        <v>39</v>
      </c>
      <c r="B27" s="12">
        <f t="shared" ref="B27:N27" si="4">SUM(B23:B26)</f>
        <v>840042</v>
      </c>
      <c r="C27" s="12">
        <f t="shared" si="4"/>
        <v>1740772</v>
      </c>
      <c r="D27" s="12">
        <f t="shared" si="4"/>
        <v>2706279</v>
      </c>
      <c r="E27" s="12">
        <f t="shared" si="4"/>
        <v>2748079</v>
      </c>
      <c r="F27" s="12">
        <f t="shared" si="4"/>
        <v>1784409</v>
      </c>
      <c r="G27" s="12">
        <f t="shared" si="4"/>
        <v>1335338</v>
      </c>
      <c r="H27" s="12">
        <f t="shared" si="4"/>
        <v>1884024.3693600004</v>
      </c>
      <c r="I27" s="12">
        <f t="shared" si="4"/>
        <v>2345925.31213</v>
      </c>
      <c r="J27" s="12">
        <f t="shared" si="4"/>
        <v>2498512.8132700003</v>
      </c>
      <c r="K27" s="12">
        <f t="shared" si="4"/>
        <v>2181067.3564300002</v>
      </c>
      <c r="L27" s="12">
        <f t="shared" si="4"/>
        <v>1823962.2717900001</v>
      </c>
      <c r="M27" s="12">
        <f>SUM(M23:M26)</f>
        <v>773712.09057999996</v>
      </c>
      <c r="N27" s="12">
        <f t="shared" si="4"/>
        <v>22662123.213560004</v>
      </c>
      <c r="O27" s="29"/>
      <c r="P27" s="29">
        <f>+N27</f>
        <v>22662123.213560004</v>
      </c>
    </row>
    <row r="28" spans="1:16" s="6" customFormat="1" ht="14.25" customHeight="1">
      <c r="B28" s="73">
        <f>+B27/B9</f>
        <v>0.51549601737871109</v>
      </c>
      <c r="C28" s="73">
        <f t="shared" ref="C28:N28" si="5">+C27/C9</f>
        <v>0.40638023496102815</v>
      </c>
      <c r="D28" s="73">
        <f t="shared" si="5"/>
        <v>0.61826842831395756</v>
      </c>
      <c r="E28" s="73">
        <f t="shared" si="5"/>
        <v>0.68889958474186441</v>
      </c>
      <c r="F28" s="73">
        <f t="shared" si="5"/>
        <v>0.65414843639736275</v>
      </c>
      <c r="G28" s="73">
        <f t="shared" si="5"/>
        <v>0.65798802222894548</v>
      </c>
      <c r="H28" s="73">
        <f t="shared" si="5"/>
        <v>0.46175761770716095</v>
      </c>
      <c r="I28" s="73">
        <f t="shared" si="5"/>
        <v>0.65443075323073652</v>
      </c>
      <c r="J28" s="73">
        <f t="shared" si="5"/>
        <v>0.65909745269058195</v>
      </c>
      <c r="K28" s="73">
        <f t="shared" si="5"/>
        <v>0.63648385402567453</v>
      </c>
      <c r="L28" s="73">
        <f t="shared" si="5"/>
        <v>0.60865701795391902</v>
      </c>
      <c r="M28" s="73">
        <f t="shared" si="5"/>
        <v>0.51569421185099995</v>
      </c>
      <c r="N28" s="73">
        <f t="shared" si="5"/>
        <v>0.58991210223254442</v>
      </c>
    </row>
    <row r="29" spans="1:16" s="6" customFormat="1" ht="27" hidden="1" customHeight="1">
      <c r="A29" s="13" t="s">
        <v>40</v>
      </c>
      <c r="B29" s="7"/>
      <c r="C29" s="7"/>
      <c r="D29" s="7"/>
      <c r="E29" s="7"/>
      <c r="F29" s="7"/>
      <c r="G29" s="7"/>
      <c r="H29" s="7"/>
      <c r="I29" s="7"/>
      <c r="J29" s="7"/>
      <c r="K29" s="7"/>
      <c r="L29" s="7"/>
      <c r="M29" s="7"/>
    </row>
    <row r="30" spans="1:16" s="6" customFormat="1" hidden="1">
      <c r="A30" s="6" t="s">
        <v>93</v>
      </c>
      <c r="B30" s="49">
        <v>599577</v>
      </c>
      <c r="C30" s="53">
        <v>671079</v>
      </c>
      <c r="D30" s="53">
        <v>793811</v>
      </c>
      <c r="E30" s="53">
        <v>957117</v>
      </c>
      <c r="F30" s="53">
        <v>689782</v>
      </c>
      <c r="G30" s="53">
        <v>611497</v>
      </c>
      <c r="H30" s="53">
        <v>742691.29158794135</v>
      </c>
      <c r="I30" s="53">
        <v>781375.03238776349</v>
      </c>
      <c r="J30" s="53">
        <v>800842.39032942755</v>
      </c>
      <c r="K30" s="53">
        <v>843636.89934994141</v>
      </c>
      <c r="L30" s="53">
        <v>694327.62761942751</v>
      </c>
      <c r="M30" s="53">
        <v>505922.77644506848</v>
      </c>
      <c r="N30" s="7">
        <f>SUM(B30:M30)</f>
        <v>8691659.0177195705</v>
      </c>
      <c r="O30" s="29"/>
    </row>
    <row r="31" spans="1:16" s="6" customFormat="1" hidden="1">
      <c r="A31" s="6" t="s">
        <v>42</v>
      </c>
      <c r="B31" s="49">
        <v>243836</v>
      </c>
      <c r="C31" s="53">
        <v>217946</v>
      </c>
      <c r="D31" s="53">
        <v>239113</v>
      </c>
      <c r="E31" s="53">
        <v>257850</v>
      </c>
      <c r="F31" s="53">
        <v>223271</v>
      </c>
      <c r="G31" s="53">
        <v>225464</v>
      </c>
      <c r="H31" s="53">
        <v>223886.15036140359</v>
      </c>
      <c r="I31" s="53">
        <v>211238.57951980905</v>
      </c>
      <c r="J31" s="53">
        <v>216879.11284126632</v>
      </c>
      <c r="K31" s="53">
        <v>235419.63067710202</v>
      </c>
      <c r="L31" s="53">
        <v>214783.16583566315</v>
      </c>
      <c r="M31" s="53">
        <v>196662.95050247436</v>
      </c>
      <c r="N31" s="7">
        <f>SUM(B31:M31)</f>
        <v>2706349.5897377185</v>
      </c>
      <c r="O31" s="29"/>
    </row>
    <row r="32" spans="1:16" s="6" customFormat="1" ht="15" hidden="1">
      <c r="A32" s="6" t="s">
        <v>38</v>
      </c>
      <c r="B32" s="68"/>
      <c r="C32" s="68"/>
      <c r="D32" s="68"/>
      <c r="E32" s="68"/>
      <c r="F32" s="68"/>
      <c r="G32" s="68"/>
      <c r="H32" s="68"/>
      <c r="I32" s="68"/>
      <c r="J32" s="68"/>
      <c r="K32" s="68"/>
      <c r="L32" s="68"/>
      <c r="M32" s="68"/>
      <c r="N32" s="7">
        <f>SUM(B32:M32)</f>
        <v>0</v>
      </c>
      <c r="O32" s="29"/>
    </row>
    <row r="33" spans="1:16" s="6" customFormat="1" ht="13.5" hidden="1" customHeight="1">
      <c r="B33" s="15"/>
      <c r="C33" s="15"/>
      <c r="D33" s="15"/>
      <c r="E33" s="15"/>
      <c r="F33" s="15"/>
      <c r="G33" s="15"/>
      <c r="H33" s="15"/>
      <c r="I33" s="15"/>
      <c r="J33" s="15"/>
      <c r="K33" s="15"/>
      <c r="L33" s="15"/>
      <c r="M33" s="15"/>
      <c r="N33" s="15">
        <f>SUM(B33:M33)</f>
        <v>0</v>
      </c>
      <c r="O33" s="29"/>
    </row>
    <row r="34" spans="1:16" s="6" customFormat="1">
      <c r="A34" s="13" t="s">
        <v>43</v>
      </c>
      <c r="B34" s="12">
        <f t="shared" ref="B34:N34" si="6">SUM(B30:B33)</f>
        <v>843413</v>
      </c>
      <c r="C34" s="12">
        <f t="shared" si="6"/>
        <v>889025</v>
      </c>
      <c r="D34" s="12">
        <f t="shared" si="6"/>
        <v>1032924</v>
      </c>
      <c r="E34" s="12">
        <f t="shared" si="6"/>
        <v>1214967</v>
      </c>
      <c r="F34" s="12">
        <f t="shared" si="6"/>
        <v>913053</v>
      </c>
      <c r="G34" s="12">
        <f t="shared" si="6"/>
        <v>836961</v>
      </c>
      <c r="H34" s="12">
        <f t="shared" si="6"/>
        <v>966577.44194934494</v>
      </c>
      <c r="I34" s="12">
        <f t="shared" si="6"/>
        <v>992613.61190757249</v>
      </c>
      <c r="J34" s="12">
        <f t="shared" si="6"/>
        <v>1017721.5031706939</v>
      </c>
      <c r="K34" s="12">
        <f t="shared" si="6"/>
        <v>1079056.5300270435</v>
      </c>
      <c r="L34" s="12">
        <f t="shared" si="6"/>
        <v>909110.79345509061</v>
      </c>
      <c r="M34" s="12">
        <f t="shared" si="6"/>
        <v>702585.72694754286</v>
      </c>
      <c r="N34" s="12">
        <f t="shared" si="6"/>
        <v>11398008.607457289</v>
      </c>
      <c r="O34" s="29"/>
    </row>
    <row r="35" spans="1:16" s="6" customFormat="1">
      <c r="B35" s="7"/>
      <c r="C35" s="7"/>
      <c r="D35" s="7"/>
      <c r="E35" s="7"/>
      <c r="F35" s="7"/>
      <c r="G35" s="7"/>
      <c r="H35" s="7"/>
      <c r="I35" s="7"/>
      <c r="J35" s="7"/>
      <c r="K35" s="7"/>
      <c r="L35" s="7"/>
      <c r="M35" s="7"/>
    </row>
    <row r="36" spans="1:16" s="6" customFormat="1" ht="18" hidden="1" customHeight="1">
      <c r="A36" s="13" t="s">
        <v>44</v>
      </c>
      <c r="B36" s="7"/>
      <c r="C36" s="7"/>
      <c r="D36" s="7"/>
      <c r="E36" s="7"/>
      <c r="F36" s="7"/>
      <c r="G36" s="7"/>
      <c r="H36" s="7"/>
      <c r="I36" s="7"/>
      <c r="J36" s="7"/>
      <c r="K36" s="7"/>
      <c r="L36" s="7"/>
      <c r="M36" s="7"/>
    </row>
    <row r="37" spans="1:16" s="6" customFormat="1" hidden="1">
      <c r="A37" s="6" t="s">
        <v>45</v>
      </c>
      <c r="B37" s="53">
        <v>1312659</v>
      </c>
      <c r="C37" s="53">
        <v>1350844</v>
      </c>
      <c r="D37" s="53">
        <v>1621977</v>
      </c>
      <c r="E37" s="53">
        <v>1862721</v>
      </c>
      <c r="F37" s="53">
        <v>1464546</v>
      </c>
      <c r="G37" s="66">
        <v>1373998</v>
      </c>
      <c r="H37" s="66">
        <v>1473861.9419493449</v>
      </c>
      <c r="I37" s="66">
        <v>1630408.4119075725</v>
      </c>
      <c r="J37" s="66">
        <v>1636445.0631706938</v>
      </c>
      <c r="K37" s="53">
        <v>1704354.0300270435</v>
      </c>
      <c r="L37" s="53">
        <v>1425328.2934550906</v>
      </c>
      <c r="M37" s="53">
        <v>1205462.7296161538</v>
      </c>
      <c r="N37" s="7">
        <f>SUM(B37:M37)</f>
        <v>18062605.470125899</v>
      </c>
      <c r="O37" s="29"/>
    </row>
    <row r="38" spans="1:16" s="6" customFormat="1" hidden="1">
      <c r="A38" s="6" t="s">
        <v>46</v>
      </c>
      <c r="B38" s="7">
        <f>-B34</f>
        <v>-843413</v>
      </c>
      <c r="C38" s="7">
        <f t="shared" ref="C38:M38" si="7">-C34</f>
        <v>-889025</v>
      </c>
      <c r="D38" s="7">
        <f t="shared" si="7"/>
        <v>-1032924</v>
      </c>
      <c r="E38" s="7">
        <f t="shared" si="7"/>
        <v>-1214967</v>
      </c>
      <c r="F38" s="7">
        <f t="shared" si="7"/>
        <v>-913053</v>
      </c>
      <c r="G38" s="7">
        <f t="shared" si="7"/>
        <v>-836961</v>
      </c>
      <c r="H38" s="7">
        <f t="shared" si="7"/>
        <v>-966577.44194934494</v>
      </c>
      <c r="I38" s="7">
        <f t="shared" si="7"/>
        <v>-992613.61190757249</v>
      </c>
      <c r="J38" s="7">
        <f t="shared" si="7"/>
        <v>-1017721.5031706939</v>
      </c>
      <c r="K38" s="7">
        <f t="shared" si="7"/>
        <v>-1079056.5300270435</v>
      </c>
      <c r="L38" s="7">
        <f t="shared" si="7"/>
        <v>-909110.79345509061</v>
      </c>
      <c r="M38" s="7">
        <f t="shared" si="7"/>
        <v>-702585.72694754286</v>
      </c>
      <c r="N38" s="7">
        <f>SUM(B38:M38)</f>
        <v>-11398008.607457288</v>
      </c>
      <c r="O38" s="29"/>
    </row>
    <row r="39" spans="1:16" s="6" customFormat="1" hidden="1">
      <c r="A39" s="6" t="s">
        <v>47</v>
      </c>
      <c r="B39" s="72">
        <v>-77862</v>
      </c>
      <c r="C39" s="72">
        <v>-77862</v>
      </c>
      <c r="D39" s="72">
        <v>-77862</v>
      </c>
      <c r="E39" s="72">
        <v>-77862</v>
      </c>
      <c r="F39" s="72">
        <v>-77862</v>
      </c>
      <c r="G39" s="72">
        <v>-79350</v>
      </c>
      <c r="H39" s="72">
        <v>-85493</v>
      </c>
      <c r="I39" s="72">
        <v>-85493</v>
      </c>
      <c r="J39" s="72">
        <v>-85493</v>
      </c>
      <c r="K39" s="72">
        <v>-85493</v>
      </c>
      <c r="L39" s="72">
        <v>-85493</v>
      </c>
      <c r="M39" s="72">
        <v>-85493</v>
      </c>
      <c r="N39" s="42">
        <f>SUM(B39:M39)</f>
        <v>-981618</v>
      </c>
      <c r="O39" s="88"/>
      <c r="P39" s="42"/>
    </row>
    <row r="40" spans="1:16" s="6" customFormat="1" hidden="1">
      <c r="A40" s="6" t="s">
        <v>124</v>
      </c>
      <c r="B40" s="53">
        <v>-8600</v>
      </c>
      <c r="C40" s="53">
        <v>-8600</v>
      </c>
      <c r="D40" s="53">
        <v>-8600</v>
      </c>
      <c r="E40" s="53">
        <v>-8600</v>
      </c>
      <c r="F40" s="53">
        <v>-8600</v>
      </c>
      <c r="G40" s="53">
        <v>-8600</v>
      </c>
      <c r="H40" s="53">
        <v>-8893</v>
      </c>
      <c r="I40" s="53">
        <v>-8893</v>
      </c>
      <c r="J40" s="53">
        <v>-8893</v>
      </c>
      <c r="K40" s="53">
        <v>-8893</v>
      </c>
      <c r="L40" s="53">
        <v>-8893</v>
      </c>
      <c r="M40" s="53">
        <v>-8893</v>
      </c>
      <c r="N40" s="42">
        <f>SUM(B40:M40)</f>
        <v>-104958</v>
      </c>
      <c r="O40" s="88"/>
      <c r="P40" s="58"/>
    </row>
    <row r="41" spans="1:16" s="6" customFormat="1" hidden="1">
      <c r="A41" s="6" t="s">
        <v>48</v>
      </c>
      <c r="B41" s="60">
        <v>-4150</v>
      </c>
      <c r="C41" s="60">
        <v>-4250</v>
      </c>
      <c r="D41" s="60">
        <v>-4250</v>
      </c>
      <c r="E41" s="60">
        <v>-4250</v>
      </c>
      <c r="F41" s="60">
        <v>-4250</v>
      </c>
      <c r="G41" s="60">
        <v>-10050</v>
      </c>
      <c r="H41" s="60">
        <v>-4250</v>
      </c>
      <c r="I41" s="60">
        <v>-4250</v>
      </c>
      <c r="J41" s="60">
        <v>-4550</v>
      </c>
      <c r="K41" s="60">
        <v>-4550</v>
      </c>
      <c r="L41" s="60">
        <v>-4550</v>
      </c>
      <c r="M41" s="60">
        <v>-90050</v>
      </c>
      <c r="N41" s="43">
        <f>SUM(B41:M41)</f>
        <v>-143400</v>
      </c>
      <c r="O41" s="88"/>
      <c r="P41" s="42">
        <f>SUM(N39:N41)</f>
        <v>-1229976</v>
      </c>
    </row>
    <row r="42" spans="1:16" s="6" customFormat="1">
      <c r="A42" s="13" t="s">
        <v>49</v>
      </c>
      <c r="B42" s="12">
        <f t="shared" ref="B42:N42" si="8">SUM(B37:B41)</f>
        <v>378634</v>
      </c>
      <c r="C42" s="12">
        <f t="shared" si="8"/>
        <v>371107</v>
      </c>
      <c r="D42" s="12">
        <f t="shared" si="8"/>
        <v>498341</v>
      </c>
      <c r="E42" s="12">
        <f t="shared" si="8"/>
        <v>557042</v>
      </c>
      <c r="F42" s="12">
        <f t="shared" si="8"/>
        <v>460781</v>
      </c>
      <c r="G42" s="12">
        <f t="shared" si="8"/>
        <v>439037</v>
      </c>
      <c r="H42" s="12">
        <f t="shared" si="8"/>
        <v>408648.5</v>
      </c>
      <c r="I42" s="12">
        <f t="shared" si="8"/>
        <v>539158.80000000005</v>
      </c>
      <c r="J42" s="12">
        <f t="shared" si="8"/>
        <v>519787.55999999994</v>
      </c>
      <c r="K42" s="12">
        <f t="shared" si="8"/>
        <v>526361.5</v>
      </c>
      <c r="L42" s="12">
        <f t="shared" si="8"/>
        <v>417281.5</v>
      </c>
      <c r="M42" s="12">
        <f t="shared" si="8"/>
        <v>318441.00266861089</v>
      </c>
      <c r="N42" s="12">
        <f t="shared" si="8"/>
        <v>5434620.8626686111</v>
      </c>
      <c r="O42" s="29"/>
    </row>
    <row r="43" spans="1:16">
      <c r="A43" s="1"/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2"/>
      <c r="N43" s="12"/>
      <c r="O43" s="6"/>
    </row>
    <row r="44" spans="1:16" ht="18" hidden="1" customHeight="1">
      <c r="A44" s="13" t="s">
        <v>50</v>
      </c>
      <c r="B44" s="53">
        <v>313331</v>
      </c>
      <c r="C44" s="53">
        <v>400498</v>
      </c>
      <c r="D44" s="53">
        <v>331729</v>
      </c>
      <c r="E44" s="53">
        <v>309099</v>
      </c>
      <c r="F44" s="53">
        <v>349633</v>
      </c>
      <c r="G44" s="53">
        <v>248256</v>
      </c>
      <c r="H44" s="53">
        <v>380274</v>
      </c>
      <c r="I44" s="53">
        <v>344745</v>
      </c>
      <c r="J44" s="53">
        <v>339892</v>
      </c>
      <c r="K44" s="53">
        <v>384523</v>
      </c>
      <c r="L44" s="53">
        <v>298207</v>
      </c>
      <c r="M44" s="53">
        <v>669637</v>
      </c>
      <c r="N44" s="12">
        <f>SUM(B44:M44)</f>
        <v>4369824</v>
      </c>
      <c r="O44" s="29"/>
      <c r="P44" s="25"/>
    </row>
    <row r="45" spans="1:16" hidden="1">
      <c r="A45" s="6" t="s">
        <v>107</v>
      </c>
      <c r="B45" s="22"/>
      <c r="C45" s="22"/>
      <c r="D45" s="22"/>
      <c r="E45" s="22"/>
      <c r="F45" s="22"/>
      <c r="G45" s="22"/>
      <c r="H45" s="22"/>
      <c r="I45" s="22"/>
      <c r="J45" s="22"/>
      <c r="K45" s="22"/>
      <c r="L45" s="22"/>
      <c r="M45" s="22"/>
      <c r="N45" s="22">
        <f>SUM(B45:M45)</f>
        <v>0</v>
      </c>
      <c r="O45" s="29"/>
    </row>
    <row r="46" spans="1:16">
      <c r="A46" s="1" t="s">
        <v>50</v>
      </c>
      <c r="B46" s="12">
        <f>SUM(B44:B45)</f>
        <v>313331</v>
      </c>
      <c r="C46" s="12">
        <f>SUM(C44:C45)</f>
        <v>400498</v>
      </c>
      <c r="D46" s="12">
        <f t="shared" ref="D46:N46" si="9">SUM(D44:D45)</f>
        <v>331729</v>
      </c>
      <c r="E46" s="12">
        <f t="shared" si="9"/>
        <v>309099</v>
      </c>
      <c r="F46" s="12">
        <f t="shared" si="9"/>
        <v>349633</v>
      </c>
      <c r="G46" s="12">
        <f t="shared" si="9"/>
        <v>248256</v>
      </c>
      <c r="H46" s="12">
        <f t="shared" si="9"/>
        <v>380274</v>
      </c>
      <c r="I46" s="12">
        <f t="shared" si="9"/>
        <v>344745</v>
      </c>
      <c r="J46" s="12">
        <f t="shared" si="9"/>
        <v>339892</v>
      </c>
      <c r="K46" s="12">
        <f t="shared" si="9"/>
        <v>384523</v>
      </c>
      <c r="L46" s="12">
        <f t="shared" si="9"/>
        <v>298207</v>
      </c>
      <c r="M46" s="12">
        <f t="shared" si="9"/>
        <v>669637</v>
      </c>
      <c r="N46" s="12">
        <f t="shared" si="9"/>
        <v>4369824</v>
      </c>
      <c r="O46" s="29"/>
    </row>
    <row r="47" spans="1:16">
      <c r="B47" s="7"/>
      <c r="C47" s="7"/>
      <c r="D47" s="7"/>
      <c r="E47" s="7"/>
      <c r="F47" s="7"/>
      <c r="G47" s="7"/>
      <c r="H47" s="7"/>
      <c r="I47" s="7"/>
      <c r="J47" s="7"/>
      <c r="K47" s="6"/>
      <c r="L47" s="6"/>
      <c r="M47" s="6"/>
      <c r="N47" s="6"/>
      <c r="O47" s="6"/>
    </row>
    <row r="48" spans="1:16">
      <c r="A48" s="13" t="s">
        <v>52</v>
      </c>
      <c r="B48" s="19">
        <f t="shared" ref="B48:N48" si="10">+B20+B34+B42+B46</f>
        <v>2324916</v>
      </c>
      <c r="C48" s="19">
        <f t="shared" si="10"/>
        <v>4203462</v>
      </c>
      <c r="D48" s="19">
        <f t="shared" si="10"/>
        <v>3533906</v>
      </c>
      <c r="E48" s="19">
        <f t="shared" si="10"/>
        <v>3322114</v>
      </c>
      <c r="F48" s="19">
        <f>+F20+F34+F42+F46</f>
        <v>2666893</v>
      </c>
      <c r="G48" s="19">
        <f t="shared" si="10"/>
        <v>2218342</v>
      </c>
      <c r="H48" s="19">
        <f t="shared" si="10"/>
        <v>3951590.9775393447</v>
      </c>
      <c r="I48" s="19">
        <f t="shared" si="10"/>
        <v>3115272.8326875726</v>
      </c>
      <c r="J48" s="19">
        <f t="shared" si="10"/>
        <v>3169697.6409406937</v>
      </c>
      <c r="K48" s="19">
        <f t="shared" si="10"/>
        <v>3235617.8755670437</v>
      </c>
      <c r="L48" s="19">
        <f t="shared" si="10"/>
        <v>2797336.6702150907</v>
      </c>
      <c r="M48" s="19">
        <f t="shared" si="10"/>
        <v>2417282.7903261539</v>
      </c>
      <c r="N48" s="19">
        <f t="shared" si="10"/>
        <v>36956431.787275903</v>
      </c>
      <c r="O48" s="29"/>
      <c r="P48" s="25"/>
    </row>
    <row r="49" spans="1:26">
      <c r="B49" s="7"/>
      <c r="C49" s="7"/>
      <c r="D49" s="7"/>
      <c r="E49" s="7"/>
      <c r="F49" s="7"/>
      <c r="G49" s="7"/>
      <c r="H49" s="7"/>
      <c r="I49" s="7"/>
      <c r="J49" s="7"/>
      <c r="K49" s="6"/>
      <c r="L49" s="6"/>
      <c r="M49" s="6"/>
      <c r="N49" s="6"/>
      <c r="O49" s="6"/>
    </row>
    <row r="50" spans="1:26">
      <c r="A50" s="1" t="s">
        <v>53</v>
      </c>
      <c r="B50" s="12">
        <f t="shared" ref="B50:M50" si="11">+B13-B48</f>
        <v>-693145</v>
      </c>
      <c r="C50" s="12">
        <f t="shared" si="11"/>
        <v>80372</v>
      </c>
      <c r="D50" s="12">
        <f t="shared" si="11"/>
        <v>843693.40000000037</v>
      </c>
      <c r="E50" s="12">
        <f t="shared" si="11"/>
        <v>666744</v>
      </c>
      <c r="F50" s="12">
        <f>+F13-F48</f>
        <v>61167</v>
      </c>
      <c r="G50" s="12">
        <f t="shared" si="11"/>
        <v>-185719</v>
      </c>
      <c r="H50" s="12">
        <f t="shared" si="11"/>
        <v>128524.42741065565</v>
      </c>
      <c r="I50" s="12">
        <f t="shared" si="11"/>
        <v>469407.90022242721</v>
      </c>
      <c r="J50" s="12">
        <f t="shared" si="11"/>
        <v>621111.75009930646</v>
      </c>
      <c r="K50" s="12">
        <f t="shared" si="11"/>
        <v>191126.32640295662</v>
      </c>
      <c r="L50" s="12">
        <f t="shared" si="11"/>
        <v>199362.9783349093</v>
      </c>
      <c r="M50" s="12">
        <f t="shared" si="11"/>
        <v>-916951.63903615391</v>
      </c>
      <c r="N50" s="12">
        <f>SUM(B50:M50)</f>
        <v>1465694.1434341017</v>
      </c>
      <c r="O50" s="7"/>
      <c r="P50" s="25">
        <f>+N50</f>
        <v>1465694.1434341017</v>
      </c>
    </row>
    <row r="51" spans="1:26" ht="7.5" customHeight="1">
      <c r="B51" s="7"/>
      <c r="C51" s="7"/>
      <c r="D51" s="7"/>
      <c r="E51" s="7"/>
      <c r="F51" s="7"/>
      <c r="G51" s="7"/>
      <c r="H51" s="7"/>
      <c r="I51" s="7"/>
      <c r="J51" s="7"/>
      <c r="K51" s="6"/>
      <c r="L51" s="6"/>
      <c r="M51" s="6"/>
      <c r="N51" s="6"/>
      <c r="O51" s="6"/>
    </row>
    <row r="52" spans="1:26">
      <c r="A52" s="1" t="s">
        <v>54</v>
      </c>
      <c r="B52" s="7"/>
      <c r="C52" s="7"/>
      <c r="D52" s="7"/>
      <c r="E52" s="7"/>
      <c r="F52" s="7"/>
      <c r="G52" s="7"/>
      <c r="H52" s="7"/>
      <c r="I52" s="7"/>
      <c r="J52" s="7"/>
      <c r="K52" s="6"/>
      <c r="L52" s="6"/>
      <c r="M52" s="6"/>
      <c r="N52" s="6"/>
      <c r="O52" s="6"/>
      <c r="P52" s="2">
        <f>SUM(P41:P50)</f>
        <v>235718.14343410172</v>
      </c>
    </row>
    <row r="53" spans="1:26" s="6" customFormat="1">
      <c r="A53" s="6" t="s">
        <v>55</v>
      </c>
      <c r="B53" s="10">
        <v>17969</v>
      </c>
      <c r="C53" s="10">
        <v>47133.55</v>
      </c>
      <c r="D53" s="10">
        <v>79271.41</v>
      </c>
      <c r="E53" s="10">
        <v>20893.52</v>
      </c>
      <c r="F53" s="10">
        <v>0</v>
      </c>
      <c r="G53" s="10">
        <v>29828</v>
      </c>
      <c r="H53" s="23">
        <v>10000</v>
      </c>
      <c r="I53" s="10">
        <v>20000</v>
      </c>
      <c r="J53" s="10">
        <v>10000</v>
      </c>
      <c r="K53" s="10">
        <v>110000</v>
      </c>
      <c r="L53" s="10">
        <v>10000</v>
      </c>
      <c r="M53" s="10">
        <v>10000</v>
      </c>
      <c r="N53" s="10">
        <f>SUM(B53:M53)</f>
        <v>365095.48</v>
      </c>
      <c r="O53" s="10"/>
      <c r="P53" s="40"/>
      <c r="Z53" s="40"/>
    </row>
    <row r="54" spans="1:26" s="6" customFormat="1">
      <c r="A54" s="6" t="s">
        <v>96</v>
      </c>
      <c r="B54" s="10"/>
      <c r="C54" s="10"/>
      <c r="D54" s="10"/>
      <c r="E54" s="10"/>
      <c r="F54" s="10">
        <v>90000</v>
      </c>
      <c r="G54" s="10"/>
      <c r="H54" s="10"/>
      <c r="I54" s="10"/>
      <c r="J54" s="10"/>
      <c r="K54" s="10"/>
      <c r="L54" s="10"/>
      <c r="M54" s="10"/>
      <c r="N54" s="10">
        <f>SUM(B54:M54)</f>
        <v>90000</v>
      </c>
    </row>
    <row r="55" spans="1:26" s="6" customFormat="1">
      <c r="A55" s="6" t="s">
        <v>111</v>
      </c>
      <c r="B55" s="10">
        <v>425857</v>
      </c>
      <c r="C55" s="10"/>
      <c r="D55" s="10"/>
      <c r="E55" s="10"/>
      <c r="F55" s="10"/>
      <c r="G55" s="10"/>
      <c r="H55" s="10"/>
      <c r="I55" s="10"/>
      <c r="J55" s="10"/>
      <c r="K55" s="10"/>
      <c r="L55" s="10">
        <v>0</v>
      </c>
      <c r="M55" s="56"/>
      <c r="N55" s="10">
        <f>SUM(B55:M55)</f>
        <v>425857</v>
      </c>
    </row>
    <row r="56" spans="1:26" s="6" customFormat="1">
      <c r="A56" s="37" t="s">
        <v>58</v>
      </c>
      <c r="B56" s="7">
        <v>-14346</v>
      </c>
      <c r="C56" s="7">
        <v>-15057</v>
      </c>
      <c r="D56" s="7">
        <v>-19542</v>
      </c>
      <c r="E56" s="7">
        <v>-13668</v>
      </c>
      <c r="F56" s="7">
        <v>-12737</v>
      </c>
      <c r="G56" s="7">
        <v>-77693</v>
      </c>
      <c r="H56" s="7">
        <v>-25000</v>
      </c>
      <c r="I56" s="7">
        <v>-25000</v>
      </c>
      <c r="J56" s="7">
        <v>-20000</v>
      </c>
      <c r="K56" s="7">
        <v>-25000</v>
      </c>
      <c r="L56" s="7">
        <v>-25000</v>
      </c>
      <c r="M56" s="7">
        <v>-20000</v>
      </c>
      <c r="N56" s="7">
        <f>SUM(B56:M56)</f>
        <v>-293043</v>
      </c>
      <c r="O56" s="7"/>
    </row>
    <row r="57" spans="1:26" s="6" customFormat="1">
      <c r="A57" s="6" t="s">
        <v>59</v>
      </c>
      <c r="B57" s="22">
        <v>-29008</v>
      </c>
      <c r="C57" s="22">
        <v>209614</v>
      </c>
      <c r="D57" s="22">
        <v>-83076</v>
      </c>
      <c r="E57" s="22">
        <v>-215833</v>
      </c>
      <c r="F57" s="22">
        <v>-198902</v>
      </c>
      <c r="G57" s="22">
        <v>-207006</v>
      </c>
      <c r="H57" s="22">
        <v>-25000</v>
      </c>
      <c r="I57" s="22">
        <v>-25000</v>
      </c>
      <c r="J57" s="22">
        <v>-25000</v>
      </c>
      <c r="K57" s="22">
        <v>-25000</v>
      </c>
      <c r="L57" s="22">
        <v>-25000</v>
      </c>
      <c r="M57" s="22">
        <v>-25000</v>
      </c>
      <c r="N57" s="22">
        <f>SUM(B57:M57)</f>
        <v>-674211</v>
      </c>
      <c r="O57" s="56"/>
    </row>
    <row r="58" spans="1:26" s="6" customFormat="1">
      <c r="A58" s="13" t="s">
        <v>60</v>
      </c>
      <c r="B58" s="19">
        <f t="shared" ref="B58:N58" si="12">SUM(B53:B57)</f>
        <v>400472</v>
      </c>
      <c r="C58" s="19">
        <f t="shared" si="12"/>
        <v>241690.55</v>
      </c>
      <c r="D58" s="19">
        <f t="shared" si="12"/>
        <v>-23346.589999999997</v>
      </c>
      <c r="E58" s="19">
        <f t="shared" si="12"/>
        <v>-208607.48</v>
      </c>
      <c r="F58" s="19">
        <f t="shared" si="12"/>
        <v>-121639</v>
      </c>
      <c r="G58" s="19">
        <f t="shared" si="12"/>
        <v>-254871</v>
      </c>
      <c r="H58" s="19">
        <f>SUM(H53:H57)</f>
        <v>-40000</v>
      </c>
      <c r="I58" s="19">
        <f t="shared" si="12"/>
        <v>-30000</v>
      </c>
      <c r="J58" s="19">
        <f t="shared" si="12"/>
        <v>-35000</v>
      </c>
      <c r="K58" s="19">
        <f t="shared" si="12"/>
        <v>60000</v>
      </c>
      <c r="L58" s="19">
        <f t="shared" si="12"/>
        <v>-40000</v>
      </c>
      <c r="M58" s="19">
        <f t="shared" si="12"/>
        <v>-35000</v>
      </c>
      <c r="N58" s="19">
        <f t="shared" si="12"/>
        <v>-86301.520000000019</v>
      </c>
      <c r="O58" s="29"/>
    </row>
    <row r="59" spans="1:26">
      <c r="B59" s="7"/>
      <c r="C59" s="7"/>
      <c r="D59" s="7"/>
      <c r="E59" s="7"/>
      <c r="F59" s="7"/>
      <c r="G59" s="7"/>
      <c r="H59" s="7"/>
      <c r="I59" s="7"/>
      <c r="J59" s="7"/>
      <c r="K59" s="7"/>
      <c r="L59" s="7"/>
      <c r="M59" s="7"/>
      <c r="N59" s="7"/>
      <c r="O59" s="6"/>
    </row>
    <row r="60" spans="1:26">
      <c r="A60" s="1" t="s">
        <v>61</v>
      </c>
      <c r="B60" s="12">
        <v>13598947</v>
      </c>
      <c r="C60" s="7"/>
      <c r="D60" s="7"/>
      <c r="E60" s="7"/>
      <c r="F60" s="7"/>
      <c r="G60" s="7"/>
      <c r="H60" s="7" t="s">
        <v>38</v>
      </c>
      <c r="I60" s="7"/>
      <c r="J60" s="7"/>
      <c r="K60" s="6"/>
      <c r="L60" s="6"/>
      <c r="M60" s="6"/>
      <c r="N60" s="6"/>
      <c r="O60" s="6"/>
    </row>
    <row r="61" spans="1:26">
      <c r="A61" s="13" t="s">
        <v>62</v>
      </c>
      <c r="B61" s="19">
        <f t="shared" ref="B61:N61" si="13">+B58+B48</f>
        <v>2725388</v>
      </c>
      <c r="C61" s="19">
        <f t="shared" si="13"/>
        <v>4445152.55</v>
      </c>
      <c r="D61" s="19">
        <f t="shared" si="13"/>
        <v>3510559.41</v>
      </c>
      <c r="E61" s="19">
        <f t="shared" si="13"/>
        <v>3113506.52</v>
      </c>
      <c r="F61" s="19">
        <f>+F58+F48</f>
        <v>2545254</v>
      </c>
      <c r="G61" s="19">
        <f t="shared" si="13"/>
        <v>1963471</v>
      </c>
      <c r="H61" s="19">
        <f t="shared" si="13"/>
        <v>3911590.9775393447</v>
      </c>
      <c r="I61" s="19">
        <f t="shared" si="13"/>
        <v>3085272.8326875726</v>
      </c>
      <c r="J61" s="19">
        <f t="shared" si="13"/>
        <v>3134697.6409406937</v>
      </c>
      <c r="K61" s="19">
        <f t="shared" si="13"/>
        <v>3295617.8755670437</v>
      </c>
      <c r="L61" s="19">
        <f t="shared" si="13"/>
        <v>2757336.6702150907</v>
      </c>
      <c r="M61" s="19">
        <f t="shared" si="13"/>
        <v>2382282.7903261539</v>
      </c>
      <c r="N61" s="19">
        <f t="shared" si="13"/>
        <v>36870130.2672759</v>
      </c>
      <c r="O61" s="29"/>
    </row>
    <row r="62" spans="1:26" ht="13.5" thickBot="1">
      <c r="A62" s="13" t="s">
        <v>63</v>
      </c>
      <c r="B62" s="14">
        <f t="shared" ref="B62:N62" si="14">+B13-B61</f>
        <v>-1093617</v>
      </c>
      <c r="C62" s="14">
        <f t="shared" si="14"/>
        <v>-161318.54999999981</v>
      </c>
      <c r="D62" s="14">
        <f t="shared" si="14"/>
        <v>867039.99000000022</v>
      </c>
      <c r="E62" s="14">
        <f t="shared" si="14"/>
        <v>875351.48</v>
      </c>
      <c r="F62" s="14">
        <f>+F13-F61</f>
        <v>182806</v>
      </c>
      <c r="G62" s="14">
        <f t="shared" si="14"/>
        <v>69152</v>
      </c>
      <c r="H62" s="14">
        <f t="shared" si="14"/>
        <v>168524.42741065565</v>
      </c>
      <c r="I62" s="14">
        <f t="shared" si="14"/>
        <v>499407.90022242721</v>
      </c>
      <c r="J62" s="14">
        <f t="shared" si="14"/>
        <v>656111.75009930646</v>
      </c>
      <c r="K62" s="14">
        <f t="shared" si="14"/>
        <v>131126.32640295662</v>
      </c>
      <c r="L62" s="14">
        <f t="shared" si="14"/>
        <v>239362.9783349093</v>
      </c>
      <c r="M62" s="14">
        <f t="shared" si="14"/>
        <v>-881951.63903615391</v>
      </c>
      <c r="N62" s="14">
        <f t="shared" si="14"/>
        <v>1551995.6634340957</v>
      </c>
      <c r="O62" s="29"/>
    </row>
    <row r="63" spans="1:26" s="6" customFormat="1" ht="13.5" thickTop="1">
      <c r="A63" s="13" t="s">
        <v>64</v>
      </c>
      <c r="B63" s="12">
        <f>+B62</f>
        <v>-1093617</v>
      </c>
      <c r="C63" s="12">
        <f t="shared" ref="C63:M63" si="15">B63+C62</f>
        <v>-1254935.5499999998</v>
      </c>
      <c r="D63" s="12">
        <f t="shared" si="15"/>
        <v>-387895.55999999959</v>
      </c>
      <c r="E63" s="12">
        <f t="shared" si="15"/>
        <v>487455.92000000039</v>
      </c>
      <c r="F63" s="12">
        <f t="shared" si="15"/>
        <v>670261.92000000039</v>
      </c>
      <c r="G63" s="12">
        <f t="shared" si="15"/>
        <v>739413.92000000039</v>
      </c>
      <c r="H63" s="12">
        <f t="shared" si="15"/>
        <v>907938.34741065605</v>
      </c>
      <c r="I63" s="12">
        <f t="shared" si="15"/>
        <v>1407346.2476330833</v>
      </c>
      <c r="J63" s="12">
        <f t="shared" si="15"/>
        <v>2063457.9977323897</v>
      </c>
      <c r="K63" s="12">
        <f t="shared" si="15"/>
        <v>2194584.3241353463</v>
      </c>
      <c r="L63" s="12">
        <f t="shared" si="15"/>
        <v>2433947.3024702556</v>
      </c>
      <c r="M63" s="12">
        <f t="shared" si="15"/>
        <v>1551995.6634341017</v>
      </c>
      <c r="N63" s="12"/>
    </row>
    <row r="64" spans="1:26">
      <c r="A64" s="13" t="s">
        <v>65</v>
      </c>
      <c r="B64" s="12">
        <f t="shared" ref="B64:M64" si="16">+$B$60+B63</f>
        <v>12505330</v>
      </c>
      <c r="C64" s="12">
        <f t="shared" si="16"/>
        <v>12344011.449999999</v>
      </c>
      <c r="D64" s="12">
        <f t="shared" si="16"/>
        <v>13211051.440000001</v>
      </c>
      <c r="E64" s="12">
        <f t="shared" si="16"/>
        <v>14086402.92</v>
      </c>
      <c r="F64" s="12">
        <f>+$B$60+F63</f>
        <v>14269208.92</v>
      </c>
      <c r="G64" s="12">
        <f t="shared" si="16"/>
        <v>14338360.92</v>
      </c>
      <c r="H64" s="12">
        <f t="shared" si="16"/>
        <v>14506885.347410657</v>
      </c>
      <c r="I64" s="12">
        <f t="shared" si="16"/>
        <v>15006293.247633083</v>
      </c>
      <c r="J64" s="12">
        <f t="shared" si="16"/>
        <v>15662404.99773239</v>
      </c>
      <c r="K64" s="12">
        <f t="shared" si="16"/>
        <v>15793531.324135346</v>
      </c>
      <c r="L64" s="12">
        <f t="shared" si="16"/>
        <v>16032894.302470256</v>
      </c>
      <c r="M64" s="12">
        <f t="shared" si="16"/>
        <v>15150942.663434101</v>
      </c>
      <c r="N64" s="12"/>
      <c r="O64" s="6"/>
    </row>
    <row r="65" spans="1:15">
      <c r="A65" s="6"/>
      <c r="B65" s="7"/>
      <c r="C65" s="7"/>
      <c r="D65" s="7"/>
      <c r="E65" s="7"/>
      <c r="F65" s="7"/>
      <c r="G65" s="7"/>
      <c r="H65" s="7"/>
      <c r="I65" s="7"/>
      <c r="J65" s="7"/>
      <c r="K65" s="6"/>
      <c r="L65" s="6"/>
      <c r="M65" s="6"/>
      <c r="N65" s="6"/>
      <c r="O65" s="6"/>
    </row>
    <row r="66" spans="1:15" s="6" customFormat="1">
      <c r="A66" s="17" t="s">
        <v>126</v>
      </c>
      <c r="B66" s="18"/>
      <c r="C66" s="18"/>
      <c r="D66" s="18"/>
      <c r="E66" s="18"/>
      <c r="F66" s="18"/>
      <c r="G66" s="18"/>
      <c r="H66" s="18"/>
      <c r="I66" s="18"/>
      <c r="J66" s="18"/>
      <c r="K66" s="18"/>
      <c r="L66" s="18"/>
      <c r="M66" s="18"/>
      <c r="N66" s="18"/>
    </row>
    <row r="67" spans="1:15" ht="13.5" thickBot="1">
      <c r="A67" s="13" t="s">
        <v>67</v>
      </c>
      <c r="B67" s="30">
        <v>-1263474.9897115808</v>
      </c>
      <c r="C67" s="30">
        <v>-102010.94887173455</v>
      </c>
      <c r="D67" s="30">
        <v>854641.48144806735</v>
      </c>
      <c r="E67" s="30">
        <v>550109.68371886434</v>
      </c>
      <c r="F67" s="30">
        <v>-58453.035503471736</v>
      </c>
      <c r="G67" s="30">
        <v>-6981.7485968954861</v>
      </c>
      <c r="H67" s="14">
        <v>168524.42741065565</v>
      </c>
      <c r="I67" s="14">
        <v>499407.90022242721</v>
      </c>
      <c r="J67" s="14">
        <v>656111.75009930646</v>
      </c>
      <c r="K67" s="14">
        <v>131126.32640295662</v>
      </c>
      <c r="L67" s="14">
        <v>239362.9783349093</v>
      </c>
      <c r="M67" s="14">
        <v>-881951.63903615391</v>
      </c>
      <c r="N67" s="16"/>
      <c r="O67" s="6"/>
    </row>
    <row r="68" spans="1:15" ht="13.5" thickTop="1">
      <c r="A68" s="13" t="s">
        <v>64</v>
      </c>
      <c r="B68" s="32">
        <f>+B67</f>
        <v>-1263474.9897115808</v>
      </c>
      <c r="C68" s="32">
        <f>+B68+C67</f>
        <v>-1365485.9385833154</v>
      </c>
      <c r="D68" s="32">
        <f t="shared" ref="D68:M68" si="17">+C68+D67</f>
        <v>-510844.457135248</v>
      </c>
      <c r="E68" s="32">
        <f t="shared" si="17"/>
        <v>39265.226583616342</v>
      </c>
      <c r="F68" s="32">
        <f t="shared" si="17"/>
        <v>-19187.808919855393</v>
      </c>
      <c r="G68" s="32">
        <f t="shared" si="17"/>
        <v>-26169.55751675088</v>
      </c>
      <c r="H68" s="12">
        <f t="shared" si="17"/>
        <v>142354.86989390478</v>
      </c>
      <c r="I68" s="12">
        <f t="shared" si="17"/>
        <v>641762.77011633199</v>
      </c>
      <c r="J68" s="12">
        <f t="shared" si="17"/>
        <v>1297874.5202156384</v>
      </c>
      <c r="K68" s="12">
        <f t="shared" si="17"/>
        <v>1429000.8466185951</v>
      </c>
      <c r="L68" s="12">
        <f t="shared" si="17"/>
        <v>1668363.8249535044</v>
      </c>
      <c r="M68" s="12">
        <f t="shared" si="17"/>
        <v>786412.18591735046</v>
      </c>
      <c r="N68" s="16"/>
      <c r="O68" s="6"/>
    </row>
    <row r="69" spans="1:15">
      <c r="A69" s="13" t="s">
        <v>65</v>
      </c>
      <c r="B69" s="12">
        <v>12917512</v>
      </c>
      <c r="C69" s="12">
        <v>12793700</v>
      </c>
      <c r="D69" s="12">
        <v>13941855</v>
      </c>
      <c r="E69" s="12">
        <v>14525011</v>
      </c>
      <c r="F69" s="12">
        <v>14399159</v>
      </c>
      <c r="G69" s="12">
        <v>14361469</v>
      </c>
      <c r="H69" s="12">
        <v>14462138</v>
      </c>
      <c r="I69" s="12">
        <v>15244556</v>
      </c>
      <c r="J69" s="12">
        <v>15579898</v>
      </c>
      <c r="K69" s="12">
        <v>15948341</v>
      </c>
      <c r="L69" s="12">
        <v>16058562</v>
      </c>
      <c r="M69" s="12">
        <v>14998982</v>
      </c>
      <c r="N69" s="12"/>
      <c r="O69" s="6"/>
    </row>
    <row r="70" spans="1:15">
      <c r="A70" s="6"/>
      <c r="B70" s="6"/>
      <c r="C70" s="6"/>
      <c r="E70" s="6"/>
      <c r="F70" s="6"/>
      <c r="H70" s="6"/>
      <c r="I70" s="6"/>
      <c r="J70" s="6"/>
      <c r="K70" s="6"/>
      <c r="L70" s="6"/>
      <c r="M70" s="6"/>
      <c r="N70" s="6"/>
      <c r="O70" s="6"/>
    </row>
    <row r="71" spans="1:15">
      <c r="A71" s="24" t="s">
        <v>68</v>
      </c>
      <c r="B71" s="18"/>
      <c r="C71" s="18"/>
      <c r="D71" s="18"/>
      <c r="E71" s="18"/>
      <c r="F71" s="18"/>
      <c r="G71" s="18"/>
      <c r="H71" s="18"/>
      <c r="I71" s="18"/>
      <c r="J71" s="18"/>
      <c r="K71" s="18"/>
      <c r="L71" s="18"/>
      <c r="M71" s="18"/>
      <c r="N71" s="18"/>
      <c r="O71" s="6"/>
    </row>
    <row r="72" spans="1:15">
      <c r="A72" s="13" t="s">
        <v>63</v>
      </c>
      <c r="B72" s="31">
        <f t="shared" ref="B72:N74" si="18">+B62-B67</f>
        <v>169857.9897115808</v>
      </c>
      <c r="C72" s="31">
        <f t="shared" si="18"/>
        <v>-59307.601128265262</v>
      </c>
      <c r="D72" s="31">
        <f t="shared" si="18"/>
        <v>12398.508551932871</v>
      </c>
      <c r="E72" s="31">
        <f t="shared" si="18"/>
        <v>325241.79628113564</v>
      </c>
      <c r="F72" s="31">
        <f t="shared" si="18"/>
        <v>241259.03550347174</v>
      </c>
      <c r="G72" s="31">
        <f t="shared" si="18"/>
        <v>76133.748596895486</v>
      </c>
      <c r="H72" s="16">
        <f t="shared" si="18"/>
        <v>0</v>
      </c>
      <c r="I72" s="16">
        <f t="shared" si="18"/>
        <v>0</v>
      </c>
      <c r="J72" s="16">
        <f t="shared" si="18"/>
        <v>0</v>
      </c>
      <c r="K72" s="16">
        <f t="shared" si="18"/>
        <v>0</v>
      </c>
      <c r="L72" s="16">
        <f t="shared" si="18"/>
        <v>0</v>
      </c>
      <c r="M72" s="16">
        <f t="shared" si="18"/>
        <v>0</v>
      </c>
      <c r="N72" s="6"/>
      <c r="O72" s="6"/>
    </row>
    <row r="73" spans="1:15" s="6" customFormat="1">
      <c r="A73" s="13" t="s">
        <v>64</v>
      </c>
      <c r="B73" s="31">
        <f t="shared" si="18"/>
        <v>169857.9897115808</v>
      </c>
      <c r="C73" s="31">
        <f t="shared" si="18"/>
        <v>110550.38858331554</v>
      </c>
      <c r="D73" s="31">
        <f t="shared" si="18"/>
        <v>122948.89713524841</v>
      </c>
      <c r="E73" s="31">
        <f t="shared" si="18"/>
        <v>448190.69341638405</v>
      </c>
      <c r="F73" s="31">
        <f t="shared" si="18"/>
        <v>689449.72891985578</v>
      </c>
      <c r="G73" s="31">
        <f t="shared" si="18"/>
        <v>765583.47751675127</v>
      </c>
      <c r="H73" s="16">
        <f t="shared" si="18"/>
        <v>765583.47751675127</v>
      </c>
      <c r="I73" s="16">
        <f t="shared" si="18"/>
        <v>765583.47751675127</v>
      </c>
      <c r="J73" s="16">
        <f t="shared" si="18"/>
        <v>765583.47751675127</v>
      </c>
      <c r="K73" s="16">
        <f t="shared" si="18"/>
        <v>765583.47751675127</v>
      </c>
      <c r="L73" s="16">
        <f t="shared" si="18"/>
        <v>765583.47751675127</v>
      </c>
      <c r="M73" s="16">
        <f t="shared" si="18"/>
        <v>765583.47751675127</v>
      </c>
      <c r="N73" s="16">
        <f t="shared" si="18"/>
        <v>0</v>
      </c>
    </row>
    <row r="74" spans="1:15">
      <c r="A74" s="1" t="s">
        <v>65</v>
      </c>
      <c r="B74" s="16">
        <f t="shared" si="18"/>
        <v>-412182</v>
      </c>
      <c r="C74" s="16">
        <f t="shared" si="18"/>
        <v>-449688.55000000075</v>
      </c>
      <c r="D74" s="16">
        <f t="shared" si="18"/>
        <v>-730803.55999999866</v>
      </c>
      <c r="E74" s="16">
        <f t="shared" si="18"/>
        <v>-438608.08000000007</v>
      </c>
      <c r="F74" s="16">
        <f t="shared" si="18"/>
        <v>-129950.08000000007</v>
      </c>
      <c r="G74" s="16">
        <f t="shared" si="18"/>
        <v>-23108.080000000075</v>
      </c>
      <c r="H74" s="16">
        <f t="shared" si="18"/>
        <v>44747.347410656512</v>
      </c>
      <c r="I74" s="16">
        <f t="shared" si="18"/>
        <v>-238262.75236691721</v>
      </c>
      <c r="J74" s="16">
        <f t="shared" si="18"/>
        <v>82506.997732389718</v>
      </c>
      <c r="K74" s="16">
        <f t="shared" si="18"/>
        <v>-154809.67586465366</v>
      </c>
      <c r="L74" s="16">
        <f t="shared" si="18"/>
        <v>-25667.697529744357</v>
      </c>
      <c r="M74" s="16">
        <f t="shared" si="18"/>
        <v>151960.66343410127</v>
      </c>
      <c r="N74" s="16"/>
      <c r="O74" s="6"/>
    </row>
    <row r="75" spans="1:15">
      <c r="B75" s="6"/>
      <c r="C75" s="6"/>
      <c r="E75" s="6"/>
      <c r="F75" s="6"/>
      <c r="H75" s="6"/>
      <c r="I75" s="6"/>
      <c r="J75" s="6"/>
      <c r="K75" s="6"/>
      <c r="L75" s="6"/>
      <c r="M75" s="6"/>
      <c r="N75" s="6"/>
    </row>
    <row r="76" spans="1:15">
      <c r="A76" s="1"/>
      <c r="B76" s="4"/>
      <c r="C76" s="8"/>
      <c r="D76" s="8"/>
      <c r="E76" s="8"/>
      <c r="F76" s="8"/>
      <c r="H76" s="20"/>
      <c r="J76" s="6"/>
      <c r="K76" s="6"/>
    </row>
    <row r="77" spans="1:15">
      <c r="A77" s="1"/>
      <c r="B77" s="4"/>
      <c r="C77" s="8"/>
      <c r="D77" s="8"/>
      <c r="E77" s="8"/>
      <c r="F77" s="8"/>
      <c r="H77" s="85"/>
      <c r="I77" s="86"/>
      <c r="J77" s="85"/>
    </row>
    <row r="78" spans="1:15">
      <c r="A78" s="1"/>
      <c r="B78" s="4"/>
      <c r="D78" s="8"/>
      <c r="E78" s="8"/>
      <c r="F78" s="8"/>
      <c r="H78" s="61"/>
      <c r="J78" s="6"/>
    </row>
    <row r="79" spans="1:15">
      <c r="E79" s="6"/>
      <c r="H79" s="20"/>
      <c r="J79" s="6"/>
      <c r="N79" s="25"/>
    </row>
    <row r="80" spans="1:15">
      <c r="A80" t="s">
        <v>69</v>
      </c>
      <c r="B80" t="s">
        <v>69</v>
      </c>
      <c r="C80" t="s">
        <v>69</v>
      </c>
      <c r="D80" s="6" t="s">
        <v>69</v>
      </c>
      <c r="E80" s="6" t="s">
        <v>69</v>
      </c>
      <c r="F80" t="s">
        <v>69</v>
      </c>
      <c r="G80" s="6" t="s">
        <v>69</v>
      </c>
      <c r="H80" t="s">
        <v>69</v>
      </c>
      <c r="I80" t="s">
        <v>69</v>
      </c>
      <c r="J80" s="6" t="s">
        <v>69</v>
      </c>
      <c r="K80" t="s">
        <v>69</v>
      </c>
      <c r="L80" t="s">
        <v>69</v>
      </c>
      <c r="M80" t="s">
        <v>69</v>
      </c>
      <c r="N80" t="s">
        <v>69</v>
      </c>
    </row>
    <row r="82" spans="6:8">
      <c r="F82">
        <v>11636.78</v>
      </c>
      <c r="H82">
        <v>73191.26999999999</v>
      </c>
    </row>
    <row r="84" spans="6:8">
      <c r="F84" s="2">
        <f>SUM(B56:F56)</f>
        <v>-75350</v>
      </c>
    </row>
    <row r="85" spans="6:8">
      <c r="F85" s="2">
        <f>SUM(B57:F57)</f>
        <v>-317205</v>
      </c>
    </row>
  </sheetData>
  <pageMargins left="0.28000000000000003" right="0.25" top="0.99" bottom="0.75" header="0.63" footer="0.23"/>
  <pageSetup scale="60" orientation="landscape" r:id="rId1"/>
  <headerFooter alignWithMargins="0">
    <oddHeader xml:space="preserve">&amp;C&amp;"Arial,Bold"&amp;11 49ER SHOPS, INC.
&amp;UFY2019/2020 OPERATIONAL CASH FLOW </oddHeader>
    <oddFooter>&amp;CCash Flow - FY2019/2020
December 2019</oddFooter>
  </headerFooter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F5C54A97FE9ED438D248D43949F7C13" ma:contentTypeVersion="7" ma:contentTypeDescription="Create a new document." ma:contentTypeScope="" ma:versionID="5e274574e3b5b54ded529acc6f11769a">
  <xsd:schema xmlns:xsd="http://www.w3.org/2001/XMLSchema" xmlns:xs="http://www.w3.org/2001/XMLSchema" xmlns:p="http://schemas.microsoft.com/office/2006/metadata/properties" xmlns:ns3="762caf36-b0c2-49b4-ab14-ff4bceb8c0ae" targetNamespace="http://schemas.microsoft.com/office/2006/metadata/properties" ma:root="true" ma:fieldsID="95afb0fff55d0cbcdfb77ace4b1c315f" ns3:_="">
    <xsd:import namespace="762caf36-b0c2-49b4-ab14-ff4bceb8c0ae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OCR" minOccurs="0"/>
                <xsd:element ref="ns3:MediaServiceDateTake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62caf36-b0c2-49b4-ab14-ff4bceb8c0a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KeyPoints" ma:index="13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4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7314298C-D83A-4426-AC49-9957799C9ECB}">
  <ds:schemaRefs>
    <ds:schemaRef ds:uri="http://purl.org/dc/elements/1.1/"/>
    <ds:schemaRef ds:uri="http://schemas.openxmlformats.org/package/2006/metadata/core-properties"/>
    <ds:schemaRef ds:uri="762caf36-b0c2-49b4-ab14-ff4bceb8c0ae"/>
    <ds:schemaRef ds:uri="http://purl.org/dc/terms/"/>
    <ds:schemaRef ds:uri="http://schemas.microsoft.com/office/2006/documentManagement/types"/>
    <ds:schemaRef ds:uri="http://schemas.microsoft.com/office/2006/metadata/properties"/>
    <ds:schemaRef ds:uri="http://schemas.microsoft.com/office/infopath/2007/PartnerControls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0BFFC2B1-875A-4AD3-AD83-48F0DCA7CD09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FF13DD7C-0B80-438F-A624-A24DDD48C2B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62caf36-b0c2-49b4-ab14-ff4bceb8c0a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50</vt:i4>
      </vt:variant>
      <vt:variant>
        <vt:lpstr>Named Ranges</vt:lpstr>
      </vt:variant>
      <vt:variant>
        <vt:i4>89</vt:i4>
      </vt:variant>
    </vt:vector>
  </HeadingPairs>
  <TitlesOfParts>
    <vt:vector size="139" baseType="lpstr">
      <vt:lpstr>Instructions</vt:lpstr>
      <vt:lpstr>June 2016 Post-audit</vt:lpstr>
      <vt:lpstr>FY2016-17 Budget</vt:lpstr>
      <vt:lpstr>July 2016</vt:lpstr>
      <vt:lpstr>Aug 2016</vt:lpstr>
      <vt:lpstr>Sept 2016</vt:lpstr>
      <vt:lpstr>Oct 2016</vt:lpstr>
      <vt:lpstr>Nov 2016</vt:lpstr>
      <vt:lpstr>Dec 2016</vt:lpstr>
      <vt:lpstr>Jan 2017</vt:lpstr>
      <vt:lpstr>Feb 2017</vt:lpstr>
      <vt:lpstr>Mar 2017</vt:lpstr>
      <vt:lpstr>April 2017</vt:lpstr>
      <vt:lpstr>May 2017</vt:lpstr>
      <vt:lpstr>June 2017 Pre-Audit</vt:lpstr>
      <vt:lpstr>June 2017 Post-Audit</vt:lpstr>
      <vt:lpstr>FY 2017-18 Budget</vt:lpstr>
      <vt:lpstr>July 2017</vt:lpstr>
      <vt:lpstr>Aug 2017</vt:lpstr>
      <vt:lpstr>Sept 2017</vt:lpstr>
      <vt:lpstr>Oct 2017</vt:lpstr>
      <vt:lpstr>Nov 2017</vt:lpstr>
      <vt:lpstr>Dec 2017</vt:lpstr>
      <vt:lpstr>Jan 2018</vt:lpstr>
      <vt:lpstr>Feb 2018</vt:lpstr>
      <vt:lpstr>Mar  2018</vt:lpstr>
      <vt:lpstr>Apr 2018</vt:lpstr>
      <vt:lpstr>May 2018</vt:lpstr>
      <vt:lpstr>June 2018 Preaudit</vt:lpstr>
      <vt:lpstr>June 2018 Post-audit</vt:lpstr>
      <vt:lpstr>FY 2018-2019 Budget</vt:lpstr>
      <vt:lpstr>July 2018</vt:lpstr>
      <vt:lpstr>August 2018</vt:lpstr>
      <vt:lpstr>September 2018</vt:lpstr>
      <vt:lpstr>October 2018</vt:lpstr>
      <vt:lpstr>November 2018</vt:lpstr>
      <vt:lpstr>December 2018</vt:lpstr>
      <vt:lpstr>January 2019</vt:lpstr>
      <vt:lpstr>March 2019</vt:lpstr>
      <vt:lpstr>April 2019</vt:lpstr>
      <vt:lpstr>Budget FY 2019-20</vt:lpstr>
      <vt:lpstr>July 2019</vt:lpstr>
      <vt:lpstr>Aug 2019</vt:lpstr>
      <vt:lpstr>Sept 2019</vt:lpstr>
      <vt:lpstr>Oct 2019</vt:lpstr>
      <vt:lpstr>Nov 2019</vt:lpstr>
      <vt:lpstr>Feb 2020</vt:lpstr>
      <vt:lpstr>February 2019</vt:lpstr>
      <vt:lpstr>Jan 2020</vt:lpstr>
      <vt:lpstr>Dec 2019</vt:lpstr>
      <vt:lpstr>'April 2019'!OSRRefD29_0x</vt:lpstr>
      <vt:lpstr>'Aug 2019'!OSRRefD29_0x</vt:lpstr>
      <vt:lpstr>'August 2018'!OSRRefD29_0x</vt:lpstr>
      <vt:lpstr>'Budget FY 2019-20'!OSRRefD29_0x</vt:lpstr>
      <vt:lpstr>'Dec 2019'!OSRRefD29_0x</vt:lpstr>
      <vt:lpstr>'December 2018'!OSRRefD29_0x</vt:lpstr>
      <vt:lpstr>'Feb 2020'!OSRRefD29_0x</vt:lpstr>
      <vt:lpstr>'February 2019'!OSRRefD29_0x</vt:lpstr>
      <vt:lpstr>'FY 2018-2019 Budget'!OSRRefD29_0x</vt:lpstr>
      <vt:lpstr>'Jan 2020'!OSRRefD29_0x</vt:lpstr>
      <vt:lpstr>'January 2019'!OSRRefD29_0x</vt:lpstr>
      <vt:lpstr>'July 2018'!OSRRefD29_0x</vt:lpstr>
      <vt:lpstr>'July 2019'!OSRRefD29_0x</vt:lpstr>
      <vt:lpstr>'March 2019'!OSRRefD29_0x</vt:lpstr>
      <vt:lpstr>'Nov 2019'!OSRRefD29_0x</vt:lpstr>
      <vt:lpstr>'November 2018'!OSRRefD29_0x</vt:lpstr>
      <vt:lpstr>'Oct 2019'!OSRRefD29_0x</vt:lpstr>
      <vt:lpstr>'October 2018'!OSRRefD29_0x</vt:lpstr>
      <vt:lpstr>'Sept 2019'!OSRRefD29_0x</vt:lpstr>
      <vt:lpstr>'September 2018'!OSRRefD29_0x</vt:lpstr>
      <vt:lpstr>'April 2019'!OSRRefD30_0x</vt:lpstr>
      <vt:lpstr>'Aug 2019'!OSRRefD30_0x</vt:lpstr>
      <vt:lpstr>'August 2018'!OSRRefD30_0x</vt:lpstr>
      <vt:lpstr>'Budget FY 2019-20'!OSRRefD30_0x</vt:lpstr>
      <vt:lpstr>'Dec 2019'!OSRRefD30_0x</vt:lpstr>
      <vt:lpstr>'December 2018'!OSRRefD30_0x</vt:lpstr>
      <vt:lpstr>'Feb 2020'!OSRRefD30_0x</vt:lpstr>
      <vt:lpstr>'February 2019'!OSRRefD30_0x</vt:lpstr>
      <vt:lpstr>'FY 2018-2019 Budget'!OSRRefD30_0x</vt:lpstr>
      <vt:lpstr>'Jan 2020'!OSRRefD30_0x</vt:lpstr>
      <vt:lpstr>'January 2019'!OSRRefD30_0x</vt:lpstr>
      <vt:lpstr>'July 2018'!OSRRefD30_0x</vt:lpstr>
      <vt:lpstr>'July 2019'!OSRRefD30_0x</vt:lpstr>
      <vt:lpstr>'March 2019'!OSRRefD30_0x</vt:lpstr>
      <vt:lpstr>'Nov 2019'!OSRRefD30_0x</vt:lpstr>
      <vt:lpstr>'November 2018'!OSRRefD30_0x</vt:lpstr>
      <vt:lpstr>'Oct 2019'!OSRRefD30_0x</vt:lpstr>
      <vt:lpstr>'October 2018'!OSRRefD30_0x</vt:lpstr>
      <vt:lpstr>'Sept 2019'!OSRRefD30_0x</vt:lpstr>
      <vt:lpstr>'September 2018'!OSRRefD30_0x</vt:lpstr>
      <vt:lpstr>'Apr 2018'!Print_Area</vt:lpstr>
      <vt:lpstr>'April 2017'!Print_Area</vt:lpstr>
      <vt:lpstr>'April 2019'!Print_Area</vt:lpstr>
      <vt:lpstr>'Aug 2016'!Print_Area</vt:lpstr>
      <vt:lpstr>'Aug 2017'!Print_Area</vt:lpstr>
      <vt:lpstr>'Aug 2019'!Print_Area</vt:lpstr>
      <vt:lpstr>'August 2018'!Print_Area</vt:lpstr>
      <vt:lpstr>'Budget FY 2019-20'!Print_Area</vt:lpstr>
      <vt:lpstr>'Dec 2016'!Print_Area</vt:lpstr>
      <vt:lpstr>'Dec 2017'!Print_Area</vt:lpstr>
      <vt:lpstr>'Dec 2019'!Print_Area</vt:lpstr>
      <vt:lpstr>'December 2018'!Print_Area</vt:lpstr>
      <vt:lpstr>'Feb 2017'!Print_Area</vt:lpstr>
      <vt:lpstr>'Feb 2018'!Print_Area</vt:lpstr>
      <vt:lpstr>'Feb 2020'!Print_Area</vt:lpstr>
      <vt:lpstr>'February 2019'!Print_Area</vt:lpstr>
      <vt:lpstr>'FY 2017-18 Budget'!Print_Area</vt:lpstr>
      <vt:lpstr>'FY 2018-2019 Budget'!Print_Area</vt:lpstr>
      <vt:lpstr>'FY2016-17 Budget'!Print_Area</vt:lpstr>
      <vt:lpstr>'Jan 2017'!Print_Area</vt:lpstr>
      <vt:lpstr>'Jan 2018'!Print_Area</vt:lpstr>
      <vt:lpstr>'Jan 2020'!Print_Area</vt:lpstr>
      <vt:lpstr>'January 2019'!Print_Area</vt:lpstr>
      <vt:lpstr>'July 2016'!Print_Area</vt:lpstr>
      <vt:lpstr>'July 2017'!Print_Area</vt:lpstr>
      <vt:lpstr>'July 2018'!Print_Area</vt:lpstr>
      <vt:lpstr>'July 2019'!Print_Area</vt:lpstr>
      <vt:lpstr>'June 2016 Post-audit'!Print_Area</vt:lpstr>
      <vt:lpstr>'June 2017 Post-Audit'!Print_Area</vt:lpstr>
      <vt:lpstr>'June 2017 Pre-Audit'!Print_Area</vt:lpstr>
      <vt:lpstr>'June 2018 Post-audit'!Print_Area</vt:lpstr>
      <vt:lpstr>'June 2018 Preaudit'!Print_Area</vt:lpstr>
      <vt:lpstr>'Mar  2018'!Print_Area</vt:lpstr>
      <vt:lpstr>'Mar 2017'!Print_Area</vt:lpstr>
      <vt:lpstr>'March 2019'!Print_Area</vt:lpstr>
      <vt:lpstr>'May 2017'!Print_Area</vt:lpstr>
      <vt:lpstr>'May 2018'!Print_Area</vt:lpstr>
      <vt:lpstr>'Nov 2016'!Print_Area</vt:lpstr>
      <vt:lpstr>'Nov 2017'!Print_Area</vt:lpstr>
      <vt:lpstr>'Nov 2019'!Print_Area</vt:lpstr>
      <vt:lpstr>'November 2018'!Print_Area</vt:lpstr>
      <vt:lpstr>'Oct 2016'!Print_Area</vt:lpstr>
      <vt:lpstr>'Oct 2017'!Print_Area</vt:lpstr>
      <vt:lpstr>'Oct 2019'!Print_Area</vt:lpstr>
      <vt:lpstr>'October 2018'!Print_Area</vt:lpstr>
      <vt:lpstr>'Sept 2016'!Print_Area</vt:lpstr>
      <vt:lpstr>'Sept 2017'!Print_Area</vt:lpstr>
      <vt:lpstr>'Sept 2019'!Print_Area</vt:lpstr>
      <vt:lpstr>'September 2018'!Print_Area</vt:lpstr>
    </vt:vector>
  </TitlesOfParts>
  <Manager/>
  <Company>49er Shops, Inc.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Cora Ejercito</dc:creator>
  <cp:keywords/>
  <dc:description/>
  <cp:lastModifiedBy>Tom Collier</cp:lastModifiedBy>
  <cp:revision/>
  <cp:lastPrinted>2020-02-21T21:14:03Z</cp:lastPrinted>
  <dcterms:created xsi:type="dcterms:W3CDTF">2002-07-23T19:12:25Z</dcterms:created>
  <dcterms:modified xsi:type="dcterms:W3CDTF">2020-03-18T22:38:44Z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0x0101008F5C54A97FE9ED438D248D43949F7C13</vt:lpwstr>
  </property>
</Properties>
</file>