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omments115.xml" ContentType="application/vnd.openxmlformats-officedocument.spreadsheetml.comments+xml"/>
  <Override PartName="/xl/comments116.xml" ContentType="application/vnd.openxmlformats-officedocument.spreadsheetml.comments+xml"/>
  <Override PartName="/xl/comments117.xml" ContentType="application/vnd.openxmlformats-officedocument.spreadsheetml.comments+xml"/>
  <Override PartName="/xl/comments118.xml" ContentType="application/vnd.openxmlformats-officedocument.spreadsheetml.comments+xml"/>
  <Override PartName="/xl/comments119.xml" ContentType="application/vnd.openxmlformats-officedocument.spreadsheetml.comments+xml"/>
  <Override PartName="/xl/comments120.xml" ContentType="application/vnd.openxmlformats-officedocument.spreadsheetml.comments+xml"/>
  <Override PartName="/xl/comments121.xml" ContentType="application/vnd.openxmlformats-officedocument.spreadsheetml.comments+xml"/>
  <Override PartName="/xl/comments122.xml" ContentType="application/vnd.openxmlformats-officedocument.spreadsheetml.comments+xml"/>
  <Override PartName="/xl/comments123.xml" ContentType="application/vnd.openxmlformats-officedocument.spreadsheetml.comments+xml"/>
  <Override PartName="/xl/comments124.xml" ContentType="application/vnd.openxmlformats-officedocument.spreadsheetml.comments+xml"/>
  <Override PartName="/xl/comments125.xml" ContentType="application/vnd.openxmlformats-officedocument.spreadsheetml.comments+xml"/>
  <Override PartName="/xl/comments126.xml" ContentType="application/vnd.openxmlformats-officedocument.spreadsheetml.comments+xml"/>
  <Override PartName="/xl/comments127.xml" ContentType="application/vnd.openxmlformats-officedocument.spreadsheetml.comments+xml"/>
  <Override PartName="/xl/comments128.xml" ContentType="application/vnd.openxmlformats-officedocument.spreadsheetml.comments+xml"/>
  <Override PartName="/xl/comments129.xml" ContentType="application/vnd.openxmlformats-officedocument.spreadsheetml.comments+xml"/>
  <Override PartName="/xl/comments130.xml" ContentType="application/vnd.openxmlformats-officedocument.spreadsheetml.comments+xml"/>
  <Override PartName="/xl/comments131.xml" ContentType="application/vnd.openxmlformats-officedocument.spreadsheetml.comments+xml"/>
  <Override PartName="/xl/comments132.xml" ContentType="application/vnd.openxmlformats-officedocument.spreadsheetml.comments+xml"/>
  <Override PartName="/xl/comments133.xml" ContentType="application/vnd.openxmlformats-officedocument.spreadsheetml.comments+xml"/>
  <Override PartName="/xl/comments134.xml" ContentType="application/vnd.openxmlformats-officedocument.spreadsheetml.comments+xml"/>
  <Override PartName="/xl/comments135.xml" ContentType="application/vnd.openxmlformats-officedocument.spreadsheetml.comments+xml"/>
  <Override PartName="/xl/comments136.xml" ContentType="application/vnd.openxmlformats-officedocument.spreadsheetml.comments+xml"/>
  <Override PartName="/xl/comments137.xml" ContentType="application/vnd.openxmlformats-officedocument.spreadsheetml.comments+xml"/>
  <Override PartName="/xl/comments138.xml" ContentType="application/vnd.openxmlformats-officedocument.spreadsheetml.comments+xml"/>
  <Override PartName="/xl/comments139.xml" ContentType="application/vnd.openxmlformats-officedocument.spreadsheetml.comments+xml"/>
  <Override PartName="/xl/comments140.xml" ContentType="application/vnd.openxmlformats-officedocument.spreadsheetml.comments+xml"/>
  <Override PartName="/xl/comments141.xml" ContentType="application/vnd.openxmlformats-officedocument.spreadsheetml.comments+xml"/>
  <Override PartName="/xl/comments142.xml" ContentType="application/vnd.openxmlformats-officedocument.spreadsheetml.comments+xml"/>
  <Override PartName="/xl/comments143.xml" ContentType="application/vnd.openxmlformats-officedocument.spreadsheetml.comments+xml"/>
  <Override PartName="/xl/comments144.xml" ContentType="application/vnd.openxmlformats-officedocument.spreadsheetml.comments+xml"/>
  <Override PartName="/xl/comments145.xml" ContentType="application/vnd.openxmlformats-officedocument.spreadsheetml.comments+xml"/>
  <Override PartName="/xl/comments146.xml" ContentType="application/vnd.openxmlformats-officedocument.spreadsheetml.comments+xml"/>
  <Override PartName="/xl/comments147.xml" ContentType="application/vnd.openxmlformats-officedocument.spreadsheetml.comments+xml"/>
  <Override PartName="/xl/comments148.xml" ContentType="application/vnd.openxmlformats-officedocument.spreadsheetml.comments+xml"/>
  <Override PartName="/xl/comments149.xml" ContentType="application/vnd.openxmlformats-officedocument.spreadsheetml.comments+xml"/>
  <Override PartName="/xl/comments150.xml" ContentType="application/vnd.openxmlformats-officedocument.spreadsheetml.comments+xml"/>
  <Override PartName="/xl/comments151.xml" ContentType="application/vnd.openxmlformats-officedocument.spreadsheetml.comments+xml"/>
  <Override PartName="/xl/comments152.xml" ContentType="application/vnd.openxmlformats-officedocument.spreadsheetml.comments+xml"/>
  <Override PartName="/xl/comments153.xml" ContentType="application/vnd.openxmlformats-officedocument.spreadsheetml.comments+xml"/>
  <Override PartName="/xl/comments154.xml" ContentType="application/vnd.openxmlformats-officedocument.spreadsheetml.comments+xml"/>
  <Override PartName="/xl/comments155.xml" ContentType="application/vnd.openxmlformats-officedocument.spreadsheetml.comments+xml"/>
  <Override PartName="/xl/comments156.xml" ContentType="application/vnd.openxmlformats-officedocument.spreadsheetml.comments+xml"/>
  <Override PartName="/xl/comments157.xml" ContentType="application/vnd.openxmlformats-officedocument.spreadsheetml.comments+xml"/>
  <Override PartName="/xl/comments158.xml" ContentType="application/vnd.openxmlformats-officedocument.spreadsheetml.comments+xml"/>
  <Override PartName="/xl/comments159.xml" ContentType="application/vnd.openxmlformats-officedocument.spreadsheetml.comments+xml"/>
  <Override PartName="/xl/comments160.xml" ContentType="application/vnd.openxmlformats-officedocument.spreadsheetml.comments+xml"/>
  <Override PartName="/xl/comments161.xml" ContentType="application/vnd.openxmlformats-officedocument.spreadsheetml.comments+xml"/>
  <Override PartName="/xl/comments162.xml" ContentType="application/vnd.openxmlformats-officedocument.spreadsheetml.comments+xml"/>
  <Override PartName="/xl/comments163.xml" ContentType="application/vnd.openxmlformats-officedocument.spreadsheetml.comments+xml"/>
  <Override PartName="/xl/comments164.xml" ContentType="application/vnd.openxmlformats-officedocument.spreadsheetml.comments+xml"/>
  <Override PartName="/xl/comments165.xml" ContentType="application/vnd.openxmlformats-officedocument.spreadsheetml.comments+xml"/>
  <Override PartName="/xl/comments166.xml" ContentType="application/vnd.openxmlformats-officedocument.spreadsheetml.comments+xml"/>
  <Override PartName="/xl/comments167.xml" ContentType="application/vnd.openxmlformats-officedocument.spreadsheetml.comments+xml"/>
  <Override PartName="/xl/comments168.xml" ContentType="application/vnd.openxmlformats-officedocument.spreadsheetml.comments+xml"/>
  <Override PartName="/xl/comments169.xml" ContentType="application/vnd.openxmlformats-officedocument.spreadsheetml.comments+xml"/>
  <Override PartName="/xl/comments170.xml" ContentType="application/vnd.openxmlformats-officedocument.spreadsheetml.comments+xml"/>
  <Override PartName="/xl/comments171.xml" ContentType="application/vnd.openxmlformats-officedocument.spreadsheetml.comments+xml"/>
  <Override PartName="/xl/comments172.xml" ContentType="application/vnd.openxmlformats-officedocument.spreadsheetml.comments+xml"/>
  <Override PartName="/xl/comments173.xml" ContentType="application/vnd.openxmlformats-officedocument.spreadsheetml.comments+xml"/>
  <Override PartName="/xl/comments174.xml" ContentType="application/vnd.openxmlformats-officedocument.spreadsheetml.comments+xml"/>
  <Override PartName="/xl/comments175.xml" ContentType="application/vnd.openxmlformats-officedocument.spreadsheetml.comments+xml"/>
  <Override PartName="/xl/comments176.xml" ContentType="application/vnd.openxmlformats-officedocument.spreadsheetml.comments+xml"/>
  <Override PartName="/xl/comments177.xml" ContentType="application/vnd.openxmlformats-officedocument.spreadsheetml.comments+xml"/>
  <Override PartName="/xl/comments178.xml" ContentType="application/vnd.openxmlformats-officedocument.spreadsheetml.comments+xml"/>
  <Override PartName="/xl/comments179.xml" ContentType="application/vnd.openxmlformats-officedocument.spreadsheetml.comments+xml"/>
  <Override PartName="/xl/comments180.xml" ContentType="application/vnd.openxmlformats-officedocument.spreadsheetml.comments+xml"/>
  <Override PartName="/xl/comments181.xml" ContentType="application/vnd.openxmlformats-officedocument.spreadsheetml.comments+xml"/>
  <Override PartName="/xl/comments182.xml" ContentType="application/vnd.openxmlformats-officedocument.spreadsheetml.comments+xml"/>
  <Override PartName="/xl/comments183.xml" ContentType="application/vnd.openxmlformats-officedocument.spreadsheetml.comments+xml"/>
  <Override PartName="/xl/comments184.xml" ContentType="application/vnd.openxmlformats-officedocument.spreadsheetml.comments+xml"/>
  <Override PartName="/xl/comments185.xml" ContentType="application/vnd.openxmlformats-officedocument.spreadsheetml.comments+xml"/>
  <Override PartName="/xl/comments186.xml" ContentType="application/vnd.openxmlformats-officedocument.spreadsheetml.comments+xml"/>
  <Override PartName="/xl/comments187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ate1904="1" defaultThemeVersion="124226"/>
  <mc:AlternateContent xmlns:mc="http://schemas.openxmlformats.org/markup-compatibility/2006">
    <mc:Choice Requires="x15">
      <x15ac:absPath xmlns:x15ac="http://schemas.microsoft.com/office/spreadsheetml/2010/11/ac" url="F:\Accounting\Financial Statements\Operating Statements\FY 2021-2022\09 March\"/>
    </mc:Choice>
  </mc:AlternateContent>
  <xr:revisionPtr revIDLastSave="0" documentId="13_ncr:1_{A18E89FD-0361-47D4-AE43-C95A94DC03D4}" xr6:coauthVersionLast="47" xr6:coauthVersionMax="47" xr10:uidLastSave="{00000000-0000-0000-0000-000000000000}"/>
  <bookViews>
    <workbookView xWindow="28680" yWindow="-120" windowWidth="29040" windowHeight="15840" tabRatio="599" firstSheet="160" activeTab="160" xr2:uid="{00000000-000D-0000-FFFF-FFFF00000000}"/>
  </bookViews>
  <sheets>
    <sheet name="JUL06" sheetId="39" state="hidden" r:id="rId1"/>
    <sheet name="AUG'06" sheetId="40" state="hidden" r:id="rId2"/>
    <sheet name="SEPT06" sheetId="41" state="hidden" r:id="rId3"/>
    <sheet name="oct06" sheetId="42" state="hidden" r:id="rId4"/>
    <sheet name="nov06" sheetId="43" state="hidden" r:id="rId5"/>
    <sheet name="dec06" sheetId="44" state="hidden" r:id="rId6"/>
    <sheet name="JAN07" sheetId="45" state="hidden" r:id="rId7"/>
    <sheet name="Feb07" sheetId="46" state="hidden" r:id="rId8"/>
    <sheet name="mar07" sheetId="47" state="hidden" r:id="rId9"/>
    <sheet name="apr07" sheetId="48" state="hidden" r:id="rId10"/>
    <sheet name="May07" sheetId="49" state="hidden" r:id="rId11"/>
    <sheet name="Jun'07" sheetId="50" state="hidden" r:id="rId12"/>
    <sheet name="Jun'07 post audit" sheetId="53" state="hidden" r:id="rId13"/>
    <sheet name="July07" sheetId="51" state="hidden" r:id="rId14"/>
    <sheet name="Aug07" sheetId="52" state="hidden" r:id="rId15"/>
    <sheet name="sept'07" sheetId="54" state="hidden" r:id="rId16"/>
    <sheet name="Oct'07" sheetId="55" state="hidden" r:id="rId17"/>
    <sheet name="Nov'07" sheetId="56" state="hidden" r:id="rId18"/>
    <sheet name="dec-07" sheetId="57" state="hidden" r:id="rId19"/>
    <sheet name="jan-08" sheetId="58" state="hidden" r:id="rId20"/>
    <sheet name="feb-08" sheetId="59" state="hidden" r:id="rId21"/>
    <sheet name="mar-08" sheetId="60" state="hidden" r:id="rId22"/>
    <sheet name="apr-08" sheetId="61" state="hidden" r:id="rId23"/>
    <sheet name="may-08" sheetId="62" state="hidden" r:id="rId24"/>
    <sheet name="June-08PRIORTOAUDIT" sheetId="63" state="hidden" r:id="rId25"/>
    <sheet name="June-08POSTAUDIT" sheetId="64" state="hidden" r:id="rId26"/>
    <sheet name="New format July08" sheetId="65" state="hidden" r:id="rId27"/>
    <sheet name="New format AUG 08" sheetId="67" state="hidden" r:id="rId28"/>
    <sheet name="SEPT 08" sheetId="68" state="hidden" r:id="rId29"/>
    <sheet name="OCT 08" sheetId="69" state="hidden" r:id="rId30"/>
    <sheet name="NOV 08" sheetId="70" state="hidden" r:id="rId31"/>
    <sheet name="DEC 08" sheetId="71" state="hidden" r:id="rId32"/>
    <sheet name="Jan 09" sheetId="72" state="hidden" r:id="rId33"/>
    <sheet name="Feb 09" sheetId="73" state="hidden" r:id="rId34"/>
    <sheet name="Mar 09" sheetId="74" state="hidden" r:id="rId35"/>
    <sheet name="Apr 09 " sheetId="75" state="hidden" r:id="rId36"/>
    <sheet name="May 09" sheetId="76" state="hidden" r:id="rId37"/>
    <sheet name="June 09 Pre-Audit" sheetId="77" state="hidden" r:id="rId38"/>
    <sheet name="June 09 Post-Audit" sheetId="79" state="hidden" r:id="rId39"/>
    <sheet name="July 09 " sheetId="78" state="hidden" r:id="rId40"/>
    <sheet name="Aug 09" sheetId="80" state="hidden" r:id="rId41"/>
    <sheet name="Sept 09" sheetId="81" state="hidden" r:id="rId42"/>
    <sheet name="Oct 09" sheetId="82" state="hidden" r:id="rId43"/>
    <sheet name="Nov 09" sheetId="83" state="hidden" r:id="rId44"/>
    <sheet name="Dec 09" sheetId="84" state="hidden" r:id="rId45"/>
    <sheet name="Jan 10" sheetId="85" state="hidden" r:id="rId46"/>
    <sheet name="Feb 10" sheetId="86" state="hidden" r:id="rId47"/>
    <sheet name="Mar 10" sheetId="87" state="hidden" r:id="rId48"/>
    <sheet name="Apr 10" sheetId="88" state="hidden" r:id="rId49"/>
    <sheet name="May 10" sheetId="89" state="hidden" r:id="rId50"/>
    <sheet name="June 10 Pre-Audit" sheetId="90" state="hidden" r:id="rId51"/>
    <sheet name="June 10 Post-Audit" sheetId="92" state="hidden" r:id="rId52"/>
    <sheet name="July 10 " sheetId="93" state="hidden" r:id="rId53"/>
    <sheet name="Aug 10 " sheetId="94" state="hidden" r:id="rId54"/>
    <sheet name="Sep 10" sheetId="95" state="hidden" r:id="rId55"/>
    <sheet name="Oct 10" sheetId="96" state="hidden" r:id="rId56"/>
    <sheet name="Nov 10" sheetId="97" state="hidden" r:id="rId57"/>
    <sheet name="Dec 10" sheetId="98" state="hidden" r:id="rId58"/>
    <sheet name="Jan 11" sheetId="99" state="hidden" r:id="rId59"/>
    <sheet name="Feb 11 " sheetId="100" state="hidden" r:id="rId60"/>
    <sheet name="Mar 11" sheetId="101" state="hidden" r:id="rId61"/>
    <sheet name="April 11" sheetId="102" state="hidden" r:id="rId62"/>
    <sheet name="May 11" sheetId="103" state="hidden" r:id="rId63"/>
    <sheet name="June 11" sheetId="104" state="hidden" r:id="rId64"/>
    <sheet name="June 11 Post-Audit" sheetId="105" state="hidden" r:id="rId65"/>
    <sheet name="July 11" sheetId="107" state="hidden" r:id="rId66"/>
    <sheet name="Aug 11" sheetId="106" state="hidden" r:id="rId67"/>
    <sheet name="Sept 11" sheetId="108" state="hidden" r:id="rId68"/>
    <sheet name="Oct 11" sheetId="109" state="hidden" r:id="rId69"/>
    <sheet name="Nov 11" sheetId="110" state="hidden" r:id="rId70"/>
    <sheet name="Dec 11" sheetId="111" state="hidden" r:id="rId71"/>
    <sheet name="Jan 12" sheetId="112" state="hidden" r:id="rId72"/>
    <sheet name="Feb 12" sheetId="113" state="hidden" r:id="rId73"/>
    <sheet name="Mar 12" sheetId="114" state="hidden" r:id="rId74"/>
    <sheet name="Apr 12" sheetId="115" state="hidden" r:id="rId75"/>
    <sheet name="May 12" sheetId="116" state="hidden" r:id="rId76"/>
    <sheet name="June 12 Pre-Audit" sheetId="117" state="hidden" r:id="rId77"/>
    <sheet name="June 12 Post-Audit" sheetId="118" state="hidden" r:id="rId78"/>
    <sheet name="July 12 " sheetId="119" state="hidden" r:id="rId79"/>
    <sheet name="Aug 12" sheetId="120" state="hidden" r:id="rId80"/>
    <sheet name="Sep 12" sheetId="121" state="hidden" r:id="rId81"/>
    <sheet name="OCT 12" sheetId="122" state="hidden" r:id="rId82"/>
    <sheet name="Nov 12" sheetId="123" state="hidden" r:id="rId83"/>
    <sheet name="Dec 12" sheetId="124" state="hidden" r:id="rId84"/>
    <sheet name="Jan 13" sheetId="125" state="hidden" r:id="rId85"/>
    <sheet name="Feb 13" sheetId="128" state="hidden" r:id="rId86"/>
    <sheet name="Mar 13" sheetId="129" state="hidden" r:id="rId87"/>
    <sheet name="Apr 13" sheetId="130" state="hidden" r:id="rId88"/>
    <sheet name="May 13" sheetId="131" state="hidden" r:id="rId89"/>
    <sheet name="June 13 Post audit" sheetId="132" state="hidden" r:id="rId90"/>
    <sheet name="July 13" sheetId="133" state="hidden" r:id="rId91"/>
    <sheet name="Aug 13 " sheetId="134" state="hidden" r:id="rId92"/>
    <sheet name="Sep 13" sheetId="135" state="hidden" r:id="rId93"/>
    <sheet name="Oct 13" sheetId="136" state="hidden" r:id="rId94"/>
    <sheet name="Nov 13 " sheetId="137" state="hidden" r:id="rId95"/>
    <sheet name="DEC 13" sheetId="138" state="hidden" r:id="rId96"/>
    <sheet name="Jan 14" sheetId="139" state="hidden" r:id="rId97"/>
    <sheet name="Feb 14" sheetId="140" state="hidden" r:id="rId98"/>
    <sheet name="Mar 14" sheetId="141" state="hidden" r:id="rId99"/>
    <sheet name="Apr 14" sheetId="142" state="hidden" r:id="rId100"/>
    <sheet name="May 14" sheetId="143" state="hidden" r:id="rId101"/>
    <sheet name="June 14 Pre-Audit" sheetId="144" state="hidden" r:id="rId102"/>
    <sheet name="July 14 " sheetId="145" state="hidden" r:id="rId103"/>
    <sheet name="Aug 14 " sheetId="146" state="hidden" r:id="rId104"/>
    <sheet name="Sept 14" sheetId="147" state="hidden" r:id="rId105"/>
    <sheet name="Oct 14" sheetId="148" state="hidden" r:id="rId106"/>
    <sheet name="Nov 14" sheetId="149" state="hidden" r:id="rId107"/>
    <sheet name="Dec 14" sheetId="150" state="hidden" r:id="rId108"/>
    <sheet name="Jan 15" sheetId="151" state="hidden" r:id="rId109"/>
    <sheet name="Feb15" sheetId="152" state="hidden" r:id="rId110"/>
    <sheet name="Mar 15" sheetId="153" state="hidden" r:id="rId111"/>
    <sheet name="Apr 15" sheetId="154" state="hidden" r:id="rId112"/>
    <sheet name="May 15" sheetId="155" state="hidden" r:id="rId113"/>
    <sheet name="June 15 Preaudit" sheetId="156" state="hidden" r:id="rId114"/>
    <sheet name="June 15 Post-audit" sheetId="157" state="hidden" r:id="rId115"/>
    <sheet name="July 2015" sheetId="158" state="hidden" r:id="rId116"/>
    <sheet name="August 2015" sheetId="159" state="hidden" r:id="rId117"/>
    <sheet name="Sep 2015" sheetId="160" state="hidden" r:id="rId118"/>
    <sheet name="Oct 2015" sheetId="161" state="hidden" r:id="rId119"/>
    <sheet name="Nov 2015" sheetId="162" state="hidden" r:id="rId120"/>
    <sheet name="Dec 2015" sheetId="163" state="hidden" r:id="rId121"/>
    <sheet name="Jan 2016" sheetId="164" state="hidden" r:id="rId122"/>
    <sheet name="Feb 2016" sheetId="165" state="hidden" r:id="rId123"/>
    <sheet name="Mar 2016" sheetId="166" state="hidden" r:id="rId124"/>
    <sheet name="April 2016" sheetId="167" state="hidden" r:id="rId125"/>
    <sheet name="May  2016" sheetId="168" state="hidden" r:id="rId126"/>
    <sheet name="June 2016 Pre-audit" sheetId="169" state="hidden" r:id="rId127"/>
    <sheet name="June 2016 Post-audit" sheetId="170" state="hidden" r:id="rId128"/>
    <sheet name="July 2016 " sheetId="171" state="hidden" r:id="rId129"/>
    <sheet name="Aug 2016" sheetId="172" state="hidden" r:id="rId130"/>
    <sheet name="Sept 2016" sheetId="173" state="hidden" r:id="rId131"/>
    <sheet name="Oct 2016" sheetId="174" state="hidden" r:id="rId132"/>
    <sheet name="Nov 2016" sheetId="175" state="hidden" r:id="rId133"/>
    <sheet name="Dec 2016" sheetId="176" state="hidden" r:id="rId134"/>
    <sheet name="Jan 2017" sheetId="177" state="hidden" r:id="rId135"/>
    <sheet name="Feb 2017" sheetId="178" state="hidden" r:id="rId136"/>
    <sheet name="Mar 2017" sheetId="179" state="hidden" r:id="rId137"/>
    <sheet name="Apr 2017" sheetId="180" state="hidden" r:id="rId138"/>
    <sheet name="May 2017" sheetId="181" state="hidden" r:id="rId139"/>
    <sheet name="June 2017 Pre-Audit" sheetId="182" state="hidden" r:id="rId140"/>
    <sheet name="June 2017 Post-Audit" sheetId="183" state="hidden" r:id="rId141"/>
    <sheet name="July 2017" sheetId="184" state="hidden" r:id="rId142"/>
    <sheet name="Aug 2017" sheetId="185" state="hidden" r:id="rId143"/>
    <sheet name="Sep 2017" sheetId="186" state="hidden" r:id="rId144"/>
    <sheet name="Oct 2017" sheetId="187" state="hidden" r:id="rId145"/>
    <sheet name="Nov 2017" sheetId="188" state="hidden" r:id="rId146"/>
    <sheet name="Dec 2017" sheetId="189" state="hidden" r:id="rId147"/>
    <sheet name="Jan 2018 " sheetId="191" state="hidden" r:id="rId148"/>
    <sheet name="Feb 2018" sheetId="190" state="hidden" r:id="rId149"/>
    <sheet name="Mar 2018" sheetId="192" state="hidden" r:id="rId150"/>
    <sheet name="Apr 2018" sheetId="193" state="hidden" r:id="rId151"/>
    <sheet name="May 2018" sheetId="194" state="hidden" r:id="rId152"/>
    <sheet name="June 2018 Preaudit" sheetId="195" state="hidden" r:id="rId153"/>
    <sheet name="July 2018" sheetId="197" state="hidden" r:id="rId154"/>
    <sheet name="Aug 2018" sheetId="198" state="hidden" r:id="rId155"/>
    <sheet name="Sep 2018" sheetId="199" state="hidden" r:id="rId156"/>
    <sheet name="Oct 2018" sheetId="201" state="hidden" r:id="rId157"/>
    <sheet name="Nov 2018" sheetId="200" state="hidden" r:id="rId158"/>
    <sheet name="Dec 2018" sheetId="202" state="hidden" r:id="rId159"/>
    <sheet name="June 2021 Final" sheetId="238" state="hidden" r:id="rId160"/>
    <sheet name="March 2022" sheetId="246" r:id="rId161"/>
    <sheet name="February 2022" sheetId="245" state="hidden" r:id="rId162"/>
    <sheet name="January 2022" sheetId="244" state="hidden" r:id="rId163"/>
    <sheet name="Jan 2021" sheetId="231" state="hidden" r:id="rId164"/>
    <sheet name="December 2021" sheetId="243" state="hidden" r:id="rId165"/>
    <sheet name="November 2021" sheetId="242" state="hidden" r:id="rId166"/>
    <sheet name="October 2021" sheetId="241" state="hidden" r:id="rId167"/>
    <sheet name="September 2021" sheetId="240" state="hidden" r:id="rId168"/>
    <sheet name="August 2021" sheetId="239" state="hidden" r:id="rId169"/>
    <sheet name="July 2021" sheetId="237" state="hidden" r:id="rId170"/>
    <sheet name="June 2021 Pre-Audit" sheetId="236" state="hidden" r:id="rId171"/>
    <sheet name="May 2021" sheetId="235" state="hidden" r:id="rId172"/>
    <sheet name="Apr 2021" sheetId="234" state="hidden" r:id="rId173"/>
    <sheet name="Mar 2021" sheetId="233" state="hidden" r:id="rId174"/>
    <sheet name="Feb 2021" sheetId="232" state="hidden" r:id="rId175"/>
    <sheet name="Mar 2020" sheetId="220" state="hidden" r:id="rId176"/>
    <sheet name="Dec 2020" sheetId="230" state="hidden" r:id="rId177"/>
    <sheet name="Nov 2020" sheetId="229" state="hidden" r:id="rId178"/>
    <sheet name="Oct 2020" sheetId="228" state="hidden" r:id="rId179"/>
    <sheet name="Sep 2020" sheetId="227" state="hidden" r:id="rId180"/>
    <sheet name="Aug 2020" sheetId="226" state="hidden" r:id="rId181"/>
    <sheet name="July 2020" sheetId="225" state="hidden" r:id="rId182"/>
    <sheet name="June 2020 Post-Audit" sheetId="224" state="hidden" r:id="rId183"/>
    <sheet name="May 2020" sheetId="223" state="hidden" r:id="rId184"/>
    <sheet name="Apr 2020" sheetId="222" state="hidden" r:id="rId185"/>
    <sheet name="Feb 2020 (2)" sheetId="221" state="hidden" r:id="rId186"/>
    <sheet name="Feb 2020" sheetId="217" state="hidden" r:id="rId187"/>
    <sheet name="Mar 2019" sheetId="205" state="hidden" r:id="rId188"/>
    <sheet name="April 2019" sheetId="206" state="hidden" r:id="rId189"/>
    <sheet name="May 2019" sheetId="207" state="hidden" r:id="rId190"/>
    <sheet name="June 2019" sheetId="208" state="hidden" r:id="rId191"/>
    <sheet name="June 2018 Post-audit" sheetId="196" state="hidden" r:id="rId192"/>
    <sheet name="June 2019 PostAudit" sheetId="209" state="hidden" r:id="rId193"/>
    <sheet name="July 2019 " sheetId="210" state="hidden" r:id="rId194"/>
    <sheet name="Aug.2019" sheetId="211" state="hidden" r:id="rId195"/>
    <sheet name="Sept 2019" sheetId="212" state="hidden" r:id="rId196"/>
    <sheet name="Oct 2019" sheetId="213" state="hidden" r:id="rId197"/>
    <sheet name="Jan 2020" sheetId="216" state="hidden" r:id="rId198"/>
    <sheet name="Feb 2019" sheetId="204" state="hidden" r:id="rId199"/>
    <sheet name="Dec 2019" sheetId="215" state="hidden" r:id="rId200"/>
    <sheet name="Nov 2019" sheetId="214" state="hidden" r:id="rId201"/>
    <sheet name="Jan 2019" sheetId="203" state="hidden" r:id="rId202"/>
  </sheets>
  <definedNames>
    <definedName name="_xlnm.Print_Area" localSheetId="35">'Apr 09 '!$B$1:$V$45</definedName>
    <definedName name="_xlnm.Print_Area" localSheetId="48">'Apr 10'!$B$1:$X$37</definedName>
    <definedName name="_xlnm.Print_Area" localSheetId="74">'Apr 12'!$B$1:$X$37</definedName>
    <definedName name="_xlnm.Print_Area" localSheetId="87">'Apr 13'!$B$1:$X$39</definedName>
    <definedName name="_xlnm.Print_Area" localSheetId="99">'Apr 14'!$B$1:$X$39</definedName>
    <definedName name="_xlnm.Print_Area" localSheetId="111">'Apr 15'!$B$1:$X$40</definedName>
    <definedName name="_xlnm.Print_Area" localSheetId="137">'Apr 2017'!$B$1:$X$40</definedName>
    <definedName name="_xlnm.Print_Area" localSheetId="150">'Apr 2018'!$B$1:$X$40</definedName>
    <definedName name="_xlnm.Print_Area" localSheetId="184">'Apr 2020'!$B$1:$U$42</definedName>
    <definedName name="_xlnm.Print_Area" localSheetId="172">'Apr 2021'!$B$1:$U$41</definedName>
    <definedName name="_xlnm.Print_Area" localSheetId="61">'April 11'!$B$1:$X$37</definedName>
    <definedName name="_xlnm.Print_Area" localSheetId="124">'April 2016'!$B$1:$X$40</definedName>
    <definedName name="_xlnm.Print_Area" localSheetId="188">'April 2019'!$B$1:$X$40</definedName>
    <definedName name="_xlnm.Print_Area" localSheetId="40">'Aug 09'!$B$1:$X$37</definedName>
    <definedName name="_xlnm.Print_Area" localSheetId="53">'Aug 10 '!$B$1:$X$37</definedName>
    <definedName name="_xlnm.Print_Area" localSheetId="66">'Aug 11'!$B$1:$X$37</definedName>
    <definedName name="_xlnm.Print_Area" localSheetId="79">'Aug 12'!$B$1:$X$37</definedName>
    <definedName name="_xlnm.Print_Area" localSheetId="91">'Aug 13 '!$B$1:$X$39</definedName>
    <definedName name="_xlnm.Print_Area" localSheetId="103">'Aug 14 '!$B$1:$X$39</definedName>
    <definedName name="_xlnm.Print_Area" localSheetId="129">'Aug 2016'!$B$1:$X$40</definedName>
    <definedName name="_xlnm.Print_Area" localSheetId="142">'Aug 2017'!$B$1:$X$40</definedName>
    <definedName name="_xlnm.Print_Area" localSheetId="154">'Aug 2018'!$B$1:$X$40</definedName>
    <definedName name="_xlnm.Print_Area" localSheetId="180">'Aug 2020'!$B$1:$U$43</definedName>
    <definedName name="_xlnm.Print_Area" localSheetId="194">Aug.2019!$B$1:$Z$44</definedName>
    <definedName name="_xlnm.Print_Area" localSheetId="116">'August 2015'!$B$1:$X$40</definedName>
    <definedName name="_xlnm.Print_Area" localSheetId="168">'August 2021'!$B$1:$U$41</definedName>
    <definedName name="_xlnm.Print_Area" localSheetId="31">'DEC 08'!$B$1:$V$45</definedName>
    <definedName name="_xlnm.Print_Area" localSheetId="44">'Dec 09'!$B$1:$X$37</definedName>
    <definedName name="_xlnm.Print_Area" localSheetId="57">'Dec 10'!$B$1:$X$37</definedName>
    <definedName name="_xlnm.Print_Area" localSheetId="70">'Dec 11'!$B$1:$X$37</definedName>
    <definedName name="_xlnm.Print_Area" localSheetId="83">'Dec 12'!$B$1:$X$37</definedName>
    <definedName name="_xlnm.Print_Area" localSheetId="95">'DEC 13'!$B$1:$X$39</definedName>
    <definedName name="_xlnm.Print_Area" localSheetId="107">'Dec 14'!$B$1:$X$39</definedName>
    <definedName name="_xlnm.Print_Area" localSheetId="120">'Dec 2015'!$B$1:$X$40</definedName>
    <definedName name="_xlnm.Print_Area" localSheetId="133">'Dec 2016'!$B$1:$X$40</definedName>
    <definedName name="_xlnm.Print_Area" localSheetId="146">'Dec 2017'!$B$1:$X$40</definedName>
    <definedName name="_xlnm.Print_Area" localSheetId="158">'Dec 2018'!$B$1:$X$40</definedName>
    <definedName name="_xlnm.Print_Area" localSheetId="199">'Dec 2019'!$B$1:$Z$44</definedName>
    <definedName name="_xlnm.Print_Area" localSheetId="176">'Dec 2020'!$B$1:$U$43</definedName>
    <definedName name="_xlnm.Print_Area" localSheetId="164">'December 2021'!$B$1:$U$41</definedName>
    <definedName name="_xlnm.Print_Area" localSheetId="33">'Feb 09'!$B$1:$V$45</definedName>
    <definedName name="_xlnm.Print_Area" localSheetId="46">'Feb 10'!$B$1:$X$37</definedName>
    <definedName name="_xlnm.Print_Area" localSheetId="59">'Feb 11 '!$B$1:$X$37</definedName>
    <definedName name="_xlnm.Print_Area" localSheetId="72">'Feb 12'!$B$1:$X$37</definedName>
    <definedName name="_xlnm.Print_Area" localSheetId="85">'Feb 13'!$B$1:$X$39</definedName>
    <definedName name="_xlnm.Print_Area" localSheetId="97">'Feb 14'!$B$1:$X$39</definedName>
    <definedName name="_xlnm.Print_Area" localSheetId="122">'Feb 2016'!$B$1:$X$40</definedName>
    <definedName name="_xlnm.Print_Area" localSheetId="135">'Feb 2017'!$B$1:$X$40</definedName>
    <definedName name="_xlnm.Print_Area" localSheetId="148">'Feb 2018'!$B$1:$X$40</definedName>
    <definedName name="_xlnm.Print_Area" localSheetId="198">'Feb 2019'!$B$1:$X$40</definedName>
    <definedName name="_xlnm.Print_Area" localSheetId="186">'Feb 2020'!$B$1:$U$42</definedName>
    <definedName name="_xlnm.Print_Area" localSheetId="185">'Feb 2020 (2)'!$B$1:$U$42</definedName>
    <definedName name="_xlnm.Print_Area" localSheetId="174">'Feb 2021'!$B$1:$U$41</definedName>
    <definedName name="_xlnm.Print_Area" localSheetId="109">'Feb15'!$B$1:$X$40</definedName>
    <definedName name="_xlnm.Print_Area" localSheetId="161">'February 2022'!$B$1:$U$41</definedName>
    <definedName name="_xlnm.Print_Area" localSheetId="32">'Jan 09'!$B$1:$V$45</definedName>
    <definedName name="_xlnm.Print_Area" localSheetId="45">'Jan 10'!$B$1:$X$37</definedName>
    <definedName name="_xlnm.Print_Area" localSheetId="58">'Jan 11'!$B$1:$X$37</definedName>
    <definedName name="_xlnm.Print_Area" localSheetId="71">'Jan 12'!$B$1:$X$37</definedName>
    <definedName name="_xlnm.Print_Area" localSheetId="84">'Jan 13'!$B$1:$X$39</definedName>
    <definedName name="_xlnm.Print_Area" localSheetId="96">'Jan 14'!$B$1:$X$39</definedName>
    <definedName name="_xlnm.Print_Area" localSheetId="108">'Jan 15'!$B$1:$X$40</definedName>
    <definedName name="_xlnm.Print_Area" localSheetId="121">'Jan 2016'!$B$1:$X$40</definedName>
    <definedName name="_xlnm.Print_Area" localSheetId="134">'Jan 2017'!$B$1:$X$40</definedName>
    <definedName name="_xlnm.Print_Area" localSheetId="147">'Jan 2018 '!$B$1:$X$40</definedName>
    <definedName name="_xlnm.Print_Area" localSheetId="201">'Jan 2019'!$B$1:$X$40</definedName>
    <definedName name="_xlnm.Print_Area" localSheetId="197">'Jan 2020'!$B$1:$U$42</definedName>
    <definedName name="_xlnm.Print_Area" localSheetId="163">'Jan 2021'!$B$1:$U$41</definedName>
    <definedName name="_xlnm.Print_Area" localSheetId="162">'January 2022'!$B$1:$U$41</definedName>
    <definedName name="_xlnm.Print_Area" localSheetId="39">'July 09 '!$B$1:$X$37</definedName>
    <definedName name="_xlnm.Print_Area" localSheetId="52">'July 10 '!$B$1:$X$37</definedName>
    <definedName name="_xlnm.Print_Area" localSheetId="65">'July 11'!$B$1:$X$37</definedName>
    <definedName name="_xlnm.Print_Area" localSheetId="78">'July 12 '!$B$1:$X$37</definedName>
    <definedName name="_xlnm.Print_Area" localSheetId="90">'July 13'!$B$1:$X$39</definedName>
    <definedName name="_xlnm.Print_Area" localSheetId="102">'July 14 '!$B$1:$X$39</definedName>
    <definedName name="_xlnm.Print_Area" localSheetId="115">'July 2015'!$B$1:$X$40</definedName>
    <definedName name="_xlnm.Print_Area" localSheetId="128">'July 2016 '!$B$1:$X$40</definedName>
    <definedName name="_xlnm.Print_Area" localSheetId="141">'July 2017'!$B$1:$X$40</definedName>
    <definedName name="_xlnm.Print_Area" localSheetId="153">'July 2018'!$B$1:$X$40</definedName>
    <definedName name="_xlnm.Print_Area" localSheetId="193">'July 2019 '!$B$1:$X$43</definedName>
    <definedName name="_xlnm.Print_Area" localSheetId="181">'July 2020'!$B$1:$U$43</definedName>
    <definedName name="_xlnm.Print_Area" localSheetId="169">'July 2021'!$B$1:$U$41</definedName>
    <definedName name="_xlnm.Print_Area" localSheetId="38">'June 09 Post-Audit'!$B$1:$V$45</definedName>
    <definedName name="_xlnm.Print_Area" localSheetId="37">'June 09 Pre-Audit'!$B$1:$V$45</definedName>
    <definedName name="_xlnm.Print_Area" localSheetId="51">'June 10 Post-Audit'!$B$1:$X$37</definedName>
    <definedName name="_xlnm.Print_Area" localSheetId="50">'June 10 Pre-Audit'!$B$1:$X$37</definedName>
    <definedName name="_xlnm.Print_Area" localSheetId="63">'June 11'!$B$1:$X$37</definedName>
    <definedName name="_xlnm.Print_Area" localSheetId="64">'June 11 Post-Audit'!$B$1:$X$37</definedName>
    <definedName name="_xlnm.Print_Area" localSheetId="77">'June 12 Post-Audit'!$B$1:$X$37</definedName>
    <definedName name="_xlnm.Print_Area" localSheetId="76">'June 12 Pre-Audit'!$B$1:$X$37</definedName>
    <definedName name="_xlnm.Print_Area" localSheetId="89">'June 13 Post audit'!$B$1:$X$39</definedName>
    <definedName name="_xlnm.Print_Area" localSheetId="101">'June 14 Pre-Audit'!$B$1:$X$39</definedName>
    <definedName name="_xlnm.Print_Area" localSheetId="114">'June 15 Post-audit'!$B$1:$X$40</definedName>
    <definedName name="_xlnm.Print_Area" localSheetId="113">'June 15 Preaudit'!$B$1:$X$40</definedName>
    <definedName name="_xlnm.Print_Area" localSheetId="127">'June 2016 Post-audit'!$B$1:$X$40</definedName>
    <definedName name="_xlnm.Print_Area" localSheetId="126">'June 2016 Pre-audit'!$B$1:$X$40</definedName>
    <definedName name="_xlnm.Print_Area" localSheetId="140">'June 2017 Post-Audit'!$B$1:$X$40</definedName>
    <definedName name="_xlnm.Print_Area" localSheetId="139">'June 2017 Pre-Audit'!$B$1:$X$40</definedName>
    <definedName name="_xlnm.Print_Area" localSheetId="191">'June 2018 Post-audit'!$B$1:$X$40</definedName>
    <definedName name="_xlnm.Print_Area" localSheetId="152">'June 2018 Preaudit'!$B$1:$X$40</definedName>
    <definedName name="_xlnm.Print_Area" localSheetId="190">'June 2019'!$B$1:$X$38</definedName>
    <definedName name="_xlnm.Print_Area" localSheetId="192">'June 2019 PostAudit'!$B$1:$X$38</definedName>
    <definedName name="_xlnm.Print_Area" localSheetId="182">'June 2020 Post-Audit'!$B$1:$U$43</definedName>
    <definedName name="_xlnm.Print_Area" localSheetId="159">'June 2021 Final'!$B$1:$U$41</definedName>
    <definedName name="_xlnm.Print_Area" localSheetId="170">'June 2021 Pre-Audit'!$B$1:$U$41</definedName>
    <definedName name="_xlnm.Print_Area" localSheetId="34">'Mar 09'!$B$1:$V$45</definedName>
    <definedName name="_xlnm.Print_Area" localSheetId="47">'Mar 10'!$B$1:$X$37</definedName>
    <definedName name="_xlnm.Print_Area" localSheetId="60">'Mar 11'!$B$1:$X$37</definedName>
    <definedName name="_xlnm.Print_Area" localSheetId="73">'Mar 12'!$B$1:$X$37</definedName>
    <definedName name="_xlnm.Print_Area" localSheetId="86">'Mar 13'!$B$1:$X$39</definedName>
    <definedName name="_xlnm.Print_Area" localSheetId="98">'Mar 14'!$B$1:$X$39</definedName>
    <definedName name="_xlnm.Print_Area" localSheetId="110">'Mar 15'!$B$1:$X$40</definedName>
    <definedName name="_xlnm.Print_Area" localSheetId="123">'Mar 2016'!$B$1:$X$40</definedName>
    <definedName name="_xlnm.Print_Area" localSheetId="136">'Mar 2017'!$B$1:$X$40</definedName>
    <definedName name="_xlnm.Print_Area" localSheetId="149">'Mar 2018'!$B$1:$X$40</definedName>
    <definedName name="_xlnm.Print_Area" localSheetId="187">'Mar 2019'!$B$1:$X$40</definedName>
    <definedName name="_xlnm.Print_Area" localSheetId="175">'Mar 2020'!$B$1:$U$42</definedName>
    <definedName name="_xlnm.Print_Area" localSheetId="173">'Mar 2021'!$B$1:$U$41</definedName>
    <definedName name="_xlnm.Print_Area" localSheetId="160">'March 2022'!$B$1:$U$41</definedName>
    <definedName name="_xlnm.Print_Area" localSheetId="125">'May  2016'!$B$1:$X$40</definedName>
    <definedName name="_xlnm.Print_Area" localSheetId="36">'May 09'!$B$1:$V$45</definedName>
    <definedName name="_xlnm.Print_Area" localSheetId="49">'May 10'!$B$1:$X$37</definedName>
    <definedName name="_xlnm.Print_Area" localSheetId="62">'May 11'!$B$1:$X$37</definedName>
    <definedName name="_xlnm.Print_Area" localSheetId="75">'May 12'!$B$1:$X$37</definedName>
    <definedName name="_xlnm.Print_Area" localSheetId="88">'May 13'!$B$1:$X$39</definedName>
    <definedName name="_xlnm.Print_Area" localSheetId="100">'May 14'!$B$1:$X$39</definedName>
    <definedName name="_xlnm.Print_Area" localSheetId="112">'May 15'!$B$1:$X$40</definedName>
    <definedName name="_xlnm.Print_Area" localSheetId="138">'May 2017'!$B$1:$X$40</definedName>
    <definedName name="_xlnm.Print_Area" localSheetId="151">'May 2018'!$B$1:$X$40</definedName>
    <definedName name="_xlnm.Print_Area" localSheetId="189">'May 2019'!$B$1:$X$40</definedName>
    <definedName name="_xlnm.Print_Area" localSheetId="183">'May 2020'!$B$1:$U$42</definedName>
    <definedName name="_xlnm.Print_Area" localSheetId="171">'May 2021'!$B$1:$U$41</definedName>
    <definedName name="_xlnm.Print_Area" localSheetId="27">'New format AUG 08'!$A$1:$U$37</definedName>
    <definedName name="_xlnm.Print_Area" localSheetId="30">'NOV 08'!$B$1:$V$40</definedName>
    <definedName name="_xlnm.Print_Area" localSheetId="43">'Nov 09'!$B$1:$X$37</definedName>
    <definedName name="_xlnm.Print_Area" localSheetId="56">'Nov 10'!$B$1:$X$37</definedName>
    <definedName name="_xlnm.Print_Area" localSheetId="69">'Nov 11'!$B$1:$X$37</definedName>
    <definedName name="_xlnm.Print_Area" localSheetId="82">'Nov 12'!$B$1:$X$37</definedName>
    <definedName name="_xlnm.Print_Area" localSheetId="94">'Nov 13 '!$B$1:$X$39</definedName>
    <definedName name="_xlnm.Print_Area" localSheetId="106">'Nov 14'!$B$1:$X$39</definedName>
    <definedName name="_xlnm.Print_Area" localSheetId="119">'Nov 2015'!$B$1:$X$40</definedName>
    <definedName name="_xlnm.Print_Area" localSheetId="132">'Nov 2016'!$B$1:$X$40</definedName>
    <definedName name="_xlnm.Print_Area" localSheetId="145">'Nov 2017'!$B$1:$X$40</definedName>
    <definedName name="_xlnm.Print_Area" localSheetId="157">'Nov 2018'!$B$1:$X$40</definedName>
    <definedName name="_xlnm.Print_Area" localSheetId="200">'Nov 2019'!$B$1:$Z$44</definedName>
    <definedName name="_xlnm.Print_Area" localSheetId="177">'Nov 2020'!$B$1:$U$43</definedName>
    <definedName name="_xlnm.Print_Area" localSheetId="165">'November 2021'!$B$1:$U$41</definedName>
    <definedName name="_xlnm.Print_Area" localSheetId="29">'OCT 08'!$B$1:$V$40</definedName>
    <definedName name="_xlnm.Print_Area" localSheetId="42">'Oct 09'!$B$1:$X$37</definedName>
    <definedName name="_xlnm.Print_Area" localSheetId="55">'Oct 10'!$B$1:$X$37</definedName>
    <definedName name="_xlnm.Print_Area" localSheetId="68">'Oct 11'!$B$1:$X$37</definedName>
    <definedName name="_xlnm.Print_Area" localSheetId="81">'OCT 12'!$B$1:$X$37</definedName>
    <definedName name="_xlnm.Print_Area" localSheetId="93">'Oct 13'!$B$1:$X$39</definedName>
    <definedName name="_xlnm.Print_Area" localSheetId="105">'Oct 14'!$B$1:$X$39</definedName>
    <definedName name="_xlnm.Print_Area" localSheetId="118">'Oct 2015'!$B$1:$X$40</definedName>
    <definedName name="_xlnm.Print_Area" localSheetId="131">'Oct 2016'!$B$1:$X$40</definedName>
    <definedName name="_xlnm.Print_Area" localSheetId="144">'Oct 2017'!$B$1:$X$40</definedName>
    <definedName name="_xlnm.Print_Area" localSheetId="156">'Oct 2018'!$B$1:$X$40</definedName>
    <definedName name="_xlnm.Print_Area" localSheetId="196">'Oct 2019'!$B$1:$Z$44</definedName>
    <definedName name="_xlnm.Print_Area" localSheetId="178">'Oct 2020'!$B$1:$U$43</definedName>
    <definedName name="_xlnm.Print_Area" localSheetId="166">'October 2021'!$B$1:$U$41</definedName>
    <definedName name="_xlnm.Print_Area" localSheetId="54">'Sep 10'!$B$1:$X$37</definedName>
    <definedName name="_xlnm.Print_Area" localSheetId="80">'Sep 12'!$B$1:$X$37</definedName>
    <definedName name="_xlnm.Print_Area" localSheetId="92">'Sep 13'!$B$1:$X$39</definedName>
    <definedName name="_xlnm.Print_Area" localSheetId="117">'Sep 2015'!$B$1:$X$40</definedName>
    <definedName name="_xlnm.Print_Area" localSheetId="143">'Sep 2017'!$B$1:$X$40</definedName>
    <definedName name="_xlnm.Print_Area" localSheetId="155">'Sep 2018'!$B$1:$X$40</definedName>
    <definedName name="_xlnm.Print_Area" localSheetId="179">'Sep 2020'!$B$1:$U$43</definedName>
    <definedName name="_xlnm.Print_Area" localSheetId="28">'SEPT 08'!$B$1:$V$38</definedName>
    <definedName name="_xlnm.Print_Area" localSheetId="41">'Sept 09'!$B$1:$X$37</definedName>
    <definedName name="_xlnm.Print_Area" localSheetId="67">'Sept 11'!$B$1:$X$37</definedName>
    <definedName name="_xlnm.Print_Area" localSheetId="104">'Sept 14'!$B$1:$X$39</definedName>
    <definedName name="_xlnm.Print_Area" localSheetId="130">'Sept 2016'!$B$1:$X$40</definedName>
    <definedName name="_xlnm.Print_Area" localSheetId="195">'Sept 2019'!$B$1:$Z$44</definedName>
    <definedName name="_xlnm.Print_Area" localSheetId="167">'September 2021'!$B$1:$U$41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9" i="246" l="1"/>
  <c r="G11" i="246" l="1"/>
  <c r="I32" i="246"/>
  <c r="I23" i="246"/>
  <c r="I9" i="246"/>
  <c r="I11" i="246" s="1"/>
  <c r="E32" i="246"/>
  <c r="E23" i="246"/>
  <c r="E9" i="246"/>
  <c r="E11" i="246" s="1"/>
  <c r="O73" i="246"/>
  <c r="K73" i="246"/>
  <c r="S58" i="246"/>
  <c r="V56" i="246"/>
  <c r="Q54" i="246"/>
  <c r="M54" i="246"/>
  <c r="Q53" i="246"/>
  <c r="M53" i="246"/>
  <c r="O51" i="246"/>
  <c r="O56" i="246" s="1"/>
  <c r="O59" i="246" s="1"/>
  <c r="K51" i="246"/>
  <c r="O48" i="246"/>
  <c r="K48" i="246"/>
  <c r="U32" i="246"/>
  <c r="U34" i="246" s="1"/>
  <c r="S32" i="246"/>
  <c r="Q32" i="246"/>
  <c r="Q34" i="246" s="1"/>
  <c r="O32" i="246"/>
  <c r="O34" i="246" s="1"/>
  <c r="M32" i="246"/>
  <c r="M34" i="246" s="1"/>
  <c r="K32" i="246"/>
  <c r="G32" i="246"/>
  <c r="U23" i="246"/>
  <c r="S23" i="246"/>
  <c r="Q23" i="246"/>
  <c r="O23" i="246"/>
  <c r="M23" i="246"/>
  <c r="K23" i="246"/>
  <c r="G23" i="246"/>
  <c r="U11" i="246"/>
  <c r="S11" i="246"/>
  <c r="Q11" i="246"/>
  <c r="O11" i="246"/>
  <c r="M11" i="246"/>
  <c r="K11" i="246"/>
  <c r="K34" i="246" s="1"/>
  <c r="D10" i="246"/>
  <c r="G9" i="245"/>
  <c r="I9" i="245"/>
  <c r="I11" i="245" s="1"/>
  <c r="E9" i="245"/>
  <c r="E11" i="245" s="1"/>
  <c r="O73" i="245"/>
  <c r="K73" i="245"/>
  <c r="S58" i="245"/>
  <c r="V56" i="245"/>
  <c r="Q54" i="245"/>
  <c r="M54" i="245"/>
  <c r="Q53" i="245"/>
  <c r="M53" i="245"/>
  <c r="M56" i="245" s="1"/>
  <c r="M59" i="245" s="1"/>
  <c r="O51" i="245"/>
  <c r="K51" i="245"/>
  <c r="O48" i="245"/>
  <c r="K48" i="245"/>
  <c r="U32" i="245"/>
  <c r="S32" i="245"/>
  <c r="Q32" i="245"/>
  <c r="O32" i="245"/>
  <c r="M32" i="245"/>
  <c r="K32" i="245"/>
  <c r="I32" i="245"/>
  <c r="G32" i="245"/>
  <c r="E32" i="245"/>
  <c r="U23" i="245"/>
  <c r="S23" i="245"/>
  <c r="Q23" i="245"/>
  <c r="O23" i="245"/>
  <c r="M23" i="245"/>
  <c r="K23" i="245"/>
  <c r="I23" i="245"/>
  <c r="G23" i="245"/>
  <c r="E23" i="245"/>
  <c r="U11" i="245"/>
  <c r="S11" i="245"/>
  <c r="Q11" i="245"/>
  <c r="O11" i="245"/>
  <c r="M11" i="245"/>
  <c r="K11" i="245"/>
  <c r="G11" i="245"/>
  <c r="D10" i="245"/>
  <c r="Q56" i="246" l="1"/>
  <c r="Q59" i="246" s="1"/>
  <c r="M56" i="246"/>
  <c r="M59" i="246" s="1"/>
  <c r="I34" i="246"/>
  <c r="G34" i="246"/>
  <c r="K56" i="246"/>
  <c r="K59" i="246" s="1"/>
  <c r="S34" i="246"/>
  <c r="E34" i="246"/>
  <c r="Q56" i="245"/>
  <c r="Q59" i="245" s="1"/>
  <c r="O56" i="245"/>
  <c r="O59" i="245" s="1"/>
  <c r="K56" i="245"/>
  <c r="K59" i="245" s="1"/>
  <c r="O34" i="245"/>
  <c r="S34" i="245"/>
  <c r="K34" i="245"/>
  <c r="U34" i="245"/>
  <c r="M34" i="245"/>
  <c r="Q34" i="245"/>
  <c r="I34" i="245"/>
  <c r="G34" i="245"/>
  <c r="E34" i="245"/>
  <c r="G9" i="244"/>
  <c r="E9" i="244" l="1"/>
  <c r="G23" i="244"/>
  <c r="O73" i="244"/>
  <c r="K73" i="244"/>
  <c r="S58" i="244"/>
  <c r="V56" i="244"/>
  <c r="Q54" i="244"/>
  <c r="M54" i="244"/>
  <c r="Q53" i="244"/>
  <c r="M53" i="244"/>
  <c r="O51" i="244"/>
  <c r="K51" i="244"/>
  <c r="O48" i="244"/>
  <c r="K48" i="244"/>
  <c r="U32" i="244"/>
  <c r="S32" i="244"/>
  <c r="Q32" i="244"/>
  <c r="O32" i="244"/>
  <c r="M32" i="244"/>
  <c r="K32" i="244"/>
  <c r="I32" i="244"/>
  <c r="G32" i="244"/>
  <c r="E32" i="244"/>
  <c r="U23" i="244"/>
  <c r="S23" i="244"/>
  <c r="Q23" i="244"/>
  <c r="O23" i="244"/>
  <c r="M23" i="244"/>
  <c r="K23" i="244"/>
  <c r="I23" i="244"/>
  <c r="E23" i="244"/>
  <c r="U11" i="244"/>
  <c r="S11" i="244"/>
  <c r="Q11" i="244"/>
  <c r="O11" i="244"/>
  <c r="M11" i="244"/>
  <c r="K11" i="244"/>
  <c r="I11" i="244"/>
  <c r="G11" i="244"/>
  <c r="E11" i="244"/>
  <c r="D10" i="244"/>
  <c r="G9" i="243"/>
  <c r="M56" i="244" l="1"/>
  <c r="M59" i="244" s="1"/>
  <c r="Q56" i="244"/>
  <c r="Q59" i="244" s="1"/>
  <c r="K34" i="244"/>
  <c r="M34" i="244"/>
  <c r="Q34" i="244"/>
  <c r="U34" i="244"/>
  <c r="O34" i="244"/>
  <c r="S34" i="244"/>
  <c r="O56" i="244"/>
  <c r="O59" i="244" s="1"/>
  <c r="K56" i="244"/>
  <c r="K59" i="244" s="1"/>
  <c r="I34" i="244"/>
  <c r="E34" i="244"/>
  <c r="G34" i="244"/>
  <c r="I23" i="243"/>
  <c r="I9" i="243"/>
  <c r="I11" i="243" s="1"/>
  <c r="E9" i="243"/>
  <c r="E11" i="243" s="1"/>
  <c r="O73" i="243"/>
  <c r="K73" i="243"/>
  <c r="S58" i="243"/>
  <c r="V56" i="243"/>
  <c r="Q54" i="243"/>
  <c r="M54" i="243"/>
  <c r="Q53" i="243"/>
  <c r="M53" i="243"/>
  <c r="O51" i="243"/>
  <c r="O56" i="243" s="1"/>
  <c r="O59" i="243" s="1"/>
  <c r="K51" i="243"/>
  <c r="O48" i="243"/>
  <c r="K48" i="243"/>
  <c r="U32" i="243"/>
  <c r="U34" i="243" s="1"/>
  <c r="S32" i="243"/>
  <c r="Q32" i="243"/>
  <c r="Q34" i="243" s="1"/>
  <c r="O32" i="243"/>
  <c r="M32" i="243"/>
  <c r="M34" i="243" s="1"/>
  <c r="K32" i="243"/>
  <c r="I32" i="243"/>
  <c r="G32" i="243"/>
  <c r="E32" i="243"/>
  <c r="U23" i="243"/>
  <c r="S23" i="243"/>
  <c r="Q23" i="243"/>
  <c r="O23" i="243"/>
  <c r="M23" i="243"/>
  <c r="K23" i="243"/>
  <c r="G23" i="243"/>
  <c r="E23" i="243"/>
  <c r="U11" i="243"/>
  <c r="S11" i="243"/>
  <c r="Q11" i="243"/>
  <c r="O11" i="243"/>
  <c r="M11" i="243"/>
  <c r="K11" i="243"/>
  <c r="D10" i="243"/>
  <c r="G11" i="243"/>
  <c r="G9" i="242"/>
  <c r="O34" i="243" l="1"/>
  <c r="S34" i="243"/>
  <c r="Q56" i="243"/>
  <c r="Q59" i="243" s="1"/>
  <c r="M56" i="243"/>
  <c r="M59" i="243" s="1"/>
  <c r="K34" i="243"/>
  <c r="K56" i="243"/>
  <c r="K59" i="243" s="1"/>
  <c r="I34" i="243"/>
  <c r="G34" i="243"/>
  <c r="E34" i="243"/>
  <c r="I9" i="242"/>
  <c r="I11" i="242" s="1"/>
  <c r="E31" i="242"/>
  <c r="E32" i="242" s="1"/>
  <c r="E9" i="242"/>
  <c r="E11" i="242" s="1"/>
  <c r="O73" i="242"/>
  <c r="K73" i="242"/>
  <c r="S58" i="242"/>
  <c r="V56" i="242"/>
  <c r="Q54" i="242"/>
  <c r="M54" i="242"/>
  <c r="Q53" i="242"/>
  <c r="M53" i="242"/>
  <c r="O51" i="242"/>
  <c r="K51" i="242"/>
  <c r="O48" i="242"/>
  <c r="K48" i="242"/>
  <c r="U32" i="242"/>
  <c r="S32" i="242"/>
  <c r="Q32" i="242"/>
  <c r="O32" i="242"/>
  <c r="M32" i="242"/>
  <c r="K32" i="242"/>
  <c r="I32" i="242"/>
  <c r="G32" i="242"/>
  <c r="U23" i="242"/>
  <c r="S23" i="242"/>
  <c r="Q23" i="242"/>
  <c r="O23" i="242"/>
  <c r="M23" i="242"/>
  <c r="K23" i="242"/>
  <c r="I23" i="242"/>
  <c r="G23" i="242"/>
  <c r="E23" i="242"/>
  <c r="U11" i="242"/>
  <c r="S11" i="242"/>
  <c r="Q11" i="242"/>
  <c r="O11" i="242"/>
  <c r="M11" i="242"/>
  <c r="K11" i="242"/>
  <c r="G11" i="242"/>
  <c r="D10" i="242"/>
  <c r="G31" i="241"/>
  <c r="G9" i="241"/>
  <c r="M56" i="242" l="1"/>
  <c r="M59" i="242" s="1"/>
  <c r="O56" i="242"/>
  <c r="O59" i="242" s="1"/>
  <c r="K56" i="242"/>
  <c r="K59" i="242" s="1"/>
  <c r="U34" i="242"/>
  <c r="M34" i="242"/>
  <c r="Q34" i="242"/>
  <c r="Q56" i="242"/>
  <c r="Q59" i="242" s="1"/>
  <c r="O34" i="242"/>
  <c r="S34" i="242"/>
  <c r="K34" i="242"/>
  <c r="I34" i="242"/>
  <c r="G34" i="242"/>
  <c r="E34" i="242"/>
  <c r="I23" i="241"/>
  <c r="E9" i="241"/>
  <c r="O73" i="241"/>
  <c r="K73" i="241"/>
  <c r="S58" i="241"/>
  <c r="V56" i="241"/>
  <c r="Q54" i="241"/>
  <c r="M54" i="241"/>
  <c r="Q53" i="241"/>
  <c r="M53" i="241"/>
  <c r="O51" i="241"/>
  <c r="K51" i="241"/>
  <c r="O48" i="241"/>
  <c r="K48" i="241"/>
  <c r="U32" i="241"/>
  <c r="U34" i="241" s="1"/>
  <c r="S32" i="241"/>
  <c r="Q32" i="241"/>
  <c r="Q34" i="241" s="1"/>
  <c r="O32" i="241"/>
  <c r="M32" i="241"/>
  <c r="M34" i="241" s="1"/>
  <c r="K32" i="241"/>
  <c r="I32" i="241"/>
  <c r="G32" i="241"/>
  <c r="E32" i="241"/>
  <c r="U23" i="241"/>
  <c r="S23" i="241"/>
  <c r="Q23" i="241"/>
  <c r="O23" i="241"/>
  <c r="M23" i="241"/>
  <c r="K23" i="241"/>
  <c r="G23" i="241"/>
  <c r="E23" i="241"/>
  <c r="U11" i="241"/>
  <c r="S11" i="241"/>
  <c r="Q11" i="241"/>
  <c r="O11" i="241"/>
  <c r="M11" i="241"/>
  <c r="K11" i="241"/>
  <c r="I11" i="241"/>
  <c r="D10" i="241"/>
  <c r="G11" i="241"/>
  <c r="E11" i="241"/>
  <c r="G9" i="240"/>
  <c r="O34" i="241" l="1"/>
  <c r="M56" i="241"/>
  <c r="M59" i="241" s="1"/>
  <c r="K56" i="241"/>
  <c r="K59" i="241" s="1"/>
  <c r="Q56" i="241"/>
  <c r="Q59" i="241" s="1"/>
  <c r="O56" i="241"/>
  <c r="O59" i="241" s="1"/>
  <c r="S34" i="241"/>
  <c r="K34" i="241"/>
  <c r="I34" i="241"/>
  <c r="E34" i="241"/>
  <c r="G34" i="241"/>
  <c r="E9" i="240"/>
  <c r="E11" i="240" s="1"/>
  <c r="O73" i="240"/>
  <c r="K73" i="240"/>
  <c r="S58" i="240"/>
  <c r="V56" i="240"/>
  <c r="Q54" i="240"/>
  <c r="M54" i="240"/>
  <c r="Q53" i="240"/>
  <c r="Q56" i="240" s="1"/>
  <c r="Q59" i="240" s="1"/>
  <c r="M53" i="240"/>
  <c r="O51" i="240"/>
  <c r="K51" i="240"/>
  <c r="O48" i="240"/>
  <c r="K48" i="240"/>
  <c r="U32" i="240"/>
  <c r="S32" i="240"/>
  <c r="Q32" i="240"/>
  <c r="Q34" i="240" s="1"/>
  <c r="O32" i="240"/>
  <c r="M32" i="240"/>
  <c r="M34" i="240" s="1"/>
  <c r="K32" i="240"/>
  <c r="I32" i="240"/>
  <c r="I34" i="240" s="1"/>
  <c r="G32" i="240"/>
  <c r="E32" i="240"/>
  <c r="U23" i="240"/>
  <c r="S23" i="240"/>
  <c r="Q23" i="240"/>
  <c r="O23" i="240"/>
  <c r="M23" i="240"/>
  <c r="K23" i="240"/>
  <c r="I23" i="240"/>
  <c r="G23" i="240"/>
  <c r="E23" i="240"/>
  <c r="U11" i="240"/>
  <c r="S11" i="240"/>
  <c r="Q11" i="240"/>
  <c r="O11" i="240"/>
  <c r="M11" i="240"/>
  <c r="K11" i="240"/>
  <c r="I11" i="240"/>
  <c r="G11" i="240"/>
  <c r="D10" i="240"/>
  <c r="M56" i="240" l="1"/>
  <c r="M59" i="240" s="1"/>
  <c r="O34" i="240"/>
  <c r="U34" i="240"/>
  <c r="K56" i="240"/>
  <c r="K59" i="240" s="1"/>
  <c r="O56" i="240"/>
  <c r="O59" i="240" s="1"/>
  <c r="S34" i="240"/>
  <c r="K34" i="240"/>
  <c r="G34" i="240"/>
  <c r="E34" i="240"/>
  <c r="G9" i="239" l="1"/>
  <c r="E9" i="239"/>
  <c r="E11" i="239" s="1"/>
  <c r="O73" i="239"/>
  <c r="K73" i="239"/>
  <c r="S58" i="239"/>
  <c r="V56" i="239"/>
  <c r="Q54" i="239"/>
  <c r="M54" i="239"/>
  <c r="Q53" i="239"/>
  <c r="M53" i="239"/>
  <c r="O51" i="239"/>
  <c r="K51" i="239"/>
  <c r="O48" i="239"/>
  <c r="K48" i="239"/>
  <c r="U32" i="239"/>
  <c r="S32" i="239"/>
  <c r="Q32" i="239"/>
  <c r="O32" i="239"/>
  <c r="M32" i="239"/>
  <c r="K32" i="239"/>
  <c r="I32" i="239"/>
  <c r="G32" i="239"/>
  <c r="E32" i="239"/>
  <c r="U23" i="239"/>
  <c r="S23" i="239"/>
  <c r="Q23" i="239"/>
  <c r="O23" i="239"/>
  <c r="M23" i="239"/>
  <c r="K23" i="239"/>
  <c r="I23" i="239"/>
  <c r="G23" i="239"/>
  <c r="E23" i="239"/>
  <c r="U11" i="239"/>
  <c r="S11" i="239"/>
  <c r="Q11" i="239"/>
  <c r="O11" i="239"/>
  <c r="M11" i="239"/>
  <c r="K11" i="239"/>
  <c r="I11" i="239"/>
  <c r="D10" i="239"/>
  <c r="G11" i="239"/>
  <c r="G9" i="237"/>
  <c r="Q56" i="239" l="1"/>
  <c r="Q59" i="239" s="1"/>
  <c r="M56" i="239"/>
  <c r="M59" i="239" s="1"/>
  <c r="U34" i="239"/>
  <c r="S34" i="239"/>
  <c r="Q34" i="239"/>
  <c r="G34" i="239"/>
  <c r="M34" i="239"/>
  <c r="I34" i="239"/>
  <c r="E34" i="239"/>
  <c r="O34" i="239"/>
  <c r="O56" i="239"/>
  <c r="O59" i="239" s="1"/>
  <c r="K34" i="239"/>
  <c r="K56" i="239"/>
  <c r="K59" i="239" s="1"/>
  <c r="I23" i="237"/>
  <c r="E9" i="237"/>
  <c r="E11" i="237" s="1"/>
  <c r="O73" i="238"/>
  <c r="K73" i="238"/>
  <c r="S58" i="238"/>
  <c r="V56" i="238"/>
  <c r="Q54" i="238"/>
  <c r="Q56" i="238" s="1"/>
  <c r="Q59" i="238" s="1"/>
  <c r="M54" i="238"/>
  <c r="Q53" i="238"/>
  <c r="M53" i="238"/>
  <c r="M56" i="238" s="1"/>
  <c r="M59" i="238" s="1"/>
  <c r="O51" i="238"/>
  <c r="K51" i="238"/>
  <c r="O48" i="238"/>
  <c r="O56" i="238" s="1"/>
  <c r="O59" i="238" s="1"/>
  <c r="K48" i="238"/>
  <c r="K56" i="238" s="1"/>
  <c r="K59" i="238" s="1"/>
  <c r="U34" i="238"/>
  <c r="U32" i="238"/>
  <c r="S32" i="238"/>
  <c r="Q32" i="238"/>
  <c r="O32" i="238"/>
  <c r="O34" i="238" s="1"/>
  <c r="M32" i="238"/>
  <c r="K32" i="238"/>
  <c r="K34" i="238" s="1"/>
  <c r="I32" i="238"/>
  <c r="I34" i="238" s="1"/>
  <c r="G32" i="238"/>
  <c r="G34" i="238" s="1"/>
  <c r="E32" i="238"/>
  <c r="U23" i="238"/>
  <c r="S23" i="238"/>
  <c r="Q23" i="238"/>
  <c r="Q34" i="238" s="1"/>
  <c r="O23" i="238"/>
  <c r="M23" i="238"/>
  <c r="K23" i="238"/>
  <c r="I23" i="238"/>
  <c r="G23" i="238"/>
  <c r="E23" i="238"/>
  <c r="U11" i="238"/>
  <c r="S11" i="238"/>
  <c r="S34" i="238" s="1"/>
  <c r="Q11" i="238"/>
  <c r="O11" i="238"/>
  <c r="M11" i="238"/>
  <c r="M34" i="238" s="1"/>
  <c r="K11" i="238"/>
  <c r="I11" i="238"/>
  <c r="G11" i="238"/>
  <c r="D10" i="238"/>
  <c r="G9" i="238"/>
  <c r="E9" i="238"/>
  <c r="E11" i="238" s="1"/>
  <c r="E34" i="238" s="1"/>
  <c r="O73" i="237"/>
  <c r="K73" i="237"/>
  <c r="S58" i="237"/>
  <c r="V56" i="237"/>
  <c r="Q54" i="237"/>
  <c r="M54" i="237"/>
  <c r="Q53" i="237"/>
  <c r="Q56" i="237" s="1"/>
  <c r="Q59" i="237" s="1"/>
  <c r="M53" i="237"/>
  <c r="M56" i="237" s="1"/>
  <c r="M59" i="237" s="1"/>
  <c r="O51" i="237"/>
  <c r="K51" i="237"/>
  <c r="O48" i="237"/>
  <c r="K48" i="237"/>
  <c r="U32" i="237"/>
  <c r="U34" i="237" s="1"/>
  <c r="S32" i="237"/>
  <c r="Q32" i="237"/>
  <c r="Q34" i="237" s="1"/>
  <c r="O32" i="237"/>
  <c r="M32" i="237"/>
  <c r="M34" i="237" s="1"/>
  <c r="K32" i="237"/>
  <c r="I32" i="237"/>
  <c r="G32" i="237"/>
  <c r="E32" i="237"/>
  <c r="U23" i="237"/>
  <c r="S23" i="237"/>
  <c r="Q23" i="237"/>
  <c r="O23" i="237"/>
  <c r="M23" i="237"/>
  <c r="K23" i="237"/>
  <c r="G23" i="237"/>
  <c r="E23" i="237"/>
  <c r="U11" i="237"/>
  <c r="S11" i="237"/>
  <c r="Q11" i="237"/>
  <c r="O11" i="237"/>
  <c r="M11" i="237"/>
  <c r="K11" i="237"/>
  <c r="I11" i="237"/>
  <c r="G11" i="237"/>
  <c r="D10" i="237"/>
  <c r="G9" i="236"/>
  <c r="O34" i="237" l="1"/>
  <c r="G34" i="237"/>
  <c r="S34" i="237"/>
  <c r="O56" i="237"/>
  <c r="O59" i="237" s="1"/>
  <c r="K56" i="237"/>
  <c r="K59" i="237" s="1"/>
  <c r="K34" i="237"/>
  <c r="I34" i="237"/>
  <c r="E34" i="237"/>
  <c r="G25" i="224"/>
  <c r="I23" i="236" l="1"/>
  <c r="E9" i="236"/>
  <c r="E11" i="236" s="1"/>
  <c r="O73" i="236"/>
  <c r="K73" i="236"/>
  <c r="S58" i="236"/>
  <c r="V56" i="236"/>
  <c r="Q54" i="236"/>
  <c r="M54" i="236"/>
  <c r="Q53" i="236"/>
  <c r="M53" i="236"/>
  <c r="O51" i="236"/>
  <c r="K51" i="236"/>
  <c r="O48" i="236"/>
  <c r="K48" i="236"/>
  <c r="U32" i="236"/>
  <c r="S32" i="236"/>
  <c r="Q32" i="236"/>
  <c r="O32" i="236"/>
  <c r="M32" i="236"/>
  <c r="K32" i="236"/>
  <c r="I32" i="236"/>
  <c r="G32" i="236"/>
  <c r="E32" i="236"/>
  <c r="U23" i="236"/>
  <c r="S23" i="236"/>
  <c r="Q23" i="236"/>
  <c r="O23" i="236"/>
  <c r="M23" i="236"/>
  <c r="K23" i="236"/>
  <c r="G23" i="236"/>
  <c r="E23" i="236"/>
  <c r="U11" i="236"/>
  <c r="S11" i="236"/>
  <c r="Q11" i="236"/>
  <c r="O11" i="236"/>
  <c r="M11" i="236"/>
  <c r="K11" i="236"/>
  <c r="D10" i="236"/>
  <c r="I11" i="236"/>
  <c r="G11" i="236"/>
  <c r="Q56" i="236" l="1"/>
  <c r="Q59" i="236" s="1"/>
  <c r="M56" i="236"/>
  <c r="M59" i="236" s="1"/>
  <c r="S34" i="236"/>
  <c r="Q34" i="236"/>
  <c r="O56" i="236"/>
  <c r="O59" i="236" s="1"/>
  <c r="O34" i="236"/>
  <c r="K56" i="236"/>
  <c r="K59" i="236" s="1"/>
  <c r="U34" i="236"/>
  <c r="K34" i="236"/>
  <c r="M34" i="236"/>
  <c r="I34" i="236"/>
  <c r="G34" i="236"/>
  <c r="E34" i="236"/>
  <c r="G9" i="235"/>
  <c r="I9" i="235" l="1"/>
  <c r="E9" i="235"/>
  <c r="E11" i="235" s="1"/>
  <c r="O73" i="235"/>
  <c r="K73" i="235"/>
  <c r="S58" i="235"/>
  <c r="V56" i="235"/>
  <c r="Q54" i="235"/>
  <c r="M54" i="235"/>
  <c r="Q53" i="235"/>
  <c r="Q56" i="235" s="1"/>
  <c r="Q59" i="235" s="1"/>
  <c r="M53" i="235"/>
  <c r="O51" i="235"/>
  <c r="K51" i="235"/>
  <c r="O48" i="235"/>
  <c r="K48" i="235"/>
  <c r="U32" i="235"/>
  <c r="S32" i="235"/>
  <c r="Q32" i="235"/>
  <c r="O32" i="235"/>
  <c r="M32" i="235"/>
  <c r="K32" i="235"/>
  <c r="I32" i="235"/>
  <c r="G32" i="235"/>
  <c r="E32" i="235"/>
  <c r="U23" i="235"/>
  <c r="S23" i="235"/>
  <c r="Q23" i="235"/>
  <c r="O23" i="235"/>
  <c r="M23" i="235"/>
  <c r="K23" i="235"/>
  <c r="I23" i="235"/>
  <c r="G23" i="235"/>
  <c r="E23" i="235"/>
  <c r="U11" i="235"/>
  <c r="S11" i="235"/>
  <c r="Q11" i="235"/>
  <c r="O11" i="235"/>
  <c r="M11" i="235"/>
  <c r="K11" i="235"/>
  <c r="D10" i="235"/>
  <c r="I11" i="235"/>
  <c r="G11" i="235"/>
  <c r="S34" i="235" l="1"/>
  <c r="O34" i="235"/>
  <c r="Q34" i="235"/>
  <c r="M56" i="235"/>
  <c r="M59" i="235" s="1"/>
  <c r="K34" i="235"/>
  <c r="O56" i="235"/>
  <c r="O59" i="235" s="1"/>
  <c r="I34" i="235"/>
  <c r="M34" i="235"/>
  <c r="K56" i="235"/>
  <c r="K59" i="235" s="1"/>
  <c r="U34" i="235"/>
  <c r="G34" i="235"/>
  <c r="E34" i="235"/>
  <c r="G9" i="234"/>
  <c r="I9" i="234" l="1"/>
  <c r="I11" i="234" s="1"/>
  <c r="E9" i="234"/>
  <c r="O73" i="234"/>
  <c r="K73" i="234"/>
  <c r="S58" i="234"/>
  <c r="V56" i="234"/>
  <c r="Q54" i="234"/>
  <c r="M54" i="234"/>
  <c r="Q53" i="234"/>
  <c r="M53" i="234"/>
  <c r="O51" i="234"/>
  <c r="K51" i="234"/>
  <c r="O48" i="234"/>
  <c r="K48" i="234"/>
  <c r="U32" i="234"/>
  <c r="S32" i="234"/>
  <c r="Q32" i="234"/>
  <c r="O32" i="234"/>
  <c r="M32" i="234"/>
  <c r="K32" i="234"/>
  <c r="I32" i="234"/>
  <c r="G32" i="234"/>
  <c r="E32" i="234"/>
  <c r="U23" i="234"/>
  <c r="S23" i="234"/>
  <c r="Q23" i="234"/>
  <c r="O23" i="234"/>
  <c r="M23" i="234"/>
  <c r="K23" i="234"/>
  <c r="I23" i="234"/>
  <c r="G23" i="234"/>
  <c r="E23" i="234"/>
  <c r="U11" i="234"/>
  <c r="S11" i="234"/>
  <c r="Q11" i="234"/>
  <c r="O11" i="234"/>
  <c r="M11" i="234"/>
  <c r="K11" i="234"/>
  <c r="E11" i="234"/>
  <c r="D10" i="234"/>
  <c r="G11" i="234"/>
  <c r="M34" i="234" l="1"/>
  <c r="Q34" i="234"/>
  <c r="G34" i="234"/>
  <c r="Q56" i="234"/>
  <c r="Q59" i="234" s="1"/>
  <c r="M56" i="234"/>
  <c r="M59" i="234" s="1"/>
  <c r="K34" i="234"/>
  <c r="U34" i="234"/>
  <c r="S34" i="234"/>
  <c r="O56" i="234"/>
  <c r="O59" i="234" s="1"/>
  <c r="K56" i="234"/>
  <c r="K59" i="234" s="1"/>
  <c r="O34" i="234"/>
  <c r="I34" i="234"/>
  <c r="E34" i="234"/>
  <c r="G9" i="233"/>
  <c r="I23" i="233" l="1"/>
  <c r="I9" i="233"/>
  <c r="I11" i="233" s="1"/>
  <c r="E9" i="233"/>
  <c r="O73" i="233"/>
  <c r="K73" i="233"/>
  <c r="S58" i="233"/>
  <c r="V56" i="233"/>
  <c r="Q54" i="233"/>
  <c r="M54" i="233"/>
  <c r="Q53" i="233"/>
  <c r="M53" i="233"/>
  <c r="M56" i="233" s="1"/>
  <c r="M59" i="233" s="1"/>
  <c r="O51" i="233"/>
  <c r="K51" i="233"/>
  <c r="O48" i="233"/>
  <c r="K48" i="233"/>
  <c r="U32" i="233"/>
  <c r="S32" i="233"/>
  <c r="Q32" i="233"/>
  <c r="O32" i="233"/>
  <c r="M32" i="233"/>
  <c r="K32" i="233"/>
  <c r="I32" i="233"/>
  <c r="G32" i="233"/>
  <c r="E32" i="233"/>
  <c r="U23" i="233"/>
  <c r="S23" i="233"/>
  <c r="Q23" i="233"/>
  <c r="O23" i="233"/>
  <c r="M23" i="233"/>
  <c r="K23" i="233"/>
  <c r="G23" i="233"/>
  <c r="E23" i="233"/>
  <c r="U11" i="233"/>
  <c r="S11" i="233"/>
  <c r="Q11" i="233"/>
  <c r="O11" i="233"/>
  <c r="M11" i="233"/>
  <c r="K11" i="233"/>
  <c r="E11" i="233"/>
  <c r="D10" i="233"/>
  <c r="G11" i="233"/>
  <c r="Q56" i="233" l="1"/>
  <c r="Q59" i="233" s="1"/>
  <c r="O56" i="233"/>
  <c r="O59" i="233" s="1"/>
  <c r="M34" i="233"/>
  <c r="K56" i="233"/>
  <c r="K59" i="233" s="1"/>
  <c r="K34" i="233"/>
  <c r="Q34" i="233"/>
  <c r="S34" i="233"/>
  <c r="U34" i="233"/>
  <c r="O34" i="233"/>
  <c r="I34" i="233"/>
  <c r="G34" i="233"/>
  <c r="E34" i="233"/>
  <c r="G9" i="232"/>
  <c r="E9" i="232" l="1"/>
  <c r="E11" i="232" s="1"/>
  <c r="O73" i="232"/>
  <c r="K73" i="232"/>
  <c r="S58" i="232"/>
  <c r="V56" i="232"/>
  <c r="Q54" i="232"/>
  <c r="M54" i="232"/>
  <c r="Q53" i="232"/>
  <c r="M53" i="232"/>
  <c r="M56" i="232" s="1"/>
  <c r="M59" i="232" s="1"/>
  <c r="O51" i="232"/>
  <c r="K51" i="232"/>
  <c r="O48" i="232"/>
  <c r="K48" i="232"/>
  <c r="Q32" i="232"/>
  <c r="O32" i="232"/>
  <c r="M32" i="232"/>
  <c r="M34" i="232" s="1"/>
  <c r="K32" i="232"/>
  <c r="K34" i="232" s="1"/>
  <c r="I32" i="232"/>
  <c r="G32" i="232"/>
  <c r="E32" i="232"/>
  <c r="U32" i="232"/>
  <c r="U34" i="232" s="1"/>
  <c r="S32" i="232"/>
  <c r="U23" i="232"/>
  <c r="S23" i="232"/>
  <c r="Q23" i="232"/>
  <c r="O23" i="232"/>
  <c r="M23" i="232"/>
  <c r="K23" i="232"/>
  <c r="I23" i="232"/>
  <c r="G23" i="232"/>
  <c r="E23" i="232"/>
  <c r="U11" i="232"/>
  <c r="S11" i="232"/>
  <c r="Q11" i="232"/>
  <c r="O11" i="232"/>
  <c r="M11" i="232"/>
  <c r="K11" i="232"/>
  <c r="D10" i="232"/>
  <c r="I9" i="232"/>
  <c r="I11" i="232" s="1"/>
  <c r="G11" i="232"/>
  <c r="Q34" i="232" l="1"/>
  <c r="I34" i="232"/>
  <c r="G34" i="232"/>
  <c r="S34" i="232"/>
  <c r="Q56" i="232"/>
  <c r="Q59" i="232" s="1"/>
  <c r="O56" i="232"/>
  <c r="O59" i="232" s="1"/>
  <c r="K56" i="232"/>
  <c r="K59" i="232" s="1"/>
  <c r="O34" i="232"/>
  <c r="E34" i="232"/>
  <c r="G9" i="231" l="1"/>
  <c r="U28" i="231" l="1"/>
  <c r="U32" i="231" s="1"/>
  <c r="S28" i="231"/>
  <c r="S32" i="231" s="1"/>
  <c r="I9" i="231"/>
  <c r="E9" i="231"/>
  <c r="E11" i="231" s="1"/>
  <c r="O73" i="231"/>
  <c r="K73" i="231"/>
  <c r="S58" i="231"/>
  <c r="V56" i="231"/>
  <c r="Q54" i="231"/>
  <c r="M54" i="231"/>
  <c r="Q53" i="231"/>
  <c r="M53" i="231"/>
  <c r="O51" i="231"/>
  <c r="K51" i="231"/>
  <c r="O48" i="231"/>
  <c r="K48" i="231"/>
  <c r="Q32" i="231"/>
  <c r="O32" i="231"/>
  <c r="M32" i="231"/>
  <c r="K32" i="231"/>
  <c r="I32" i="231"/>
  <c r="G32" i="231"/>
  <c r="E32" i="231"/>
  <c r="U23" i="231"/>
  <c r="S23" i="231"/>
  <c r="Q23" i="231"/>
  <c r="O23" i="231"/>
  <c r="M23" i="231"/>
  <c r="K23" i="231"/>
  <c r="I23" i="231"/>
  <c r="G23" i="231"/>
  <c r="E23" i="231"/>
  <c r="U11" i="231"/>
  <c r="S11" i="231"/>
  <c r="Q11" i="231"/>
  <c r="O11" i="231"/>
  <c r="M11" i="231"/>
  <c r="K11" i="231"/>
  <c r="I11" i="231"/>
  <c r="D10" i="231"/>
  <c r="G11" i="231"/>
  <c r="M34" i="231" l="1"/>
  <c r="O34" i="231"/>
  <c r="K34" i="231"/>
  <c r="K56" i="231"/>
  <c r="K59" i="231" s="1"/>
  <c r="Q34" i="231"/>
  <c r="O56" i="231"/>
  <c r="O59" i="231" s="1"/>
  <c r="S34" i="231"/>
  <c r="I34" i="231"/>
  <c r="M56" i="231"/>
  <c r="M59" i="231" s="1"/>
  <c r="Q56" i="231"/>
  <c r="Q59" i="231" s="1"/>
  <c r="U34" i="231"/>
  <c r="E34" i="231"/>
  <c r="G34" i="231"/>
  <c r="G9" i="230"/>
  <c r="E9" i="230" l="1"/>
  <c r="E11" i="230" s="1"/>
  <c r="O75" i="230"/>
  <c r="K75" i="230"/>
  <c r="S60" i="230"/>
  <c r="V58" i="230"/>
  <c r="Q56" i="230"/>
  <c r="M56" i="230"/>
  <c r="Q55" i="230"/>
  <c r="Q58" i="230" s="1"/>
  <c r="Q61" i="230" s="1"/>
  <c r="M55" i="230"/>
  <c r="O53" i="230"/>
  <c r="K53" i="230"/>
  <c r="O50" i="230"/>
  <c r="K50" i="230"/>
  <c r="U34" i="230"/>
  <c r="S34" i="230"/>
  <c r="Q34" i="230"/>
  <c r="Q36" i="230" s="1"/>
  <c r="O34" i="230"/>
  <c r="M34" i="230"/>
  <c r="K34" i="230"/>
  <c r="I34" i="230"/>
  <c r="G34" i="230"/>
  <c r="E34" i="230"/>
  <c r="U25" i="230"/>
  <c r="S25" i="230"/>
  <c r="S36" i="230" s="1"/>
  <c r="Q25" i="230"/>
  <c r="O25" i="230"/>
  <c r="M25" i="230"/>
  <c r="K25" i="230"/>
  <c r="I25" i="230"/>
  <c r="G25" i="230"/>
  <c r="E25" i="230"/>
  <c r="U11" i="230"/>
  <c r="S11" i="230"/>
  <c r="Q11" i="230"/>
  <c r="O11" i="230"/>
  <c r="M11" i="230"/>
  <c r="K11" i="230"/>
  <c r="I11" i="230"/>
  <c r="D10" i="230"/>
  <c r="G11" i="230"/>
  <c r="U36" i="230" l="1"/>
  <c r="K58" i="230"/>
  <c r="K61" i="230" s="1"/>
  <c r="M36" i="230"/>
  <c r="M58" i="230"/>
  <c r="M61" i="230" s="1"/>
  <c r="O36" i="230"/>
  <c r="K36" i="230"/>
  <c r="O58" i="230"/>
  <c r="O61" i="230" s="1"/>
  <c r="I36" i="230"/>
  <c r="G36" i="230"/>
  <c r="E36" i="230"/>
  <c r="G9" i="229"/>
  <c r="O75" i="229" l="1"/>
  <c r="K75" i="229"/>
  <c r="S60" i="229"/>
  <c r="V58" i="229"/>
  <c r="Q56" i="229"/>
  <c r="M56" i="229"/>
  <c r="Q55" i="229"/>
  <c r="M55" i="229"/>
  <c r="O53" i="229"/>
  <c r="K53" i="229"/>
  <c r="O50" i="229"/>
  <c r="K50" i="229"/>
  <c r="U34" i="229"/>
  <c r="S34" i="229"/>
  <c r="Q34" i="229"/>
  <c r="O34" i="229"/>
  <c r="M34" i="229"/>
  <c r="K34" i="229"/>
  <c r="I34" i="229"/>
  <c r="G34" i="229"/>
  <c r="E34" i="229"/>
  <c r="U25" i="229"/>
  <c r="S25" i="229"/>
  <c r="Q25" i="229"/>
  <c r="O25" i="229"/>
  <c r="M25" i="229"/>
  <c r="K25" i="229"/>
  <c r="I25" i="229"/>
  <c r="G25" i="229"/>
  <c r="E25" i="229"/>
  <c r="U11" i="229"/>
  <c r="S11" i="229"/>
  <c r="Q11" i="229"/>
  <c r="O11" i="229"/>
  <c r="M11" i="229"/>
  <c r="K11" i="229"/>
  <c r="I11" i="229"/>
  <c r="G11" i="229"/>
  <c r="E11" i="229"/>
  <c r="D10" i="229"/>
  <c r="E36" i="229" l="1"/>
  <c r="Q36" i="229"/>
  <c r="M58" i="229"/>
  <c r="M61" i="229" s="1"/>
  <c r="M36" i="229"/>
  <c r="O36" i="229"/>
  <c r="G36" i="229"/>
  <c r="I36" i="229"/>
  <c r="K58" i="229"/>
  <c r="K61" i="229" s="1"/>
  <c r="K36" i="229"/>
  <c r="O58" i="229"/>
  <c r="O61" i="229" s="1"/>
  <c r="Q58" i="229"/>
  <c r="Q61" i="229" s="1"/>
  <c r="U36" i="229"/>
  <c r="S36" i="229"/>
  <c r="O75" i="228"/>
  <c r="K75" i="228"/>
  <c r="S60" i="228"/>
  <c r="V58" i="228"/>
  <c r="Q56" i="228"/>
  <c r="M56" i="228"/>
  <c r="Q55" i="228"/>
  <c r="Q58" i="228" s="1"/>
  <c r="Q61" i="228" s="1"/>
  <c r="M55" i="228"/>
  <c r="M58" i="228" s="1"/>
  <c r="M61" i="228" s="1"/>
  <c r="O53" i="228"/>
  <c r="K53" i="228"/>
  <c r="O50" i="228"/>
  <c r="O58" i="228" s="1"/>
  <c r="O61" i="228" s="1"/>
  <c r="K50" i="228"/>
  <c r="U34" i="228"/>
  <c r="S34" i="228"/>
  <c r="Q34" i="228"/>
  <c r="O34" i="228"/>
  <c r="M34" i="228"/>
  <c r="K34" i="228"/>
  <c r="I34" i="228"/>
  <c r="I36" i="228" s="1"/>
  <c r="G34" i="228"/>
  <c r="E34" i="228"/>
  <c r="U25" i="228"/>
  <c r="S25" i="228"/>
  <c r="Q25" i="228"/>
  <c r="O25" i="228"/>
  <c r="M25" i="228"/>
  <c r="K25" i="228"/>
  <c r="I25" i="228"/>
  <c r="G25" i="228"/>
  <c r="E25" i="228"/>
  <c r="U11" i="228"/>
  <c r="S11" i="228"/>
  <c r="S36" i="228" s="1"/>
  <c r="Q11" i="228"/>
  <c r="O11" i="228"/>
  <c r="O36" i="228" s="1"/>
  <c r="M11" i="228"/>
  <c r="K11" i="228"/>
  <c r="I11" i="228"/>
  <c r="G11" i="228"/>
  <c r="E11" i="228"/>
  <c r="D10" i="228"/>
  <c r="K36" i="228" l="1"/>
  <c r="M36" i="228"/>
  <c r="Q36" i="228"/>
  <c r="K58" i="228"/>
  <c r="K61" i="228" s="1"/>
  <c r="U36" i="228"/>
  <c r="G36" i="228"/>
  <c r="E36" i="228"/>
  <c r="E25" i="227"/>
  <c r="O75" i="227"/>
  <c r="K75" i="227"/>
  <c r="S60" i="227"/>
  <c r="V58" i="227"/>
  <c r="Q56" i="227"/>
  <c r="M56" i="227"/>
  <c r="Q55" i="227"/>
  <c r="Q58" i="227" s="1"/>
  <c r="Q61" i="227" s="1"/>
  <c r="M55" i="227"/>
  <c r="M58" i="227" s="1"/>
  <c r="M61" i="227" s="1"/>
  <c r="O53" i="227"/>
  <c r="K53" i="227"/>
  <c r="O50" i="227"/>
  <c r="K50" i="227"/>
  <c r="U34" i="227"/>
  <c r="S34" i="227"/>
  <c r="Q34" i="227"/>
  <c r="O34" i="227"/>
  <c r="M34" i="227"/>
  <c r="K34" i="227"/>
  <c r="I34" i="227"/>
  <c r="G34" i="227"/>
  <c r="E34" i="227"/>
  <c r="U25" i="227"/>
  <c r="U36" i="227" s="1"/>
  <c r="S25" i="227"/>
  <c r="Q25" i="227"/>
  <c r="O25" i="227"/>
  <c r="M25" i="227"/>
  <c r="K25" i="227"/>
  <c r="I25" i="227"/>
  <c r="G25" i="227"/>
  <c r="U11" i="227"/>
  <c r="S11" i="227"/>
  <c r="Q11" i="227"/>
  <c r="O11" i="227"/>
  <c r="M11" i="227"/>
  <c r="M36" i="227" s="1"/>
  <c r="K11" i="227"/>
  <c r="K36" i="227" s="1"/>
  <c r="I11" i="227"/>
  <c r="G11" i="227"/>
  <c r="E11" i="227"/>
  <c r="D10" i="227"/>
  <c r="O36" i="227" l="1"/>
  <c r="S36" i="227"/>
  <c r="K58" i="227"/>
  <c r="K61" i="227" s="1"/>
  <c r="Q36" i="227"/>
  <c r="O58" i="227"/>
  <c r="O61" i="227" s="1"/>
  <c r="I36" i="227"/>
  <c r="G36" i="227"/>
  <c r="E36" i="227"/>
  <c r="O75" i="226"/>
  <c r="K75" i="226"/>
  <c r="S60" i="226"/>
  <c r="V58" i="226"/>
  <c r="Q56" i="226"/>
  <c r="M56" i="226"/>
  <c r="Q55" i="226"/>
  <c r="Q58" i="226" s="1"/>
  <c r="Q61" i="226" s="1"/>
  <c r="M55" i="226"/>
  <c r="M58" i="226" s="1"/>
  <c r="M61" i="226" s="1"/>
  <c r="O53" i="226"/>
  <c r="K53" i="226"/>
  <c r="O50" i="226"/>
  <c r="K50" i="226"/>
  <c r="U34" i="226"/>
  <c r="S34" i="226"/>
  <c r="Q34" i="226"/>
  <c r="O34" i="226"/>
  <c r="M34" i="226"/>
  <c r="K34" i="226"/>
  <c r="I34" i="226"/>
  <c r="G34" i="226"/>
  <c r="E34" i="226"/>
  <c r="U25" i="226"/>
  <c r="S25" i="226"/>
  <c r="Q25" i="226"/>
  <c r="O25" i="226"/>
  <c r="M25" i="226"/>
  <c r="K25" i="226"/>
  <c r="I25" i="226"/>
  <c r="G25" i="226"/>
  <c r="E25" i="226"/>
  <c r="U11" i="226"/>
  <c r="S11" i="226"/>
  <c r="Q11" i="226"/>
  <c r="O11" i="226"/>
  <c r="M11" i="226"/>
  <c r="K11" i="226"/>
  <c r="I11" i="226"/>
  <c r="G11" i="226"/>
  <c r="E11" i="226"/>
  <c r="D10" i="226"/>
  <c r="U36" i="226" l="1"/>
  <c r="K58" i="226"/>
  <c r="K61" i="226" s="1"/>
  <c r="M36" i="226"/>
  <c r="E36" i="226"/>
  <c r="O36" i="226"/>
  <c r="K36" i="226"/>
  <c r="Q36" i="226"/>
  <c r="O58" i="226"/>
  <c r="O61" i="226" s="1"/>
  <c r="G36" i="226"/>
  <c r="S36" i="226"/>
  <c r="I36" i="226"/>
  <c r="O75" i="225"/>
  <c r="K75" i="225"/>
  <c r="S60" i="225"/>
  <c r="V58" i="225"/>
  <c r="Q56" i="225"/>
  <c r="M56" i="225"/>
  <c r="Q55" i="225"/>
  <c r="M55" i="225"/>
  <c r="M58" i="225" s="1"/>
  <c r="M61" i="225" s="1"/>
  <c r="O53" i="225"/>
  <c r="K53" i="225"/>
  <c r="O50" i="225"/>
  <c r="K50" i="225"/>
  <c r="U34" i="225"/>
  <c r="S34" i="225"/>
  <c r="Q34" i="225"/>
  <c r="O34" i="225"/>
  <c r="M34" i="225"/>
  <c r="K34" i="225"/>
  <c r="I34" i="225"/>
  <c r="G34" i="225"/>
  <c r="E34" i="225"/>
  <c r="U25" i="225"/>
  <c r="S25" i="225"/>
  <c r="Q25" i="225"/>
  <c r="O25" i="225"/>
  <c r="M25" i="225"/>
  <c r="K25" i="225"/>
  <c r="I25" i="225"/>
  <c r="G25" i="225"/>
  <c r="E25" i="225"/>
  <c r="U11" i="225"/>
  <c r="S11" i="225"/>
  <c r="Q11" i="225"/>
  <c r="O11" i="225"/>
  <c r="M11" i="225"/>
  <c r="K11" i="225"/>
  <c r="I11" i="225"/>
  <c r="G11" i="225"/>
  <c r="D10" i="225"/>
  <c r="E11" i="225"/>
  <c r="M36" i="225" l="1"/>
  <c r="Q36" i="225"/>
  <c r="Q58" i="225"/>
  <c r="Q61" i="225" s="1"/>
  <c r="U36" i="225"/>
  <c r="S36" i="225"/>
  <c r="K36" i="225"/>
  <c r="K58" i="225"/>
  <c r="K61" i="225" s="1"/>
  <c r="O58" i="225"/>
  <c r="O61" i="225" s="1"/>
  <c r="O36" i="225"/>
  <c r="E36" i="225"/>
  <c r="I36" i="225"/>
  <c r="G36" i="225"/>
  <c r="E9" i="224"/>
  <c r="E11" i="224"/>
  <c r="G11" i="224"/>
  <c r="O75" i="224"/>
  <c r="K75" i="224"/>
  <c r="S60" i="224"/>
  <c r="V58" i="224"/>
  <c r="Q56" i="224"/>
  <c r="M56" i="224"/>
  <c r="Q55" i="224"/>
  <c r="Q58" i="224" s="1"/>
  <c r="Q61" i="224" s="1"/>
  <c r="M55" i="224"/>
  <c r="M58" i="224" s="1"/>
  <c r="M61" i="224" s="1"/>
  <c r="O53" i="224"/>
  <c r="K53" i="224"/>
  <c r="O50" i="224"/>
  <c r="K50" i="224"/>
  <c r="U34" i="224"/>
  <c r="S34" i="224"/>
  <c r="Q34" i="224"/>
  <c r="O34" i="224"/>
  <c r="M34" i="224"/>
  <c r="K34" i="224"/>
  <c r="I34" i="224"/>
  <c r="G34" i="224"/>
  <c r="E34" i="224"/>
  <c r="U25" i="224"/>
  <c r="S25" i="224"/>
  <c r="Q25" i="224"/>
  <c r="O25" i="224"/>
  <c r="M25" i="224"/>
  <c r="K25" i="224"/>
  <c r="I25" i="224"/>
  <c r="E25" i="224"/>
  <c r="U11" i="224"/>
  <c r="S11" i="224"/>
  <c r="Q11" i="224"/>
  <c r="O11" i="224"/>
  <c r="M11" i="224"/>
  <c r="K11" i="224"/>
  <c r="I11" i="224"/>
  <c r="D10" i="224"/>
  <c r="Q36" i="224" l="1"/>
  <c r="K58" i="224"/>
  <c r="K61" i="224" s="1"/>
  <c r="M36" i="224"/>
  <c r="K36" i="224"/>
  <c r="S36" i="224"/>
  <c r="U36" i="224"/>
  <c r="I36" i="224"/>
  <c r="O58" i="224"/>
  <c r="O61" i="224" s="1"/>
  <c r="O36" i="224"/>
  <c r="G36" i="224"/>
  <c r="E36" i="224"/>
  <c r="G9" i="223"/>
  <c r="E9" i="223"/>
  <c r="O74" i="223"/>
  <c r="K74" i="223"/>
  <c r="S59" i="223"/>
  <c r="V57" i="223"/>
  <c r="Q55" i="223"/>
  <c r="M55" i="223"/>
  <c r="Q54" i="223"/>
  <c r="M54" i="223"/>
  <c r="O52" i="223"/>
  <c r="K52" i="223"/>
  <c r="O49" i="223"/>
  <c r="K49" i="223"/>
  <c r="U33" i="223"/>
  <c r="S33" i="223"/>
  <c r="Q33" i="223"/>
  <c r="O33" i="223"/>
  <c r="M33" i="223"/>
  <c r="K33" i="223"/>
  <c r="I33" i="223"/>
  <c r="G33" i="223"/>
  <c r="E33" i="223"/>
  <c r="U24" i="223"/>
  <c r="S24" i="223"/>
  <c r="Q24" i="223"/>
  <c r="O24" i="223"/>
  <c r="M24" i="223"/>
  <c r="K24" i="223"/>
  <c r="I24" i="223"/>
  <c r="G24" i="223"/>
  <c r="E24" i="223"/>
  <c r="U11" i="223"/>
  <c r="S11" i="223"/>
  <c r="Q11" i="223"/>
  <c r="O11" i="223"/>
  <c r="M11" i="223"/>
  <c r="K11" i="223"/>
  <c r="I11" i="223"/>
  <c r="G11" i="223"/>
  <c r="E11" i="223"/>
  <c r="D10" i="223"/>
  <c r="M35" i="223" l="1"/>
  <c r="Q35" i="223"/>
  <c r="U35" i="223"/>
  <c r="I35" i="223"/>
  <c r="S35" i="223"/>
  <c r="Q57" i="223"/>
  <c r="Q60" i="223" s="1"/>
  <c r="O35" i="223"/>
  <c r="O57" i="223"/>
  <c r="O60" i="223" s="1"/>
  <c r="M57" i="223"/>
  <c r="M60" i="223" s="1"/>
  <c r="K57" i="223"/>
  <c r="K60" i="223" s="1"/>
  <c r="K35" i="223"/>
  <c r="G35" i="223"/>
  <c r="E35" i="223"/>
  <c r="G9" i="222"/>
  <c r="O74" i="222"/>
  <c r="K74" i="222"/>
  <c r="S59" i="222"/>
  <c r="V57" i="222"/>
  <c r="Q55" i="222"/>
  <c r="M55" i="222"/>
  <c r="Q54" i="222"/>
  <c r="Q57" i="222" s="1"/>
  <c r="Q60" i="222" s="1"/>
  <c r="M54" i="222"/>
  <c r="O52" i="222"/>
  <c r="K52" i="222"/>
  <c r="O49" i="222"/>
  <c r="K49" i="222"/>
  <c r="U33" i="222"/>
  <c r="S33" i="222"/>
  <c r="Q33" i="222"/>
  <c r="O33" i="222"/>
  <c r="M33" i="222"/>
  <c r="K33" i="222"/>
  <c r="I33" i="222"/>
  <c r="G33" i="222"/>
  <c r="E33" i="222"/>
  <c r="U24" i="222"/>
  <c r="S24" i="222"/>
  <c r="Q24" i="222"/>
  <c r="O24" i="222"/>
  <c r="M24" i="222"/>
  <c r="K24" i="222"/>
  <c r="I24" i="222"/>
  <c r="G24" i="222"/>
  <c r="E24" i="222"/>
  <c r="U11" i="222"/>
  <c r="S11" i="222"/>
  <c r="Q11" i="222"/>
  <c r="O11" i="222"/>
  <c r="M11" i="222"/>
  <c r="K11" i="222"/>
  <c r="I11" i="222"/>
  <c r="E11" i="222"/>
  <c r="D10" i="222"/>
  <c r="G11" i="222"/>
  <c r="M35" i="222" l="1"/>
  <c r="Q35" i="222"/>
  <c r="U35" i="222"/>
  <c r="I35" i="222"/>
  <c r="O57" i="222"/>
  <c r="O60" i="222" s="1"/>
  <c r="K35" i="222"/>
  <c r="M57" i="222"/>
  <c r="M60" i="222" s="1"/>
  <c r="K57" i="222"/>
  <c r="K60" i="222" s="1"/>
  <c r="O35" i="222"/>
  <c r="S35" i="222"/>
  <c r="G35" i="222"/>
  <c r="E35" i="222"/>
  <c r="O74" i="221"/>
  <c r="K74" i="221"/>
  <c r="S59" i="221"/>
  <c r="V57" i="221"/>
  <c r="Q55" i="221"/>
  <c r="M55" i="221"/>
  <c r="Q54" i="221"/>
  <c r="Q57" i="221" s="1"/>
  <c r="Q60" i="221" s="1"/>
  <c r="M54" i="221"/>
  <c r="M57" i="221" s="1"/>
  <c r="M60" i="221" s="1"/>
  <c r="O52" i="221"/>
  <c r="K52" i="221"/>
  <c r="O49" i="221"/>
  <c r="O57" i="221" s="1"/>
  <c r="O60" i="221" s="1"/>
  <c r="K49" i="221"/>
  <c r="K57" i="221" s="1"/>
  <c r="K60" i="221" s="1"/>
  <c r="U33" i="221"/>
  <c r="S33" i="221"/>
  <c r="Q33" i="221"/>
  <c r="O33" i="221"/>
  <c r="M33" i="221"/>
  <c r="K33" i="221"/>
  <c r="I33" i="221"/>
  <c r="G33" i="221"/>
  <c r="E33" i="221"/>
  <c r="U24" i="221"/>
  <c r="S24" i="221"/>
  <c r="Q24" i="221"/>
  <c r="O24" i="221"/>
  <c r="M24" i="221"/>
  <c r="K24" i="221"/>
  <c r="I24" i="221"/>
  <c r="G24" i="221"/>
  <c r="E24" i="221"/>
  <c r="U11" i="221"/>
  <c r="S11" i="221"/>
  <c r="Q11" i="221"/>
  <c r="O11" i="221"/>
  <c r="M11" i="221"/>
  <c r="K11" i="221"/>
  <c r="I11" i="221"/>
  <c r="E11" i="221"/>
  <c r="D10" i="221"/>
  <c r="G9" i="221"/>
  <c r="G11" i="221" s="1"/>
  <c r="K35" i="221" l="1"/>
  <c r="G35" i="221"/>
  <c r="O35" i="221"/>
  <c r="S35" i="221"/>
  <c r="E35" i="221"/>
  <c r="M35" i="221"/>
  <c r="U35" i="221"/>
  <c r="I35" i="221"/>
  <c r="Q35" i="221"/>
  <c r="G9" i="220"/>
  <c r="U33" i="220"/>
  <c r="E9" i="220"/>
  <c r="E11" i="220" s="1"/>
  <c r="O74" i="220"/>
  <c r="K74" i="220"/>
  <c r="S59" i="220"/>
  <c r="V57" i="220"/>
  <c r="Q55" i="220"/>
  <c r="M55" i="220"/>
  <c r="Q54" i="220"/>
  <c r="M54" i="220"/>
  <c r="O52" i="220"/>
  <c r="K52" i="220"/>
  <c r="O49" i="220"/>
  <c r="K49" i="220"/>
  <c r="S33" i="220"/>
  <c r="Q33" i="220"/>
  <c r="O33" i="220"/>
  <c r="M33" i="220"/>
  <c r="K33" i="220"/>
  <c r="I33" i="220"/>
  <c r="G33" i="220"/>
  <c r="E33" i="220"/>
  <c r="U24" i="220"/>
  <c r="S24" i="220"/>
  <c r="Q24" i="220"/>
  <c r="O24" i="220"/>
  <c r="M24" i="220"/>
  <c r="K24" i="220"/>
  <c r="I24" i="220"/>
  <c r="G24" i="220"/>
  <c r="E24" i="220"/>
  <c r="U11" i="220"/>
  <c r="S11" i="220"/>
  <c r="Q11" i="220"/>
  <c r="O11" i="220"/>
  <c r="M11" i="220"/>
  <c r="K11" i="220"/>
  <c r="I11" i="220"/>
  <c r="D10" i="220"/>
  <c r="G11" i="220"/>
  <c r="O35" i="220" l="1"/>
  <c r="O57" i="220"/>
  <c r="O60" i="220" s="1"/>
  <c r="Q57" i="220"/>
  <c r="Q60" i="220" s="1"/>
  <c r="K35" i="220"/>
  <c r="M35" i="220"/>
  <c r="U35" i="220"/>
  <c r="Q35" i="220"/>
  <c r="S35" i="220"/>
  <c r="M57" i="220"/>
  <c r="M60" i="220" s="1"/>
  <c r="K57" i="220"/>
  <c r="K60" i="220" s="1"/>
  <c r="I35" i="220"/>
  <c r="G35" i="220"/>
  <c r="E35" i="220"/>
  <c r="G9" i="217" l="1"/>
  <c r="I33" i="217" l="1"/>
  <c r="O74" i="217" l="1"/>
  <c r="K74" i="217"/>
  <c r="S59" i="217"/>
  <c r="V57" i="217"/>
  <c r="Q55" i="217"/>
  <c r="M55" i="217"/>
  <c r="Q54" i="217"/>
  <c r="Q57" i="217" s="1"/>
  <c r="Q60" i="217" s="1"/>
  <c r="M54" i="217"/>
  <c r="M57" i="217" s="1"/>
  <c r="M60" i="217" s="1"/>
  <c r="O52" i="217"/>
  <c r="K52" i="217"/>
  <c r="O49" i="217"/>
  <c r="K49" i="217"/>
  <c r="U33" i="217"/>
  <c r="S33" i="217"/>
  <c r="Q33" i="217"/>
  <c r="O33" i="217"/>
  <c r="M33" i="217"/>
  <c r="K33" i="217"/>
  <c r="G33" i="217"/>
  <c r="E33" i="217"/>
  <c r="U24" i="217"/>
  <c r="S24" i="217"/>
  <c r="Q24" i="217"/>
  <c r="O24" i="217"/>
  <c r="M24" i="217"/>
  <c r="K24" i="217"/>
  <c r="I24" i="217"/>
  <c r="G24" i="217"/>
  <c r="E24" i="217"/>
  <c r="U11" i="217"/>
  <c r="S11" i="217"/>
  <c r="Q11" i="217"/>
  <c r="O11" i="217"/>
  <c r="M11" i="217"/>
  <c r="K11" i="217"/>
  <c r="I11" i="217"/>
  <c r="G11" i="217"/>
  <c r="E11" i="217"/>
  <c r="D10" i="217"/>
  <c r="O57" i="217" l="1"/>
  <c r="O60" i="217" s="1"/>
  <c r="Q35" i="217"/>
  <c r="M35" i="217"/>
  <c r="I35" i="217"/>
  <c r="E35" i="217"/>
  <c r="G35" i="217"/>
  <c r="K57" i="217"/>
  <c r="K60" i="217" s="1"/>
  <c r="U35" i="217"/>
  <c r="S35" i="217"/>
  <c r="O35" i="217"/>
  <c r="K35" i="217"/>
  <c r="N53" i="203"/>
  <c r="P35" i="203"/>
  <c r="N35" i="203"/>
  <c r="N56" i="203" s="1"/>
  <c r="L35" i="203"/>
  <c r="I35" i="203"/>
  <c r="G35" i="203"/>
  <c r="X33" i="203"/>
  <c r="T33" i="203"/>
  <c r="X32" i="203"/>
  <c r="T32" i="203"/>
  <c r="R32" i="203"/>
  <c r="V31" i="203"/>
  <c r="X29" i="203"/>
  <c r="V29" i="203"/>
  <c r="T29" i="203"/>
  <c r="R29" i="203"/>
  <c r="X25" i="203"/>
  <c r="V25" i="203"/>
  <c r="T25" i="203"/>
  <c r="R25" i="203"/>
  <c r="P25" i="203"/>
  <c r="N25" i="203"/>
  <c r="L25" i="203"/>
  <c r="I25" i="203"/>
  <c r="G25" i="203"/>
  <c r="X19" i="203"/>
  <c r="V19" i="203"/>
  <c r="T19" i="203"/>
  <c r="R19" i="203"/>
  <c r="P19" i="203"/>
  <c r="N19" i="203"/>
  <c r="L19" i="203"/>
  <c r="I19" i="203"/>
  <c r="G19" i="203"/>
  <c r="X11" i="203"/>
  <c r="T11" i="203"/>
  <c r="P11" i="203"/>
  <c r="N11" i="203"/>
  <c r="L11" i="203"/>
  <c r="I11" i="203"/>
  <c r="G11" i="203"/>
  <c r="V10" i="203"/>
  <c r="V11" i="203" s="1"/>
  <c r="R10" i="203"/>
  <c r="R11" i="203" s="1"/>
  <c r="E10" i="203"/>
  <c r="R75" i="214"/>
  <c r="N75" i="214"/>
  <c r="V60" i="214"/>
  <c r="Y58" i="214"/>
  <c r="P56" i="214"/>
  <c r="P55" i="214"/>
  <c r="P58" i="214" s="1"/>
  <c r="P61" i="214" s="1"/>
  <c r="N53" i="214"/>
  <c r="R50" i="214"/>
  <c r="N50" i="214"/>
  <c r="X33" i="214"/>
  <c r="V33" i="214"/>
  <c r="P33" i="214"/>
  <c r="N33" i="214"/>
  <c r="L33" i="214"/>
  <c r="L35" i="214" s="1"/>
  <c r="I33" i="214"/>
  <c r="G33" i="214"/>
  <c r="T31" i="214"/>
  <c r="T56" i="214" s="1"/>
  <c r="T29" i="214"/>
  <c r="R29" i="214"/>
  <c r="T28" i="214"/>
  <c r="R28" i="214"/>
  <c r="X24" i="214"/>
  <c r="V24" i="214"/>
  <c r="T24" i="214"/>
  <c r="R24" i="214"/>
  <c r="P24" i="214"/>
  <c r="N24" i="214"/>
  <c r="L24" i="214"/>
  <c r="I24" i="214"/>
  <c r="G24" i="214"/>
  <c r="X11" i="214"/>
  <c r="V11" i="214"/>
  <c r="T11" i="214"/>
  <c r="R11" i="214"/>
  <c r="P11" i="214"/>
  <c r="N11" i="214"/>
  <c r="L11" i="214"/>
  <c r="I11" i="214"/>
  <c r="G11" i="214"/>
  <c r="E10" i="214"/>
  <c r="R75" i="215"/>
  <c r="N75" i="215"/>
  <c r="V60" i="215"/>
  <c r="Y58" i="215"/>
  <c r="T56" i="215"/>
  <c r="P56" i="215"/>
  <c r="T55" i="215"/>
  <c r="P55" i="215"/>
  <c r="P58" i="215" s="1"/>
  <c r="P61" i="215" s="1"/>
  <c r="R53" i="215"/>
  <c r="N53" i="215"/>
  <c r="R50" i="215"/>
  <c r="N50" i="215"/>
  <c r="X33" i="215"/>
  <c r="V33" i="215"/>
  <c r="T33" i="215"/>
  <c r="R33" i="215"/>
  <c r="P33" i="215"/>
  <c r="N33" i="215"/>
  <c r="L33" i="215"/>
  <c r="I33" i="215"/>
  <c r="G33" i="215"/>
  <c r="X24" i="215"/>
  <c r="V24" i="215"/>
  <c r="T24" i="215"/>
  <c r="R24" i="215"/>
  <c r="P24" i="215"/>
  <c r="N24" i="215"/>
  <c r="L24" i="215"/>
  <c r="I24" i="215"/>
  <c r="G24" i="215"/>
  <c r="X11" i="215"/>
  <c r="V11" i="215"/>
  <c r="T11" i="215"/>
  <c r="R11" i="215"/>
  <c r="P11" i="215"/>
  <c r="N11" i="215"/>
  <c r="L11" i="215"/>
  <c r="I11" i="215"/>
  <c r="G11" i="215"/>
  <c r="E10" i="215"/>
  <c r="O74" i="216"/>
  <c r="K74" i="216"/>
  <c r="S59" i="216"/>
  <c r="V57" i="216"/>
  <c r="Q55" i="216"/>
  <c r="M55" i="216"/>
  <c r="Q54" i="216"/>
  <c r="M54" i="216"/>
  <c r="O52" i="216"/>
  <c r="K52" i="216"/>
  <c r="O49" i="216"/>
  <c r="K49" i="216"/>
  <c r="U33" i="216"/>
  <c r="S33" i="216"/>
  <c r="Q33" i="216"/>
  <c r="O33" i="216"/>
  <c r="M33" i="216"/>
  <c r="K33" i="216"/>
  <c r="I33" i="216"/>
  <c r="G33" i="216"/>
  <c r="E33" i="216"/>
  <c r="U24" i="216"/>
  <c r="S24" i="216"/>
  <c r="Q24" i="216"/>
  <c r="O24" i="216"/>
  <c r="M24" i="216"/>
  <c r="K24" i="216"/>
  <c r="I24" i="216"/>
  <c r="G24" i="216"/>
  <c r="E24" i="216"/>
  <c r="U11" i="216"/>
  <c r="S11" i="216"/>
  <c r="Q11" i="216"/>
  <c r="O11" i="216"/>
  <c r="M11" i="216"/>
  <c r="K11" i="216"/>
  <c r="I11" i="216"/>
  <c r="E11" i="216"/>
  <c r="D10" i="216"/>
  <c r="G9" i="216"/>
  <c r="G11" i="216" s="1"/>
  <c r="R75" i="213"/>
  <c r="N75" i="213"/>
  <c r="V60" i="213"/>
  <c r="Y58" i="213"/>
  <c r="P56" i="213"/>
  <c r="P55" i="213"/>
  <c r="P58" i="213" s="1"/>
  <c r="P61" i="213" s="1"/>
  <c r="N53" i="213"/>
  <c r="R50" i="213"/>
  <c r="N50" i="213"/>
  <c r="P33" i="213"/>
  <c r="N33" i="213"/>
  <c r="L33" i="213"/>
  <c r="I33" i="213"/>
  <c r="G33" i="213"/>
  <c r="X31" i="213"/>
  <c r="V31" i="213"/>
  <c r="X30" i="213"/>
  <c r="T29" i="213"/>
  <c r="X28" i="213"/>
  <c r="V28" i="213"/>
  <c r="V33" i="213" s="1"/>
  <c r="X24" i="213"/>
  <c r="V24" i="213"/>
  <c r="T24" i="213"/>
  <c r="R24" i="213"/>
  <c r="P24" i="213"/>
  <c r="N24" i="213"/>
  <c r="L24" i="213"/>
  <c r="I24" i="213"/>
  <c r="G24" i="213"/>
  <c r="X11" i="213"/>
  <c r="T11" i="213"/>
  <c r="R11" i="213"/>
  <c r="P11" i="213"/>
  <c r="N11" i="213"/>
  <c r="L11" i="213"/>
  <c r="I11" i="213"/>
  <c r="G11" i="213"/>
  <c r="V10" i="213"/>
  <c r="V11" i="213" s="1"/>
  <c r="E10" i="213"/>
  <c r="R75" i="212"/>
  <c r="N75" i="212"/>
  <c r="V60" i="212"/>
  <c r="Y58" i="212"/>
  <c r="P58" i="212"/>
  <c r="P61" i="212" s="1"/>
  <c r="P56" i="212"/>
  <c r="P55" i="212"/>
  <c r="N53" i="212"/>
  <c r="R50" i="212"/>
  <c r="N50" i="212"/>
  <c r="X33" i="212"/>
  <c r="V33" i="212"/>
  <c r="P33" i="212"/>
  <c r="N33" i="212"/>
  <c r="L33" i="212"/>
  <c r="I33" i="212"/>
  <c r="I35" i="212" s="1"/>
  <c r="G33" i="212"/>
  <c r="T31" i="212"/>
  <c r="T31" i="213" s="1"/>
  <c r="T56" i="213" s="1"/>
  <c r="T29" i="212"/>
  <c r="R29" i="212"/>
  <c r="R29" i="213" s="1"/>
  <c r="T28" i="212"/>
  <c r="T28" i="213" s="1"/>
  <c r="T55" i="213" s="1"/>
  <c r="R28" i="212"/>
  <c r="X24" i="212"/>
  <c r="V24" i="212"/>
  <c r="T24" i="212"/>
  <c r="R24" i="212"/>
  <c r="P24" i="212"/>
  <c r="N24" i="212"/>
  <c r="L24" i="212"/>
  <c r="I24" i="212"/>
  <c r="G24" i="212"/>
  <c r="X11" i="212"/>
  <c r="V11" i="212"/>
  <c r="T11" i="212"/>
  <c r="R11" i="212"/>
  <c r="P11" i="212"/>
  <c r="N11" i="212"/>
  <c r="L11" i="212"/>
  <c r="I11" i="212"/>
  <c r="G11" i="212"/>
  <c r="G35" i="212" s="1"/>
  <c r="E10" i="212"/>
  <c r="R75" i="211"/>
  <c r="N75" i="211"/>
  <c r="V60" i="211"/>
  <c r="Y58" i="211"/>
  <c r="P56" i="211"/>
  <c r="P55" i="211"/>
  <c r="N53" i="211"/>
  <c r="R50" i="211"/>
  <c r="N50" i="211"/>
  <c r="X33" i="211"/>
  <c r="V33" i="211"/>
  <c r="P33" i="211"/>
  <c r="N33" i="211"/>
  <c r="L33" i="211"/>
  <c r="I33" i="211"/>
  <c r="G33" i="211"/>
  <c r="T31" i="211"/>
  <c r="T56" i="211" s="1"/>
  <c r="T29" i="211"/>
  <c r="R29" i="211"/>
  <c r="T28" i="211"/>
  <c r="R28" i="211"/>
  <c r="X24" i="211"/>
  <c r="V24" i="211"/>
  <c r="T24" i="211"/>
  <c r="R24" i="211"/>
  <c r="P24" i="211"/>
  <c r="N24" i="211"/>
  <c r="L24" i="211"/>
  <c r="I24" i="211"/>
  <c r="G24" i="211"/>
  <c r="X11" i="211"/>
  <c r="X35" i="211" s="1"/>
  <c r="V11" i="211"/>
  <c r="T11" i="211"/>
  <c r="R11" i="211"/>
  <c r="P11" i="211"/>
  <c r="N11" i="211"/>
  <c r="L11" i="211"/>
  <c r="I11" i="211"/>
  <c r="G11" i="211"/>
  <c r="E10" i="211"/>
  <c r="R75" i="210"/>
  <c r="N75" i="210"/>
  <c r="V60" i="210"/>
  <c r="Y58" i="210"/>
  <c r="T58" i="210"/>
  <c r="T61" i="210" s="1"/>
  <c r="T56" i="210"/>
  <c r="P56" i="210"/>
  <c r="T55" i="210"/>
  <c r="P55" i="210"/>
  <c r="R53" i="210"/>
  <c r="N53" i="210"/>
  <c r="R50" i="210"/>
  <c r="R58" i="210" s="1"/>
  <c r="R61" i="210" s="1"/>
  <c r="N50" i="210"/>
  <c r="X33" i="210"/>
  <c r="V33" i="210"/>
  <c r="T33" i="210"/>
  <c r="R33" i="210"/>
  <c r="P33" i="210"/>
  <c r="N33" i="210"/>
  <c r="L33" i="210"/>
  <c r="I33" i="210"/>
  <c r="G33" i="210"/>
  <c r="X24" i="210"/>
  <c r="V24" i="210"/>
  <c r="T24" i="210"/>
  <c r="R24" i="210"/>
  <c r="P24" i="210"/>
  <c r="N24" i="210"/>
  <c r="L24" i="210"/>
  <c r="I24" i="210"/>
  <c r="G24" i="210"/>
  <c r="X11" i="210"/>
  <c r="V11" i="210"/>
  <c r="T11" i="210"/>
  <c r="R11" i="210"/>
  <c r="P11" i="210"/>
  <c r="N11" i="210"/>
  <c r="L11" i="210"/>
  <c r="I11" i="210"/>
  <c r="G11" i="210"/>
  <c r="E10" i="210"/>
  <c r="R75" i="209"/>
  <c r="N75" i="209"/>
  <c r="Y61" i="209"/>
  <c r="V60" i="209"/>
  <c r="N50" i="209"/>
  <c r="L33" i="209"/>
  <c r="I33" i="209"/>
  <c r="G33" i="209"/>
  <c r="X31" i="209"/>
  <c r="T31" i="209"/>
  <c r="X30" i="209"/>
  <c r="X33" i="209" s="1"/>
  <c r="T30" i="209"/>
  <c r="R30" i="209"/>
  <c r="P30" i="209"/>
  <c r="N30" i="209"/>
  <c r="N33" i="209" s="1"/>
  <c r="N53" i="209" s="1"/>
  <c r="V29" i="209"/>
  <c r="X28" i="209"/>
  <c r="V28" i="209"/>
  <c r="T28" i="209"/>
  <c r="R28" i="209"/>
  <c r="P28" i="209"/>
  <c r="P33" i="209" s="1"/>
  <c r="X24" i="209"/>
  <c r="V24" i="209"/>
  <c r="T24" i="209"/>
  <c r="R24" i="209"/>
  <c r="P24" i="209"/>
  <c r="N24" i="209"/>
  <c r="L24" i="209"/>
  <c r="I24" i="209"/>
  <c r="G24" i="209"/>
  <c r="X11" i="209"/>
  <c r="T11" i="209"/>
  <c r="P11" i="209"/>
  <c r="N11" i="209"/>
  <c r="L11" i="209"/>
  <c r="I11" i="209"/>
  <c r="G11" i="209"/>
  <c r="G35" i="209" s="1"/>
  <c r="V10" i="209"/>
  <c r="V11" i="209" s="1"/>
  <c r="R10" i="209"/>
  <c r="E10" i="209"/>
  <c r="R63" i="196"/>
  <c r="N63" i="196"/>
  <c r="T61" i="196"/>
  <c r="R61" i="196"/>
  <c r="N61" i="196"/>
  <c r="T59" i="196"/>
  <c r="P35" i="196"/>
  <c r="N35" i="196"/>
  <c r="L35" i="196"/>
  <c r="I35" i="196"/>
  <c r="G35" i="196"/>
  <c r="T33" i="196"/>
  <c r="T49" i="196" s="1"/>
  <c r="X32" i="196"/>
  <c r="T32" i="196"/>
  <c r="V31" i="196"/>
  <c r="R31" i="196"/>
  <c r="X29" i="196"/>
  <c r="X35" i="196" s="1"/>
  <c r="V29" i="196"/>
  <c r="T29" i="196"/>
  <c r="R29" i="196"/>
  <c r="R35" i="196" s="1"/>
  <c r="X25" i="196"/>
  <c r="V25" i="196"/>
  <c r="T25" i="196"/>
  <c r="R25" i="196"/>
  <c r="P25" i="196"/>
  <c r="N25" i="196"/>
  <c r="L25" i="196"/>
  <c r="I25" i="196"/>
  <c r="G25" i="196"/>
  <c r="X19" i="196"/>
  <c r="V19" i="196"/>
  <c r="T19" i="196"/>
  <c r="R19" i="196"/>
  <c r="P19" i="196"/>
  <c r="N19" i="196"/>
  <c r="L19" i="196"/>
  <c r="I19" i="196"/>
  <c r="G19" i="196"/>
  <c r="X11" i="196"/>
  <c r="T11" i="196"/>
  <c r="P11" i="196"/>
  <c r="N11" i="196"/>
  <c r="L11" i="196"/>
  <c r="I11" i="196"/>
  <c r="G11" i="196"/>
  <c r="V10" i="196"/>
  <c r="V11" i="196" s="1"/>
  <c r="R10" i="196"/>
  <c r="R11" i="196" s="1"/>
  <c r="E10" i="196"/>
  <c r="Y61" i="208"/>
  <c r="V60" i="208"/>
  <c r="N50" i="208"/>
  <c r="P33" i="208"/>
  <c r="P35" i="208" s="1"/>
  <c r="P55" i="208" s="1"/>
  <c r="P58" i="208" s="1"/>
  <c r="P61" i="208" s="1"/>
  <c r="N33" i="208"/>
  <c r="L33" i="208"/>
  <c r="I33" i="208"/>
  <c r="G33" i="208"/>
  <c r="X31" i="208"/>
  <c r="T31" i="208"/>
  <c r="X30" i="208"/>
  <c r="T30" i="208"/>
  <c r="R30" i="208"/>
  <c r="V29" i="208"/>
  <c r="X28" i="208"/>
  <c r="V28" i="208"/>
  <c r="V33" i="208" s="1"/>
  <c r="T28" i="208"/>
  <c r="T33" i="208" s="1"/>
  <c r="R28" i="208"/>
  <c r="X24" i="208"/>
  <c r="V24" i="208"/>
  <c r="T24" i="208"/>
  <c r="R24" i="208"/>
  <c r="P24" i="208"/>
  <c r="N24" i="208"/>
  <c r="L24" i="208"/>
  <c r="I24" i="208"/>
  <c r="G24" i="208"/>
  <c r="X11" i="208"/>
  <c r="T11" i="208"/>
  <c r="P11" i="208"/>
  <c r="N11" i="208"/>
  <c r="L11" i="208"/>
  <c r="I11" i="208"/>
  <c r="G11" i="208"/>
  <c r="V10" i="208"/>
  <c r="V11" i="208" s="1"/>
  <c r="R10" i="208"/>
  <c r="R11" i="208" s="1"/>
  <c r="E10" i="208"/>
  <c r="N53" i="207"/>
  <c r="P35" i="207"/>
  <c r="N35" i="207"/>
  <c r="N56" i="207" s="1"/>
  <c r="L35" i="207"/>
  <c r="I35" i="207"/>
  <c r="G35" i="207"/>
  <c r="X33" i="207"/>
  <c r="T33" i="207"/>
  <c r="X32" i="207"/>
  <c r="T32" i="207"/>
  <c r="R32" i="207"/>
  <c r="V31" i="207"/>
  <c r="X29" i="207"/>
  <c r="X35" i="207" s="1"/>
  <c r="V29" i="207"/>
  <c r="T29" i="207"/>
  <c r="R29" i="207"/>
  <c r="X25" i="207"/>
  <c r="V25" i="207"/>
  <c r="T25" i="207"/>
  <c r="R25" i="207"/>
  <c r="P25" i="207"/>
  <c r="N25" i="207"/>
  <c r="L25" i="207"/>
  <c r="I25" i="207"/>
  <c r="G25" i="207"/>
  <c r="X19" i="207"/>
  <c r="V19" i="207"/>
  <c r="T19" i="207"/>
  <c r="R19" i="207"/>
  <c r="P19" i="207"/>
  <c r="N19" i="207"/>
  <c r="L19" i="207"/>
  <c r="I19" i="207"/>
  <c r="G19" i="207"/>
  <c r="X11" i="207"/>
  <c r="T11" i="207"/>
  <c r="P11" i="207"/>
  <c r="N11" i="207"/>
  <c r="L11" i="207"/>
  <c r="I11" i="207"/>
  <c r="G11" i="207"/>
  <c r="V10" i="207"/>
  <c r="V11" i="207" s="1"/>
  <c r="R10" i="207"/>
  <c r="R53" i="207" s="1"/>
  <c r="E10" i="207"/>
  <c r="N53" i="206"/>
  <c r="P35" i="206"/>
  <c r="N35" i="206"/>
  <c r="N56" i="206" s="1"/>
  <c r="L35" i="206"/>
  <c r="I35" i="206"/>
  <c r="G35" i="206"/>
  <c r="X33" i="206"/>
  <c r="T33" i="206"/>
  <c r="X32" i="206"/>
  <c r="T32" i="206"/>
  <c r="R32" i="206"/>
  <c r="V31" i="206"/>
  <c r="X29" i="206"/>
  <c r="X35" i="206" s="1"/>
  <c r="V29" i="206"/>
  <c r="V35" i="206" s="1"/>
  <c r="T29" i="206"/>
  <c r="R29" i="206"/>
  <c r="X25" i="206"/>
  <c r="V25" i="206"/>
  <c r="T25" i="206"/>
  <c r="R25" i="206"/>
  <c r="P25" i="206"/>
  <c r="N25" i="206"/>
  <c r="L25" i="206"/>
  <c r="I25" i="206"/>
  <c r="G25" i="206"/>
  <c r="X19" i="206"/>
  <c r="V19" i="206"/>
  <c r="T19" i="206"/>
  <c r="R19" i="206"/>
  <c r="P19" i="206"/>
  <c r="N19" i="206"/>
  <c r="L19" i="206"/>
  <c r="I19" i="206"/>
  <c r="G19" i="206"/>
  <c r="X11" i="206"/>
  <c r="T11" i="206"/>
  <c r="R11" i="206"/>
  <c r="P11" i="206"/>
  <c r="N11" i="206"/>
  <c r="L11" i="206"/>
  <c r="I11" i="206"/>
  <c r="G11" i="206"/>
  <c r="V10" i="206"/>
  <c r="V11" i="206" s="1"/>
  <c r="R10" i="206"/>
  <c r="R53" i="206" s="1"/>
  <c r="E10" i="206"/>
  <c r="N53" i="205"/>
  <c r="P35" i="205"/>
  <c r="N35" i="205"/>
  <c r="N56" i="205" s="1"/>
  <c r="L35" i="205"/>
  <c r="I35" i="205"/>
  <c r="G35" i="205"/>
  <c r="X33" i="205"/>
  <c r="T33" i="205"/>
  <c r="X32" i="205"/>
  <c r="T32" i="205"/>
  <c r="R32" i="205"/>
  <c r="V31" i="205"/>
  <c r="X29" i="205"/>
  <c r="V29" i="205"/>
  <c r="T29" i="205"/>
  <c r="R29" i="205"/>
  <c r="X25" i="205"/>
  <c r="V25" i="205"/>
  <c r="T25" i="205"/>
  <c r="R25" i="205"/>
  <c r="P25" i="205"/>
  <c r="N25" i="205"/>
  <c r="L25" i="205"/>
  <c r="I25" i="205"/>
  <c r="G25" i="205"/>
  <c r="X19" i="205"/>
  <c r="V19" i="205"/>
  <c r="T19" i="205"/>
  <c r="R19" i="205"/>
  <c r="P19" i="205"/>
  <c r="N19" i="205"/>
  <c r="L19" i="205"/>
  <c r="I19" i="205"/>
  <c r="G19" i="205"/>
  <c r="X11" i="205"/>
  <c r="T11" i="205"/>
  <c r="P11" i="205"/>
  <c r="N11" i="205"/>
  <c r="L11" i="205"/>
  <c r="I11" i="205"/>
  <c r="G11" i="205"/>
  <c r="V10" i="205"/>
  <c r="V11" i="205" s="1"/>
  <c r="R10" i="205"/>
  <c r="R53" i="205" s="1"/>
  <c r="E10" i="205"/>
  <c r="N53" i="204"/>
  <c r="P35" i="204"/>
  <c r="N35" i="204"/>
  <c r="N56" i="204" s="1"/>
  <c r="L35" i="204"/>
  <c r="I35" i="204"/>
  <c r="G35" i="204"/>
  <c r="X33" i="204"/>
  <c r="T33" i="204"/>
  <c r="X32" i="204"/>
  <c r="T32" i="204"/>
  <c r="R32" i="204"/>
  <c r="V31" i="204"/>
  <c r="X29" i="204"/>
  <c r="V29" i="204"/>
  <c r="T29" i="204"/>
  <c r="R29" i="204"/>
  <c r="X25" i="204"/>
  <c r="V25" i="204"/>
  <c r="T25" i="204"/>
  <c r="R25" i="204"/>
  <c r="P25" i="204"/>
  <c r="N25" i="204"/>
  <c r="L25" i="204"/>
  <c r="I25" i="204"/>
  <c r="G25" i="204"/>
  <c r="X19" i="204"/>
  <c r="V19" i="204"/>
  <c r="T19" i="204"/>
  <c r="R19" i="204"/>
  <c r="P19" i="204"/>
  <c r="N19" i="204"/>
  <c r="L19" i="204"/>
  <c r="I19" i="204"/>
  <c r="G19" i="204"/>
  <c r="X11" i="204"/>
  <c r="T11" i="204"/>
  <c r="P11" i="204"/>
  <c r="N11" i="204"/>
  <c r="L11" i="204"/>
  <c r="I11" i="204"/>
  <c r="G11" i="204"/>
  <c r="V10" i="204"/>
  <c r="V11" i="204" s="1"/>
  <c r="R10" i="204"/>
  <c r="R53" i="204" s="1"/>
  <c r="E10" i="204"/>
  <c r="N53" i="202"/>
  <c r="P37" i="202"/>
  <c r="P58" i="202" s="1"/>
  <c r="P61" i="202" s="1"/>
  <c r="P64" i="202" s="1"/>
  <c r="P35" i="202"/>
  <c r="N35" i="202"/>
  <c r="N56" i="202" s="1"/>
  <c r="L35" i="202"/>
  <c r="I35" i="202"/>
  <c r="G35" i="202"/>
  <c r="X33" i="202"/>
  <c r="T33" i="202"/>
  <c r="X32" i="202"/>
  <c r="T32" i="202"/>
  <c r="R32" i="202"/>
  <c r="V31" i="202"/>
  <c r="X29" i="202"/>
  <c r="V29" i="202"/>
  <c r="T29" i="202"/>
  <c r="R29" i="202"/>
  <c r="R35" i="202" s="1"/>
  <c r="X25" i="202"/>
  <c r="V25" i="202"/>
  <c r="T25" i="202"/>
  <c r="R25" i="202"/>
  <c r="P25" i="202"/>
  <c r="N25" i="202"/>
  <c r="L25" i="202"/>
  <c r="I25" i="202"/>
  <c r="G25" i="202"/>
  <c r="X19" i="202"/>
  <c r="V19" i="202"/>
  <c r="T19" i="202"/>
  <c r="R19" i="202"/>
  <c r="P19" i="202"/>
  <c r="N19" i="202"/>
  <c r="L19" i="202"/>
  <c r="I19" i="202"/>
  <c r="G19" i="202"/>
  <c r="X11" i="202"/>
  <c r="T11" i="202"/>
  <c r="P11" i="202"/>
  <c r="N11" i="202"/>
  <c r="N37" i="202" s="1"/>
  <c r="L11" i="202"/>
  <c r="I11" i="202"/>
  <c r="G11" i="202"/>
  <c r="V10" i="202"/>
  <c r="V11" i="202" s="1"/>
  <c r="R10" i="202"/>
  <c r="R53" i="202" s="1"/>
  <c r="E10" i="202"/>
  <c r="N53" i="200"/>
  <c r="P35" i="200"/>
  <c r="N35" i="200"/>
  <c r="N56" i="200" s="1"/>
  <c r="L35" i="200"/>
  <c r="I35" i="200"/>
  <c r="G35" i="200"/>
  <c r="X33" i="200"/>
  <c r="T33" i="200"/>
  <c r="X32" i="200"/>
  <c r="T32" i="200"/>
  <c r="R32" i="200"/>
  <c r="V31" i="200"/>
  <c r="X29" i="200"/>
  <c r="V29" i="200"/>
  <c r="V35" i="200" s="1"/>
  <c r="T29" i="200"/>
  <c r="R29" i="200"/>
  <c r="X25" i="200"/>
  <c r="V25" i="200"/>
  <c r="T25" i="200"/>
  <c r="R25" i="200"/>
  <c r="P25" i="200"/>
  <c r="N25" i="200"/>
  <c r="L25" i="200"/>
  <c r="I25" i="200"/>
  <c r="G25" i="200"/>
  <c r="X19" i="200"/>
  <c r="V19" i="200"/>
  <c r="T19" i="200"/>
  <c r="R19" i="200"/>
  <c r="P19" i="200"/>
  <c r="N19" i="200"/>
  <c r="L19" i="200"/>
  <c r="I19" i="200"/>
  <c r="G19" i="200"/>
  <c r="X11" i="200"/>
  <c r="T11" i="200"/>
  <c r="P11" i="200"/>
  <c r="N11" i="200"/>
  <c r="L11" i="200"/>
  <c r="I11" i="200"/>
  <c r="G11" i="200"/>
  <c r="V10" i="200"/>
  <c r="V11" i="200" s="1"/>
  <c r="R10" i="200"/>
  <c r="R11" i="200" s="1"/>
  <c r="E10" i="200"/>
  <c r="N53" i="201"/>
  <c r="P35" i="201"/>
  <c r="N35" i="201"/>
  <c r="N56" i="201" s="1"/>
  <c r="L35" i="201"/>
  <c r="I35" i="201"/>
  <c r="G35" i="201"/>
  <c r="X33" i="201"/>
  <c r="T33" i="201"/>
  <c r="X32" i="201"/>
  <c r="T32" i="201"/>
  <c r="R32" i="201"/>
  <c r="V31" i="201"/>
  <c r="X29" i="201"/>
  <c r="V29" i="201"/>
  <c r="V35" i="201" s="1"/>
  <c r="T29" i="201"/>
  <c r="R29" i="201"/>
  <c r="X25" i="201"/>
  <c r="V25" i="201"/>
  <c r="T25" i="201"/>
  <c r="R25" i="201"/>
  <c r="P25" i="201"/>
  <c r="N25" i="201"/>
  <c r="L25" i="201"/>
  <c r="I25" i="201"/>
  <c r="G25" i="201"/>
  <c r="X19" i="201"/>
  <c r="V19" i="201"/>
  <c r="T19" i="201"/>
  <c r="R19" i="201"/>
  <c r="P19" i="201"/>
  <c r="N19" i="201"/>
  <c r="L19" i="201"/>
  <c r="I19" i="201"/>
  <c r="G19" i="201"/>
  <c r="X11" i="201"/>
  <c r="T11" i="201"/>
  <c r="P11" i="201"/>
  <c r="N11" i="201"/>
  <c r="L11" i="201"/>
  <c r="I11" i="201"/>
  <c r="G11" i="201"/>
  <c r="V10" i="201"/>
  <c r="V11" i="201" s="1"/>
  <c r="R10" i="201"/>
  <c r="R11" i="201" s="1"/>
  <c r="E10" i="201"/>
  <c r="N53" i="199"/>
  <c r="P35" i="199"/>
  <c r="N35" i="199"/>
  <c r="N56" i="199" s="1"/>
  <c r="L35" i="199"/>
  <c r="I35" i="199"/>
  <c r="I37" i="199" s="1"/>
  <c r="G35" i="199"/>
  <c r="X33" i="199"/>
  <c r="T33" i="199"/>
  <c r="X32" i="199"/>
  <c r="T32" i="199"/>
  <c r="R32" i="199"/>
  <c r="V31" i="199"/>
  <c r="X29" i="199"/>
  <c r="V29" i="199"/>
  <c r="T29" i="199"/>
  <c r="R29" i="199"/>
  <c r="X25" i="199"/>
  <c r="V25" i="199"/>
  <c r="T25" i="199"/>
  <c r="R25" i="199"/>
  <c r="P25" i="199"/>
  <c r="N25" i="199"/>
  <c r="L25" i="199"/>
  <c r="I25" i="199"/>
  <c r="G25" i="199"/>
  <c r="X19" i="199"/>
  <c r="V19" i="199"/>
  <c r="T19" i="199"/>
  <c r="R19" i="199"/>
  <c r="P19" i="199"/>
  <c r="N19" i="199"/>
  <c r="L19" i="199"/>
  <c r="I19" i="199"/>
  <c r="G19" i="199"/>
  <c r="X11" i="199"/>
  <c r="T11" i="199"/>
  <c r="P11" i="199"/>
  <c r="N11" i="199"/>
  <c r="L11" i="199"/>
  <c r="I11" i="199"/>
  <c r="G11" i="199"/>
  <c r="V10" i="199"/>
  <c r="V11" i="199" s="1"/>
  <c r="R10" i="199"/>
  <c r="R11" i="199" s="1"/>
  <c r="E10" i="199"/>
  <c r="N53" i="198"/>
  <c r="P35" i="198"/>
  <c r="N35" i="198"/>
  <c r="N56" i="198" s="1"/>
  <c r="L35" i="198"/>
  <c r="I35" i="198"/>
  <c r="G35" i="198"/>
  <c r="X33" i="198"/>
  <c r="T33" i="198"/>
  <c r="X32" i="198"/>
  <c r="T32" i="198"/>
  <c r="R32" i="198"/>
  <c r="V31" i="198"/>
  <c r="X29" i="198"/>
  <c r="X35" i="198" s="1"/>
  <c r="X37" i="198" s="1"/>
  <c r="V29" i="198"/>
  <c r="V35" i="198" s="1"/>
  <c r="T29" i="198"/>
  <c r="R29" i="198"/>
  <c r="R35" i="198" s="1"/>
  <c r="R56" i="198" s="1"/>
  <c r="X25" i="198"/>
  <c r="V25" i="198"/>
  <c r="T25" i="198"/>
  <c r="R25" i="198"/>
  <c r="P25" i="198"/>
  <c r="N25" i="198"/>
  <c r="L25" i="198"/>
  <c r="I25" i="198"/>
  <c r="G25" i="198"/>
  <c r="X19" i="198"/>
  <c r="V19" i="198"/>
  <c r="T19" i="198"/>
  <c r="R19" i="198"/>
  <c r="P19" i="198"/>
  <c r="N19" i="198"/>
  <c r="L19" i="198"/>
  <c r="I19" i="198"/>
  <c r="G19" i="198"/>
  <c r="X11" i="198"/>
  <c r="T11" i="198"/>
  <c r="P11" i="198"/>
  <c r="N11" i="198"/>
  <c r="L11" i="198"/>
  <c r="I11" i="198"/>
  <c r="G11" i="198"/>
  <c r="V10" i="198"/>
  <c r="V11" i="198" s="1"/>
  <c r="R10" i="198"/>
  <c r="E10" i="198"/>
  <c r="R53" i="197"/>
  <c r="N53" i="197"/>
  <c r="X35" i="197"/>
  <c r="V35" i="197"/>
  <c r="T35" i="197"/>
  <c r="R35" i="197"/>
  <c r="P35" i="197"/>
  <c r="N35" i="197"/>
  <c r="N56" i="197" s="1"/>
  <c r="N61" i="197" s="1"/>
  <c r="N64" i="197" s="1"/>
  <c r="L35" i="197"/>
  <c r="I35" i="197"/>
  <c r="G35" i="197"/>
  <c r="X25" i="197"/>
  <c r="V25" i="197"/>
  <c r="T25" i="197"/>
  <c r="R25" i="197"/>
  <c r="P25" i="197"/>
  <c r="N25" i="197"/>
  <c r="L25" i="197"/>
  <c r="I25" i="197"/>
  <c r="G25" i="197"/>
  <c r="X19" i="197"/>
  <c r="V19" i="197"/>
  <c r="T19" i="197"/>
  <c r="R19" i="197"/>
  <c r="P19" i="197"/>
  <c r="N19" i="197"/>
  <c r="L19" i="197"/>
  <c r="I19" i="197"/>
  <c r="G19" i="197"/>
  <c r="X11" i="197"/>
  <c r="V11" i="197"/>
  <c r="T11" i="197"/>
  <c r="R11" i="197"/>
  <c r="P11" i="197"/>
  <c r="N11" i="197"/>
  <c r="L11" i="197"/>
  <c r="I11" i="197"/>
  <c r="G11" i="197"/>
  <c r="E10" i="197"/>
  <c r="Y73" i="195"/>
  <c r="T73" i="195"/>
  <c r="R73" i="195"/>
  <c r="P60" i="195"/>
  <c r="P58" i="195"/>
  <c r="N58" i="195"/>
  <c r="R58" i="195" s="1"/>
  <c r="P35" i="195"/>
  <c r="N35" i="195"/>
  <c r="L35" i="195"/>
  <c r="I35" i="195"/>
  <c r="G35" i="195"/>
  <c r="T33" i="195"/>
  <c r="X32" i="195"/>
  <c r="T32" i="195"/>
  <c r="V31" i="195"/>
  <c r="R31" i="195"/>
  <c r="X29" i="195"/>
  <c r="X35" i="195" s="1"/>
  <c r="V29" i="195"/>
  <c r="V35" i="195" s="1"/>
  <c r="T29" i="195"/>
  <c r="R29" i="195"/>
  <c r="R35" i="195" s="1"/>
  <c r="X25" i="195"/>
  <c r="V25" i="195"/>
  <c r="T25" i="195"/>
  <c r="R25" i="195"/>
  <c r="P25" i="195"/>
  <c r="N25" i="195"/>
  <c r="L25" i="195"/>
  <c r="I25" i="195"/>
  <c r="G25" i="195"/>
  <c r="X19" i="195"/>
  <c r="V19" i="195"/>
  <c r="T19" i="195"/>
  <c r="R19" i="195"/>
  <c r="P19" i="195"/>
  <c r="N19" i="195"/>
  <c r="L19" i="195"/>
  <c r="I19" i="195"/>
  <c r="G19" i="195"/>
  <c r="X11" i="195"/>
  <c r="T11" i="195"/>
  <c r="P11" i="195"/>
  <c r="N11" i="195"/>
  <c r="L11" i="195"/>
  <c r="I11" i="195"/>
  <c r="G11" i="195"/>
  <c r="V10" i="195"/>
  <c r="V11" i="195" s="1"/>
  <c r="R10" i="195"/>
  <c r="R11" i="195" s="1"/>
  <c r="E10" i="195"/>
  <c r="Y73" i="194"/>
  <c r="T73" i="194"/>
  <c r="R73" i="194"/>
  <c r="P58" i="194"/>
  <c r="N58" i="194"/>
  <c r="P35" i="194"/>
  <c r="N35" i="194"/>
  <c r="L35" i="194"/>
  <c r="I35" i="194"/>
  <c r="G35" i="194"/>
  <c r="T33" i="194"/>
  <c r="X32" i="194"/>
  <c r="T32" i="194"/>
  <c r="V31" i="194"/>
  <c r="R31" i="194"/>
  <c r="X29" i="194"/>
  <c r="V29" i="194"/>
  <c r="V35" i="194" s="1"/>
  <c r="T29" i="194"/>
  <c r="R29" i="194"/>
  <c r="R35" i="194" s="1"/>
  <c r="X25" i="194"/>
  <c r="V25" i="194"/>
  <c r="T25" i="194"/>
  <c r="R25" i="194"/>
  <c r="P25" i="194"/>
  <c r="N25" i="194"/>
  <c r="L25" i="194"/>
  <c r="I25" i="194"/>
  <c r="G25" i="194"/>
  <c r="X19" i="194"/>
  <c r="V19" i="194"/>
  <c r="T19" i="194"/>
  <c r="R19" i="194"/>
  <c r="P19" i="194"/>
  <c r="N19" i="194"/>
  <c r="L19" i="194"/>
  <c r="I19" i="194"/>
  <c r="G19" i="194"/>
  <c r="X11" i="194"/>
  <c r="T11" i="194"/>
  <c r="P11" i="194"/>
  <c r="N11" i="194"/>
  <c r="L11" i="194"/>
  <c r="I11" i="194"/>
  <c r="G11" i="194"/>
  <c r="V10" i="194"/>
  <c r="V11" i="194" s="1"/>
  <c r="R10" i="194"/>
  <c r="R11" i="194" s="1"/>
  <c r="E10" i="194"/>
  <c r="Y73" i="193"/>
  <c r="T73" i="193"/>
  <c r="R73" i="193"/>
  <c r="P58" i="193"/>
  <c r="N58" i="193"/>
  <c r="P35" i="193"/>
  <c r="N35" i="193"/>
  <c r="L35" i="193"/>
  <c r="I35" i="193"/>
  <c r="G35" i="193"/>
  <c r="T33" i="193"/>
  <c r="X32" i="193"/>
  <c r="T32" i="193"/>
  <c r="T35" i="193" s="1"/>
  <c r="V31" i="193"/>
  <c r="R31" i="193"/>
  <c r="X29" i="193"/>
  <c r="X35" i="193" s="1"/>
  <c r="V29" i="193"/>
  <c r="V35" i="193" s="1"/>
  <c r="T29" i="193"/>
  <c r="R29" i="193"/>
  <c r="R35" i="193" s="1"/>
  <c r="X25" i="193"/>
  <c r="V25" i="193"/>
  <c r="T25" i="193"/>
  <c r="R25" i="193"/>
  <c r="P25" i="193"/>
  <c r="N25" i="193"/>
  <c r="L25" i="193"/>
  <c r="I25" i="193"/>
  <c r="G25" i="193"/>
  <c r="X19" i="193"/>
  <c r="V19" i="193"/>
  <c r="T19" i="193"/>
  <c r="R19" i="193"/>
  <c r="P19" i="193"/>
  <c r="N19" i="193"/>
  <c r="L19" i="193"/>
  <c r="I19" i="193"/>
  <c r="G19" i="193"/>
  <c r="X11" i="193"/>
  <c r="T11" i="193"/>
  <c r="P11" i="193"/>
  <c r="N11" i="193"/>
  <c r="L11" i="193"/>
  <c r="I11" i="193"/>
  <c r="G11" i="193"/>
  <c r="V10" i="193"/>
  <c r="V11" i="193" s="1"/>
  <c r="R10" i="193"/>
  <c r="R11" i="193" s="1"/>
  <c r="E10" i="193"/>
  <c r="Y73" i="192"/>
  <c r="T73" i="192"/>
  <c r="R73" i="192"/>
  <c r="P58" i="192"/>
  <c r="N58" i="192"/>
  <c r="V35" i="192"/>
  <c r="P35" i="192"/>
  <c r="N35" i="192"/>
  <c r="L35" i="192"/>
  <c r="I35" i="192"/>
  <c r="G35" i="192"/>
  <c r="T33" i="192"/>
  <c r="X32" i="192"/>
  <c r="T32" i="192"/>
  <c r="V31" i="192"/>
  <c r="R31" i="192"/>
  <c r="X29" i="192"/>
  <c r="X35" i="192" s="1"/>
  <c r="V29" i="192"/>
  <c r="T29" i="192"/>
  <c r="R29" i="192"/>
  <c r="R35" i="192" s="1"/>
  <c r="X25" i="192"/>
  <c r="V25" i="192"/>
  <c r="T25" i="192"/>
  <c r="R25" i="192"/>
  <c r="P25" i="192"/>
  <c r="N25" i="192"/>
  <c r="L25" i="192"/>
  <c r="I25" i="192"/>
  <c r="G25" i="192"/>
  <c r="X19" i="192"/>
  <c r="V19" i="192"/>
  <c r="T19" i="192"/>
  <c r="R19" i="192"/>
  <c r="P19" i="192"/>
  <c r="N19" i="192"/>
  <c r="L19" i="192"/>
  <c r="I19" i="192"/>
  <c r="G19" i="192"/>
  <c r="X11" i="192"/>
  <c r="T11" i="192"/>
  <c r="P11" i="192"/>
  <c r="N11" i="192"/>
  <c r="L11" i="192"/>
  <c r="I11" i="192"/>
  <c r="G11" i="192"/>
  <c r="V10" i="192"/>
  <c r="V11" i="192" s="1"/>
  <c r="R10" i="192"/>
  <c r="R11" i="192" s="1"/>
  <c r="E10" i="192"/>
  <c r="Y73" i="190"/>
  <c r="T73" i="190"/>
  <c r="R73" i="190"/>
  <c r="P58" i="190"/>
  <c r="N58" i="190"/>
  <c r="P35" i="190"/>
  <c r="N35" i="190"/>
  <c r="L35" i="190"/>
  <c r="I35" i="190"/>
  <c r="G35" i="190"/>
  <c r="T33" i="190"/>
  <c r="X32" i="190"/>
  <c r="T32" i="190"/>
  <c r="V31" i="190"/>
  <c r="R31" i="190"/>
  <c r="X29" i="190"/>
  <c r="X35" i="190" s="1"/>
  <c r="V29" i="190"/>
  <c r="T29" i="190"/>
  <c r="R29" i="190"/>
  <c r="R35" i="190" s="1"/>
  <c r="X25" i="190"/>
  <c r="V25" i="190"/>
  <c r="T25" i="190"/>
  <c r="R25" i="190"/>
  <c r="P25" i="190"/>
  <c r="N25" i="190"/>
  <c r="L25" i="190"/>
  <c r="I25" i="190"/>
  <c r="G25" i="190"/>
  <c r="X19" i="190"/>
  <c r="V19" i="190"/>
  <c r="T19" i="190"/>
  <c r="R19" i="190"/>
  <c r="P19" i="190"/>
  <c r="N19" i="190"/>
  <c r="L19" i="190"/>
  <c r="I19" i="190"/>
  <c r="G19" i="190"/>
  <c r="X11" i="190"/>
  <c r="T11" i="190"/>
  <c r="P11" i="190"/>
  <c r="N11" i="190"/>
  <c r="L11" i="190"/>
  <c r="I11" i="190"/>
  <c r="G11" i="190"/>
  <c r="V10" i="190"/>
  <c r="V11" i="190" s="1"/>
  <c r="R10" i="190"/>
  <c r="R11" i="190" s="1"/>
  <c r="E10" i="190"/>
  <c r="Y73" i="191"/>
  <c r="T73" i="191"/>
  <c r="R73" i="191"/>
  <c r="P58" i="191"/>
  <c r="N58" i="191"/>
  <c r="P35" i="191"/>
  <c r="N35" i="191"/>
  <c r="L35" i="191"/>
  <c r="I35" i="191"/>
  <c r="G35" i="191"/>
  <c r="T33" i="191"/>
  <c r="X32" i="191"/>
  <c r="T32" i="191"/>
  <c r="T35" i="191" s="1"/>
  <c r="V31" i="191"/>
  <c r="R31" i="191"/>
  <c r="X29" i="191"/>
  <c r="X35" i="191" s="1"/>
  <c r="V29" i="191"/>
  <c r="T29" i="191"/>
  <c r="R29" i="191"/>
  <c r="R35" i="191" s="1"/>
  <c r="R37" i="191" s="1"/>
  <c r="X25" i="191"/>
  <c r="V25" i="191"/>
  <c r="T25" i="191"/>
  <c r="R25" i="191"/>
  <c r="P25" i="191"/>
  <c r="N25" i="191"/>
  <c r="L25" i="191"/>
  <c r="I25" i="191"/>
  <c r="G25" i="191"/>
  <c r="X19" i="191"/>
  <c r="V19" i="191"/>
  <c r="T19" i="191"/>
  <c r="R19" i="191"/>
  <c r="P19" i="191"/>
  <c r="N19" i="191"/>
  <c r="L19" i="191"/>
  <c r="I19" i="191"/>
  <c r="G19" i="191"/>
  <c r="X11" i="191"/>
  <c r="T11" i="191"/>
  <c r="P11" i="191"/>
  <c r="N11" i="191"/>
  <c r="L11" i="191"/>
  <c r="I11" i="191"/>
  <c r="G11" i="191"/>
  <c r="V10" i="191"/>
  <c r="V11" i="191" s="1"/>
  <c r="R10" i="191"/>
  <c r="R11" i="191" s="1"/>
  <c r="E10" i="191"/>
  <c r="Y73" i="189"/>
  <c r="T73" i="189"/>
  <c r="R73" i="189"/>
  <c r="P58" i="189"/>
  <c r="N58" i="189"/>
  <c r="P35" i="189"/>
  <c r="N35" i="189"/>
  <c r="N37" i="189" s="1"/>
  <c r="L35" i="189"/>
  <c r="I35" i="189"/>
  <c r="G35" i="189"/>
  <c r="T33" i="189"/>
  <c r="X32" i="189"/>
  <c r="T32" i="189"/>
  <c r="V31" i="189"/>
  <c r="R31" i="189"/>
  <c r="X29" i="189"/>
  <c r="X35" i="189" s="1"/>
  <c r="V29" i="189"/>
  <c r="V35" i="189" s="1"/>
  <c r="T29" i="189"/>
  <c r="R29" i="189"/>
  <c r="X25" i="189"/>
  <c r="V25" i="189"/>
  <c r="T25" i="189"/>
  <c r="R25" i="189"/>
  <c r="P25" i="189"/>
  <c r="N25" i="189"/>
  <c r="L25" i="189"/>
  <c r="I25" i="189"/>
  <c r="G25" i="189"/>
  <c r="X19" i="189"/>
  <c r="V19" i="189"/>
  <c r="T19" i="189"/>
  <c r="R19" i="189"/>
  <c r="P19" i="189"/>
  <c r="N19" i="189"/>
  <c r="L19" i="189"/>
  <c r="I19" i="189"/>
  <c r="G19" i="189"/>
  <c r="X11" i="189"/>
  <c r="T11" i="189"/>
  <c r="P11" i="189"/>
  <c r="N11" i="189"/>
  <c r="L11" i="189"/>
  <c r="I11" i="189"/>
  <c r="G11" i="189"/>
  <c r="V10" i="189"/>
  <c r="V11" i="189" s="1"/>
  <c r="R10" i="189"/>
  <c r="R11" i="189" s="1"/>
  <c r="E10" i="189"/>
  <c r="Y73" i="188"/>
  <c r="T73" i="188"/>
  <c r="R73" i="188"/>
  <c r="P58" i="188"/>
  <c r="N58" i="188"/>
  <c r="P35" i="188"/>
  <c r="N35" i="188"/>
  <c r="L35" i="188"/>
  <c r="I35" i="188"/>
  <c r="G35" i="188"/>
  <c r="T33" i="188"/>
  <c r="X32" i="188"/>
  <c r="T32" i="188"/>
  <c r="V31" i="188"/>
  <c r="V35" i="188" s="1"/>
  <c r="R31" i="188"/>
  <c r="X29" i="188"/>
  <c r="X35" i="188" s="1"/>
  <c r="V29" i="188"/>
  <c r="T29" i="188"/>
  <c r="T35" i="188" s="1"/>
  <c r="R29" i="188"/>
  <c r="R35" i="188" s="1"/>
  <c r="X25" i="188"/>
  <c r="V25" i="188"/>
  <c r="T25" i="188"/>
  <c r="R25" i="188"/>
  <c r="P25" i="188"/>
  <c r="N25" i="188"/>
  <c r="L25" i="188"/>
  <c r="I25" i="188"/>
  <c r="G25" i="188"/>
  <c r="X19" i="188"/>
  <c r="V19" i="188"/>
  <c r="T19" i="188"/>
  <c r="R19" i="188"/>
  <c r="P19" i="188"/>
  <c r="N19" i="188"/>
  <c r="L19" i="188"/>
  <c r="I19" i="188"/>
  <c r="G19" i="188"/>
  <c r="X11" i="188"/>
  <c r="T11" i="188"/>
  <c r="P11" i="188"/>
  <c r="N11" i="188"/>
  <c r="L11" i="188"/>
  <c r="I11" i="188"/>
  <c r="G11" i="188"/>
  <c r="V10" i="188"/>
  <c r="V11" i="188" s="1"/>
  <c r="R10" i="188"/>
  <c r="R11" i="188" s="1"/>
  <c r="E10" i="188"/>
  <c r="Y73" i="187"/>
  <c r="T73" i="187"/>
  <c r="R73" i="187"/>
  <c r="P58" i="187"/>
  <c r="N58" i="187"/>
  <c r="P35" i="187"/>
  <c r="N35" i="187"/>
  <c r="L35" i="187"/>
  <c r="I35" i="187"/>
  <c r="G35" i="187"/>
  <c r="T33" i="187"/>
  <c r="X32" i="187"/>
  <c r="T32" i="187"/>
  <c r="V31" i="187"/>
  <c r="R31" i="187"/>
  <c r="X29" i="187"/>
  <c r="X35" i="187" s="1"/>
  <c r="V29" i="187"/>
  <c r="V35" i="187" s="1"/>
  <c r="T29" i="187"/>
  <c r="R29" i="187"/>
  <c r="R35" i="187" s="1"/>
  <c r="X25" i="187"/>
  <c r="V25" i="187"/>
  <c r="T25" i="187"/>
  <c r="R25" i="187"/>
  <c r="P25" i="187"/>
  <c r="N25" i="187"/>
  <c r="L25" i="187"/>
  <c r="I25" i="187"/>
  <c r="G25" i="187"/>
  <c r="X19" i="187"/>
  <c r="V19" i="187"/>
  <c r="T19" i="187"/>
  <c r="R19" i="187"/>
  <c r="P19" i="187"/>
  <c r="N19" i="187"/>
  <c r="L19" i="187"/>
  <c r="I19" i="187"/>
  <c r="G19" i="187"/>
  <c r="X11" i="187"/>
  <c r="T11" i="187"/>
  <c r="P11" i="187"/>
  <c r="N11" i="187"/>
  <c r="L11" i="187"/>
  <c r="I11" i="187"/>
  <c r="G11" i="187"/>
  <c r="V10" i="187"/>
  <c r="V11" i="187" s="1"/>
  <c r="R10" i="187"/>
  <c r="R11" i="187" s="1"/>
  <c r="E10" i="187"/>
  <c r="Y73" i="186"/>
  <c r="T73" i="186"/>
  <c r="R73" i="186"/>
  <c r="P58" i="186"/>
  <c r="N58" i="186"/>
  <c r="P35" i="186"/>
  <c r="N35" i="186"/>
  <c r="L35" i="186"/>
  <c r="I35" i="186"/>
  <c r="G35" i="186"/>
  <c r="T33" i="186"/>
  <c r="X32" i="186"/>
  <c r="T32" i="186"/>
  <c r="V31" i="186"/>
  <c r="R31" i="186"/>
  <c r="X29" i="186"/>
  <c r="X35" i="186" s="1"/>
  <c r="V29" i="186"/>
  <c r="V35" i="186" s="1"/>
  <c r="T29" i="186"/>
  <c r="R29" i="186"/>
  <c r="R35" i="186" s="1"/>
  <c r="X25" i="186"/>
  <c r="V25" i="186"/>
  <c r="T25" i="186"/>
  <c r="R25" i="186"/>
  <c r="P25" i="186"/>
  <c r="N25" i="186"/>
  <c r="L25" i="186"/>
  <c r="I25" i="186"/>
  <c r="G25" i="186"/>
  <c r="X19" i="186"/>
  <c r="V19" i="186"/>
  <c r="T19" i="186"/>
  <c r="R19" i="186"/>
  <c r="P19" i="186"/>
  <c r="N19" i="186"/>
  <c r="L19" i="186"/>
  <c r="I19" i="186"/>
  <c r="G19" i="186"/>
  <c r="X11" i="186"/>
  <c r="T11" i="186"/>
  <c r="P11" i="186"/>
  <c r="N11" i="186"/>
  <c r="L11" i="186"/>
  <c r="I11" i="186"/>
  <c r="G11" i="186"/>
  <c r="V10" i="186"/>
  <c r="V11" i="186" s="1"/>
  <c r="R10" i="186"/>
  <c r="R11" i="186" s="1"/>
  <c r="E10" i="186"/>
  <c r="Y73" i="185"/>
  <c r="T73" i="185"/>
  <c r="R73" i="185"/>
  <c r="P58" i="185"/>
  <c r="N58" i="185"/>
  <c r="P35" i="185"/>
  <c r="N35" i="185"/>
  <c r="L35" i="185"/>
  <c r="I35" i="185"/>
  <c r="G35" i="185"/>
  <c r="G37" i="185" s="1"/>
  <c r="T33" i="185"/>
  <c r="X32" i="185"/>
  <c r="T32" i="185"/>
  <c r="V31" i="185"/>
  <c r="V35" i="185" s="1"/>
  <c r="R31" i="185"/>
  <c r="X29" i="185"/>
  <c r="X35" i="185" s="1"/>
  <c r="V29" i="185"/>
  <c r="T29" i="185"/>
  <c r="T35" i="185" s="1"/>
  <c r="R29" i="185"/>
  <c r="R35" i="185" s="1"/>
  <c r="X25" i="185"/>
  <c r="V25" i="185"/>
  <c r="T25" i="185"/>
  <c r="R25" i="185"/>
  <c r="P25" i="185"/>
  <c r="N25" i="185"/>
  <c r="L25" i="185"/>
  <c r="I25" i="185"/>
  <c r="G25" i="185"/>
  <c r="X19" i="185"/>
  <c r="V19" i="185"/>
  <c r="T19" i="185"/>
  <c r="R19" i="185"/>
  <c r="P19" i="185"/>
  <c r="N19" i="185"/>
  <c r="L19" i="185"/>
  <c r="I19" i="185"/>
  <c r="G19" i="185"/>
  <c r="X11" i="185"/>
  <c r="T11" i="185"/>
  <c r="P11" i="185"/>
  <c r="N11" i="185"/>
  <c r="L11" i="185"/>
  <c r="I11" i="185"/>
  <c r="G11" i="185"/>
  <c r="V10" i="185"/>
  <c r="V11" i="185" s="1"/>
  <c r="R10" i="185"/>
  <c r="R11" i="185" s="1"/>
  <c r="R37" i="185" s="1"/>
  <c r="E10" i="185"/>
  <c r="Y73" i="184"/>
  <c r="T73" i="184"/>
  <c r="R73" i="184"/>
  <c r="P58" i="184"/>
  <c r="N58" i="184"/>
  <c r="X35" i="184"/>
  <c r="V35" i="184"/>
  <c r="T35" i="184"/>
  <c r="R35" i="184"/>
  <c r="P35" i="184"/>
  <c r="N35" i="184"/>
  <c r="L35" i="184"/>
  <c r="I35" i="184"/>
  <c r="G35" i="184"/>
  <c r="X25" i="184"/>
  <c r="V25" i="184"/>
  <c r="T25" i="184"/>
  <c r="R25" i="184"/>
  <c r="P25" i="184"/>
  <c r="N25" i="184"/>
  <c r="L25" i="184"/>
  <c r="I25" i="184"/>
  <c r="G25" i="184"/>
  <c r="X19" i="184"/>
  <c r="V19" i="184"/>
  <c r="T19" i="184"/>
  <c r="R19" i="184"/>
  <c r="P19" i="184"/>
  <c r="N19" i="184"/>
  <c r="L19" i="184"/>
  <c r="I19" i="184"/>
  <c r="G19" i="184"/>
  <c r="X11" i="184"/>
  <c r="V11" i="184"/>
  <c r="T11" i="184"/>
  <c r="R11" i="184"/>
  <c r="P11" i="184"/>
  <c r="N11" i="184"/>
  <c r="L11" i="184"/>
  <c r="I11" i="184"/>
  <c r="G11" i="184"/>
  <c r="E10" i="184"/>
  <c r="Y73" i="183"/>
  <c r="T73" i="183"/>
  <c r="R73" i="183"/>
  <c r="R58" i="183"/>
  <c r="P58" i="183"/>
  <c r="N58" i="183"/>
  <c r="P35" i="183"/>
  <c r="N35" i="183"/>
  <c r="L35" i="183"/>
  <c r="I35" i="183"/>
  <c r="G35" i="183"/>
  <c r="X32" i="183"/>
  <c r="T32" i="183"/>
  <c r="V31" i="183"/>
  <c r="R31" i="183"/>
  <c r="X29" i="183"/>
  <c r="X35" i="183" s="1"/>
  <c r="V29" i="183"/>
  <c r="T29" i="183"/>
  <c r="T35" i="183" s="1"/>
  <c r="R29" i="183"/>
  <c r="R35" i="183" s="1"/>
  <c r="X25" i="183"/>
  <c r="V25" i="183"/>
  <c r="T25" i="183"/>
  <c r="R25" i="183"/>
  <c r="P25" i="183"/>
  <c r="N25" i="183"/>
  <c r="L25" i="183"/>
  <c r="I25" i="183"/>
  <c r="G25" i="183"/>
  <c r="X19" i="183"/>
  <c r="V19" i="183"/>
  <c r="T19" i="183"/>
  <c r="R19" i="183"/>
  <c r="P19" i="183"/>
  <c r="N19" i="183"/>
  <c r="L19" i="183"/>
  <c r="I19" i="183"/>
  <c r="G19" i="183"/>
  <c r="X11" i="183"/>
  <c r="T11" i="183"/>
  <c r="P11" i="183"/>
  <c r="N11" i="183"/>
  <c r="L11" i="183"/>
  <c r="I11" i="183"/>
  <c r="G11" i="183"/>
  <c r="V10" i="183"/>
  <c r="V11" i="183" s="1"/>
  <c r="R10" i="183"/>
  <c r="R11" i="183" s="1"/>
  <c r="E10" i="183"/>
  <c r="P35" i="182"/>
  <c r="N35" i="182"/>
  <c r="L35" i="182"/>
  <c r="I35" i="182"/>
  <c r="G35" i="182"/>
  <c r="X32" i="182"/>
  <c r="T32" i="182"/>
  <c r="V31" i="182"/>
  <c r="R31" i="182"/>
  <c r="X29" i="182"/>
  <c r="X35" i="182" s="1"/>
  <c r="V29" i="182"/>
  <c r="T29" i="182"/>
  <c r="T35" i="182" s="1"/>
  <c r="R29" i="182"/>
  <c r="R35" i="182" s="1"/>
  <c r="X25" i="182"/>
  <c r="V25" i="182"/>
  <c r="T25" i="182"/>
  <c r="R25" i="182"/>
  <c r="P25" i="182"/>
  <c r="N25" i="182"/>
  <c r="L25" i="182"/>
  <c r="I25" i="182"/>
  <c r="G25" i="182"/>
  <c r="X19" i="182"/>
  <c r="V19" i="182"/>
  <c r="T19" i="182"/>
  <c r="R19" i="182"/>
  <c r="P19" i="182"/>
  <c r="N19" i="182"/>
  <c r="L19" i="182"/>
  <c r="I19" i="182"/>
  <c r="G19" i="182"/>
  <c r="X11" i="182"/>
  <c r="T11" i="182"/>
  <c r="P11" i="182"/>
  <c r="N11" i="182"/>
  <c r="L11" i="182"/>
  <c r="I11" i="182"/>
  <c r="G11" i="182"/>
  <c r="V10" i="182"/>
  <c r="V11" i="182" s="1"/>
  <c r="R10" i="182"/>
  <c r="R11" i="182" s="1"/>
  <c r="E10" i="182"/>
  <c r="P35" i="181"/>
  <c r="N35" i="181"/>
  <c r="L35" i="181"/>
  <c r="I35" i="181"/>
  <c r="G35" i="181"/>
  <c r="X32" i="181"/>
  <c r="T32" i="181"/>
  <c r="V31" i="181"/>
  <c r="R31" i="181"/>
  <c r="X29" i="181"/>
  <c r="X35" i="181" s="1"/>
  <c r="V29" i="181"/>
  <c r="T29" i="181"/>
  <c r="T35" i="181" s="1"/>
  <c r="R29" i="181"/>
  <c r="X25" i="181"/>
  <c r="V25" i="181"/>
  <c r="T25" i="181"/>
  <c r="R25" i="181"/>
  <c r="P25" i="181"/>
  <c r="N25" i="181"/>
  <c r="L25" i="181"/>
  <c r="I25" i="181"/>
  <c r="G25" i="181"/>
  <c r="X19" i="181"/>
  <c r="V19" i="181"/>
  <c r="T19" i="181"/>
  <c r="R19" i="181"/>
  <c r="P19" i="181"/>
  <c r="N19" i="181"/>
  <c r="L19" i="181"/>
  <c r="I19" i="181"/>
  <c r="G19" i="181"/>
  <c r="X11" i="181"/>
  <c r="T11" i="181"/>
  <c r="P11" i="181"/>
  <c r="N11" i="181"/>
  <c r="L11" i="181"/>
  <c r="I11" i="181"/>
  <c r="G11" i="181"/>
  <c r="V10" i="181"/>
  <c r="V11" i="181" s="1"/>
  <c r="R10" i="181"/>
  <c r="R11" i="181" s="1"/>
  <c r="E10" i="181"/>
  <c r="P35" i="180"/>
  <c r="N35" i="180"/>
  <c r="L35" i="180"/>
  <c r="I35" i="180"/>
  <c r="G35" i="180"/>
  <c r="X32" i="180"/>
  <c r="T32" i="180"/>
  <c r="V31" i="180"/>
  <c r="V35" i="180" s="1"/>
  <c r="R31" i="180"/>
  <c r="X29" i="180"/>
  <c r="X35" i="180" s="1"/>
  <c r="V29" i="180"/>
  <c r="T29" i="180"/>
  <c r="T35" i="180" s="1"/>
  <c r="R29" i="180"/>
  <c r="R35" i="180" s="1"/>
  <c r="X25" i="180"/>
  <c r="V25" i="180"/>
  <c r="T25" i="180"/>
  <c r="R25" i="180"/>
  <c r="P25" i="180"/>
  <c r="N25" i="180"/>
  <c r="L25" i="180"/>
  <c r="I25" i="180"/>
  <c r="G25" i="180"/>
  <c r="X19" i="180"/>
  <c r="V19" i="180"/>
  <c r="T19" i="180"/>
  <c r="R19" i="180"/>
  <c r="P19" i="180"/>
  <c r="N19" i="180"/>
  <c r="L19" i="180"/>
  <c r="I19" i="180"/>
  <c r="G19" i="180"/>
  <c r="X11" i="180"/>
  <c r="T11" i="180"/>
  <c r="P11" i="180"/>
  <c r="N11" i="180"/>
  <c r="L11" i="180"/>
  <c r="I11" i="180"/>
  <c r="G11" i="180"/>
  <c r="V10" i="180"/>
  <c r="V11" i="180" s="1"/>
  <c r="R10" i="180"/>
  <c r="R11" i="180" s="1"/>
  <c r="E10" i="180"/>
  <c r="P35" i="179"/>
  <c r="N35" i="179"/>
  <c r="L35" i="179"/>
  <c r="I35" i="179"/>
  <c r="G35" i="179"/>
  <c r="X32" i="179"/>
  <c r="T32" i="179"/>
  <c r="V31" i="179"/>
  <c r="R31" i="179"/>
  <c r="X29" i="179"/>
  <c r="X35" i="179" s="1"/>
  <c r="V29" i="179"/>
  <c r="T29" i="179"/>
  <c r="R29" i="179"/>
  <c r="R35" i="179" s="1"/>
  <c r="X25" i="179"/>
  <c r="V25" i="179"/>
  <c r="T25" i="179"/>
  <c r="R25" i="179"/>
  <c r="P25" i="179"/>
  <c r="N25" i="179"/>
  <c r="L25" i="179"/>
  <c r="I25" i="179"/>
  <c r="G25" i="179"/>
  <c r="X19" i="179"/>
  <c r="V19" i="179"/>
  <c r="T19" i="179"/>
  <c r="R19" i="179"/>
  <c r="P19" i="179"/>
  <c r="N19" i="179"/>
  <c r="L19" i="179"/>
  <c r="I19" i="179"/>
  <c r="G19" i="179"/>
  <c r="X11" i="179"/>
  <c r="T11" i="179"/>
  <c r="P11" i="179"/>
  <c r="N11" i="179"/>
  <c r="L11" i="179"/>
  <c r="I11" i="179"/>
  <c r="G11" i="179"/>
  <c r="V10" i="179"/>
  <c r="V11" i="179" s="1"/>
  <c r="R10" i="179"/>
  <c r="R11" i="179" s="1"/>
  <c r="E10" i="179"/>
  <c r="P35" i="178"/>
  <c r="N35" i="178"/>
  <c r="L35" i="178"/>
  <c r="I35" i="178"/>
  <c r="G35" i="178"/>
  <c r="X32" i="178"/>
  <c r="T32" i="178"/>
  <c r="V31" i="178"/>
  <c r="R31" i="178"/>
  <c r="X29" i="178"/>
  <c r="V29" i="178"/>
  <c r="T29" i="178"/>
  <c r="R29" i="178"/>
  <c r="R35" i="178" s="1"/>
  <c r="X25" i="178"/>
  <c r="V25" i="178"/>
  <c r="T25" i="178"/>
  <c r="R25" i="178"/>
  <c r="P25" i="178"/>
  <c r="N25" i="178"/>
  <c r="L25" i="178"/>
  <c r="I25" i="178"/>
  <c r="G25" i="178"/>
  <c r="X19" i="178"/>
  <c r="V19" i="178"/>
  <c r="T19" i="178"/>
  <c r="R19" i="178"/>
  <c r="P19" i="178"/>
  <c r="N19" i="178"/>
  <c r="L19" i="178"/>
  <c r="I19" i="178"/>
  <c r="G19" i="178"/>
  <c r="X11" i="178"/>
  <c r="T11" i="178"/>
  <c r="P11" i="178"/>
  <c r="N11" i="178"/>
  <c r="L11" i="178"/>
  <c r="I11" i="178"/>
  <c r="G11" i="178"/>
  <c r="V10" i="178"/>
  <c r="V11" i="178" s="1"/>
  <c r="R10" i="178"/>
  <c r="R11" i="178" s="1"/>
  <c r="E10" i="178"/>
  <c r="P35" i="177"/>
  <c r="N35" i="177"/>
  <c r="L35" i="177"/>
  <c r="I35" i="177"/>
  <c r="G35" i="177"/>
  <c r="X32" i="177"/>
  <c r="T32" i="177"/>
  <c r="V31" i="177"/>
  <c r="R31" i="177"/>
  <c r="X29" i="177"/>
  <c r="X35" i="177" s="1"/>
  <c r="V29" i="177"/>
  <c r="T29" i="177"/>
  <c r="T35" i="177" s="1"/>
  <c r="R29" i="177"/>
  <c r="R35" i="177" s="1"/>
  <c r="X25" i="177"/>
  <c r="V25" i="177"/>
  <c r="T25" i="177"/>
  <c r="R25" i="177"/>
  <c r="P25" i="177"/>
  <c r="N25" i="177"/>
  <c r="L25" i="177"/>
  <c r="I25" i="177"/>
  <c r="G25" i="177"/>
  <c r="X19" i="177"/>
  <c r="V19" i="177"/>
  <c r="T19" i="177"/>
  <c r="R19" i="177"/>
  <c r="P19" i="177"/>
  <c r="N19" i="177"/>
  <c r="L19" i="177"/>
  <c r="I19" i="177"/>
  <c r="G19" i="177"/>
  <c r="X11" i="177"/>
  <c r="T11" i="177"/>
  <c r="P11" i="177"/>
  <c r="N11" i="177"/>
  <c r="L11" i="177"/>
  <c r="I11" i="177"/>
  <c r="G11" i="177"/>
  <c r="V10" i="177"/>
  <c r="V11" i="177" s="1"/>
  <c r="R10" i="177"/>
  <c r="R11" i="177" s="1"/>
  <c r="E10" i="177"/>
  <c r="P35" i="176"/>
  <c r="N35" i="176"/>
  <c r="L35" i="176"/>
  <c r="L37" i="176" s="1"/>
  <c r="I35" i="176"/>
  <c r="G35" i="176"/>
  <c r="X32" i="176"/>
  <c r="T32" i="176"/>
  <c r="V31" i="176"/>
  <c r="R31" i="176"/>
  <c r="X29" i="176"/>
  <c r="V29" i="176"/>
  <c r="V35" i="176" s="1"/>
  <c r="T29" i="176"/>
  <c r="R29" i="176"/>
  <c r="R35" i="176" s="1"/>
  <c r="X25" i="176"/>
  <c r="V25" i="176"/>
  <c r="T25" i="176"/>
  <c r="R25" i="176"/>
  <c r="P25" i="176"/>
  <c r="N25" i="176"/>
  <c r="L25" i="176"/>
  <c r="I25" i="176"/>
  <c r="G25" i="176"/>
  <c r="X19" i="176"/>
  <c r="V19" i="176"/>
  <c r="T19" i="176"/>
  <c r="R19" i="176"/>
  <c r="P19" i="176"/>
  <c r="N19" i="176"/>
  <c r="L19" i="176"/>
  <c r="I19" i="176"/>
  <c r="G19" i="176"/>
  <c r="X11" i="176"/>
  <c r="T11" i="176"/>
  <c r="P11" i="176"/>
  <c r="N11" i="176"/>
  <c r="L11" i="176"/>
  <c r="I11" i="176"/>
  <c r="G11" i="176"/>
  <c r="V10" i="176"/>
  <c r="V11" i="176" s="1"/>
  <c r="R10" i="176"/>
  <c r="R11" i="176" s="1"/>
  <c r="E10" i="176"/>
  <c r="P44" i="175"/>
  <c r="P43" i="175"/>
  <c r="P35" i="175"/>
  <c r="N35" i="175"/>
  <c r="L35" i="175"/>
  <c r="I35" i="175"/>
  <c r="G35" i="175"/>
  <c r="X32" i="175"/>
  <c r="T32" i="175"/>
  <c r="V31" i="175"/>
  <c r="R31" i="175"/>
  <c r="X29" i="175"/>
  <c r="X35" i="175" s="1"/>
  <c r="V29" i="175"/>
  <c r="T29" i="175"/>
  <c r="R29" i="175"/>
  <c r="R35" i="175" s="1"/>
  <c r="X25" i="175"/>
  <c r="V25" i="175"/>
  <c r="T25" i="175"/>
  <c r="R25" i="175"/>
  <c r="P25" i="175"/>
  <c r="N25" i="175"/>
  <c r="L25" i="175"/>
  <c r="I25" i="175"/>
  <c r="G25" i="175"/>
  <c r="X19" i="175"/>
  <c r="V19" i="175"/>
  <c r="T19" i="175"/>
  <c r="R19" i="175"/>
  <c r="P19" i="175"/>
  <c r="P37" i="175" s="1"/>
  <c r="N19" i="175"/>
  <c r="L19" i="175"/>
  <c r="I19" i="175"/>
  <c r="G19" i="175"/>
  <c r="X11" i="175"/>
  <c r="T11" i="175"/>
  <c r="P11" i="175"/>
  <c r="N11" i="175"/>
  <c r="L11" i="175"/>
  <c r="I11" i="175"/>
  <c r="G11" i="175"/>
  <c r="V10" i="175"/>
  <c r="V11" i="175" s="1"/>
  <c r="R10" i="175"/>
  <c r="R11" i="175" s="1"/>
  <c r="E10" i="175"/>
  <c r="P35" i="174"/>
  <c r="N35" i="174"/>
  <c r="L35" i="174"/>
  <c r="I35" i="174"/>
  <c r="G35" i="174"/>
  <c r="X32" i="174"/>
  <c r="T32" i="174"/>
  <c r="V31" i="174"/>
  <c r="V35" i="174" s="1"/>
  <c r="R31" i="174"/>
  <c r="X29" i="174"/>
  <c r="X35" i="174" s="1"/>
  <c r="V29" i="174"/>
  <c r="T29" i="174"/>
  <c r="T35" i="174" s="1"/>
  <c r="R29" i="174"/>
  <c r="R35" i="174" s="1"/>
  <c r="X25" i="174"/>
  <c r="V25" i="174"/>
  <c r="T25" i="174"/>
  <c r="R25" i="174"/>
  <c r="P25" i="174"/>
  <c r="N25" i="174"/>
  <c r="L25" i="174"/>
  <c r="I25" i="174"/>
  <c r="G25" i="174"/>
  <c r="X19" i="174"/>
  <c r="V19" i="174"/>
  <c r="T19" i="174"/>
  <c r="R19" i="174"/>
  <c r="P19" i="174"/>
  <c r="N19" i="174"/>
  <c r="L19" i="174"/>
  <c r="I19" i="174"/>
  <c r="G19" i="174"/>
  <c r="X11" i="174"/>
  <c r="T11" i="174"/>
  <c r="P11" i="174"/>
  <c r="N11" i="174"/>
  <c r="L11" i="174"/>
  <c r="I11" i="174"/>
  <c r="G11" i="174"/>
  <c r="V10" i="174"/>
  <c r="V11" i="174" s="1"/>
  <c r="R10" i="174"/>
  <c r="R11" i="174" s="1"/>
  <c r="E10" i="174"/>
  <c r="P35" i="173"/>
  <c r="P37" i="173" s="1"/>
  <c r="N35" i="173"/>
  <c r="L35" i="173"/>
  <c r="I35" i="173"/>
  <c r="G35" i="173"/>
  <c r="X32" i="173"/>
  <c r="T32" i="173"/>
  <c r="V31" i="173"/>
  <c r="V35" i="173" s="1"/>
  <c r="R31" i="173"/>
  <c r="X29" i="173"/>
  <c r="X35" i="173" s="1"/>
  <c r="V29" i="173"/>
  <c r="T29" i="173"/>
  <c r="T35" i="173" s="1"/>
  <c r="R29" i="173"/>
  <c r="X25" i="173"/>
  <c r="V25" i="173"/>
  <c r="T25" i="173"/>
  <c r="R25" i="173"/>
  <c r="P25" i="173"/>
  <c r="N25" i="173"/>
  <c r="L25" i="173"/>
  <c r="I25" i="173"/>
  <c r="G25" i="173"/>
  <c r="X19" i="173"/>
  <c r="V19" i="173"/>
  <c r="T19" i="173"/>
  <c r="R19" i="173"/>
  <c r="P19" i="173"/>
  <c r="N19" i="173"/>
  <c r="L19" i="173"/>
  <c r="I19" i="173"/>
  <c r="G19" i="173"/>
  <c r="X11" i="173"/>
  <c r="T11" i="173"/>
  <c r="P11" i="173"/>
  <c r="N11" i="173"/>
  <c r="L11" i="173"/>
  <c r="I11" i="173"/>
  <c r="G11" i="173"/>
  <c r="V10" i="173"/>
  <c r="V11" i="173" s="1"/>
  <c r="R10" i="173"/>
  <c r="R11" i="173" s="1"/>
  <c r="E10" i="173"/>
  <c r="P35" i="172"/>
  <c r="N35" i="172"/>
  <c r="L35" i="172"/>
  <c r="I35" i="172"/>
  <c r="G35" i="172"/>
  <c r="X32" i="172"/>
  <c r="T32" i="172"/>
  <c r="V31" i="172"/>
  <c r="R31" i="172"/>
  <c r="X29" i="172"/>
  <c r="X35" i="172" s="1"/>
  <c r="V29" i="172"/>
  <c r="T29" i="172"/>
  <c r="R29" i="172"/>
  <c r="X25" i="172"/>
  <c r="V25" i="172"/>
  <c r="T25" i="172"/>
  <c r="R25" i="172"/>
  <c r="P25" i="172"/>
  <c r="N25" i="172"/>
  <c r="L25" i="172"/>
  <c r="I25" i="172"/>
  <c r="G25" i="172"/>
  <c r="X19" i="172"/>
  <c r="V19" i="172"/>
  <c r="T19" i="172"/>
  <c r="R19" i="172"/>
  <c r="P19" i="172"/>
  <c r="N19" i="172"/>
  <c r="L19" i="172"/>
  <c r="I19" i="172"/>
  <c r="G19" i="172"/>
  <c r="X11" i="172"/>
  <c r="T11" i="172"/>
  <c r="P11" i="172"/>
  <c r="N11" i="172"/>
  <c r="L11" i="172"/>
  <c r="I11" i="172"/>
  <c r="G11" i="172"/>
  <c r="V10" i="172"/>
  <c r="V11" i="172" s="1"/>
  <c r="R10" i="172"/>
  <c r="R11" i="172" s="1"/>
  <c r="E10" i="172"/>
  <c r="X35" i="171"/>
  <c r="V35" i="171"/>
  <c r="T35" i="171"/>
  <c r="R35" i="171"/>
  <c r="P35" i="171"/>
  <c r="N35" i="171"/>
  <c r="L35" i="171"/>
  <c r="I35" i="171"/>
  <c r="G35" i="171"/>
  <c r="X25" i="171"/>
  <c r="V25" i="171"/>
  <c r="T25" i="171"/>
  <c r="R25" i="171"/>
  <c r="P25" i="171"/>
  <c r="N25" i="171"/>
  <c r="L25" i="171"/>
  <c r="I25" i="171"/>
  <c r="G25" i="171"/>
  <c r="X19" i="171"/>
  <c r="V19" i="171"/>
  <c r="T19" i="171"/>
  <c r="R19" i="171"/>
  <c r="P19" i="171"/>
  <c r="N19" i="171"/>
  <c r="L19" i="171"/>
  <c r="I19" i="171"/>
  <c r="G19" i="171"/>
  <c r="X11" i="171"/>
  <c r="V11" i="171"/>
  <c r="T11" i="171"/>
  <c r="R11" i="171"/>
  <c r="P11" i="171"/>
  <c r="N11" i="171"/>
  <c r="L11" i="171"/>
  <c r="I11" i="171"/>
  <c r="G11" i="171"/>
  <c r="E10" i="171"/>
  <c r="P35" i="170"/>
  <c r="N35" i="170"/>
  <c r="L35" i="170"/>
  <c r="I35" i="170"/>
  <c r="G35" i="170"/>
  <c r="X33" i="170"/>
  <c r="X32" i="170"/>
  <c r="T32" i="170"/>
  <c r="V31" i="170"/>
  <c r="R31" i="170"/>
  <c r="X29" i="170"/>
  <c r="V29" i="170"/>
  <c r="T29" i="170"/>
  <c r="T35" i="170" s="1"/>
  <c r="R29" i="170"/>
  <c r="X25" i="170"/>
  <c r="V25" i="170"/>
  <c r="T25" i="170"/>
  <c r="R25" i="170"/>
  <c r="P25" i="170"/>
  <c r="N25" i="170"/>
  <c r="L25" i="170"/>
  <c r="I25" i="170"/>
  <c r="G25" i="170"/>
  <c r="X19" i="170"/>
  <c r="V19" i="170"/>
  <c r="T19" i="170"/>
  <c r="R19" i="170"/>
  <c r="P19" i="170"/>
  <c r="N19" i="170"/>
  <c r="L19" i="170"/>
  <c r="I19" i="170"/>
  <c r="G19" i="170"/>
  <c r="X11" i="170"/>
  <c r="T11" i="170"/>
  <c r="P11" i="170"/>
  <c r="N11" i="170"/>
  <c r="L11" i="170"/>
  <c r="I11" i="170"/>
  <c r="G11" i="170"/>
  <c r="V10" i="170"/>
  <c r="V11" i="170" s="1"/>
  <c r="R10" i="170"/>
  <c r="R11" i="170" s="1"/>
  <c r="E10" i="170"/>
  <c r="P35" i="169"/>
  <c r="N35" i="169"/>
  <c r="L35" i="169"/>
  <c r="I35" i="169"/>
  <c r="G35" i="169"/>
  <c r="X33" i="169"/>
  <c r="X32" i="169"/>
  <c r="T32" i="169"/>
  <c r="V31" i="169"/>
  <c r="R31" i="169"/>
  <c r="X29" i="169"/>
  <c r="V29" i="169"/>
  <c r="T29" i="169"/>
  <c r="R29" i="169"/>
  <c r="X25" i="169"/>
  <c r="V25" i="169"/>
  <c r="T25" i="169"/>
  <c r="R25" i="169"/>
  <c r="P25" i="169"/>
  <c r="N25" i="169"/>
  <c r="L25" i="169"/>
  <c r="I25" i="169"/>
  <c r="G25" i="169"/>
  <c r="X19" i="169"/>
  <c r="V19" i="169"/>
  <c r="T19" i="169"/>
  <c r="R19" i="169"/>
  <c r="P19" i="169"/>
  <c r="N19" i="169"/>
  <c r="L19" i="169"/>
  <c r="I19" i="169"/>
  <c r="G19" i="169"/>
  <c r="X11" i="169"/>
  <c r="T11" i="169"/>
  <c r="P11" i="169"/>
  <c r="N11" i="169"/>
  <c r="L11" i="169"/>
  <c r="I11" i="169"/>
  <c r="G11" i="169"/>
  <c r="V10" i="169"/>
  <c r="V11" i="169" s="1"/>
  <c r="R10" i="169"/>
  <c r="R11" i="169" s="1"/>
  <c r="E10" i="169"/>
  <c r="P35" i="168"/>
  <c r="N35" i="168"/>
  <c r="L35" i="168"/>
  <c r="I35" i="168"/>
  <c r="G35" i="168"/>
  <c r="X33" i="168"/>
  <c r="X32" i="168"/>
  <c r="T32" i="168"/>
  <c r="V31" i="168"/>
  <c r="R31" i="168"/>
  <c r="X29" i="168"/>
  <c r="V29" i="168"/>
  <c r="T29" i="168"/>
  <c r="T35" i="168" s="1"/>
  <c r="T37" i="168" s="1"/>
  <c r="R29" i="168"/>
  <c r="R35" i="168" s="1"/>
  <c r="X25" i="168"/>
  <c r="V25" i="168"/>
  <c r="T25" i="168"/>
  <c r="R25" i="168"/>
  <c r="P25" i="168"/>
  <c r="N25" i="168"/>
  <c r="L25" i="168"/>
  <c r="I25" i="168"/>
  <c r="G25" i="168"/>
  <c r="X19" i="168"/>
  <c r="V19" i="168"/>
  <c r="T19" i="168"/>
  <c r="R19" i="168"/>
  <c r="P19" i="168"/>
  <c r="N19" i="168"/>
  <c r="L19" i="168"/>
  <c r="I19" i="168"/>
  <c r="G19" i="168"/>
  <c r="X11" i="168"/>
  <c r="T11" i="168"/>
  <c r="P11" i="168"/>
  <c r="N11" i="168"/>
  <c r="L11" i="168"/>
  <c r="I11" i="168"/>
  <c r="G11" i="168"/>
  <c r="V10" i="168"/>
  <c r="V11" i="168" s="1"/>
  <c r="R10" i="168"/>
  <c r="R11" i="168" s="1"/>
  <c r="E10" i="168"/>
  <c r="P35" i="167"/>
  <c r="N35" i="167"/>
  <c r="L35" i="167"/>
  <c r="I35" i="167"/>
  <c r="G35" i="167"/>
  <c r="X33" i="167"/>
  <c r="X32" i="167"/>
  <c r="T32" i="167"/>
  <c r="V31" i="167"/>
  <c r="R31" i="167"/>
  <c r="X29" i="167"/>
  <c r="V29" i="167"/>
  <c r="V35" i="167" s="1"/>
  <c r="T29" i="167"/>
  <c r="R29" i="167"/>
  <c r="R35" i="167" s="1"/>
  <c r="X25" i="167"/>
  <c r="V25" i="167"/>
  <c r="T25" i="167"/>
  <c r="R25" i="167"/>
  <c r="P25" i="167"/>
  <c r="N25" i="167"/>
  <c r="L25" i="167"/>
  <c r="I25" i="167"/>
  <c r="G25" i="167"/>
  <c r="X19" i="167"/>
  <c r="V19" i="167"/>
  <c r="T19" i="167"/>
  <c r="R19" i="167"/>
  <c r="P19" i="167"/>
  <c r="N19" i="167"/>
  <c r="L19" i="167"/>
  <c r="I19" i="167"/>
  <c r="G19" i="167"/>
  <c r="X11" i="167"/>
  <c r="T11" i="167"/>
  <c r="P11" i="167"/>
  <c r="N11" i="167"/>
  <c r="L11" i="167"/>
  <c r="I11" i="167"/>
  <c r="G11" i="167"/>
  <c r="V10" i="167"/>
  <c r="V11" i="167" s="1"/>
  <c r="R10" i="167"/>
  <c r="R11" i="167" s="1"/>
  <c r="E10" i="167"/>
  <c r="P35" i="166"/>
  <c r="N35" i="166"/>
  <c r="N37" i="166" s="1"/>
  <c r="L35" i="166"/>
  <c r="I35" i="166"/>
  <c r="G35" i="166"/>
  <c r="X33" i="166"/>
  <c r="X32" i="166"/>
  <c r="T32" i="166"/>
  <c r="V31" i="166"/>
  <c r="R31" i="166"/>
  <c r="X29" i="166"/>
  <c r="V29" i="166"/>
  <c r="T29" i="166"/>
  <c r="T35" i="166" s="1"/>
  <c r="R29" i="166"/>
  <c r="X25" i="166"/>
  <c r="V25" i="166"/>
  <c r="T25" i="166"/>
  <c r="R25" i="166"/>
  <c r="P25" i="166"/>
  <c r="N25" i="166"/>
  <c r="L25" i="166"/>
  <c r="I25" i="166"/>
  <c r="G25" i="166"/>
  <c r="X19" i="166"/>
  <c r="V19" i="166"/>
  <c r="T19" i="166"/>
  <c r="R19" i="166"/>
  <c r="P19" i="166"/>
  <c r="N19" i="166"/>
  <c r="L19" i="166"/>
  <c r="I19" i="166"/>
  <c r="G19" i="166"/>
  <c r="X11" i="166"/>
  <c r="T11" i="166"/>
  <c r="P11" i="166"/>
  <c r="N11" i="166"/>
  <c r="L11" i="166"/>
  <c r="I11" i="166"/>
  <c r="G11" i="166"/>
  <c r="V10" i="166"/>
  <c r="V11" i="166" s="1"/>
  <c r="R10" i="166"/>
  <c r="R11" i="166" s="1"/>
  <c r="E10" i="166"/>
  <c r="P35" i="165"/>
  <c r="N35" i="165"/>
  <c r="L35" i="165"/>
  <c r="I35" i="165"/>
  <c r="G35" i="165"/>
  <c r="X33" i="165"/>
  <c r="X32" i="165"/>
  <c r="T32" i="165"/>
  <c r="V31" i="165"/>
  <c r="R31" i="165"/>
  <c r="X29" i="165"/>
  <c r="V29" i="165"/>
  <c r="V35" i="165" s="1"/>
  <c r="T29" i="165"/>
  <c r="R29" i="165"/>
  <c r="R35" i="165" s="1"/>
  <c r="X25" i="165"/>
  <c r="V25" i="165"/>
  <c r="T25" i="165"/>
  <c r="R25" i="165"/>
  <c r="P25" i="165"/>
  <c r="N25" i="165"/>
  <c r="L25" i="165"/>
  <c r="I25" i="165"/>
  <c r="G25" i="165"/>
  <c r="X19" i="165"/>
  <c r="V19" i="165"/>
  <c r="T19" i="165"/>
  <c r="R19" i="165"/>
  <c r="P19" i="165"/>
  <c r="N19" i="165"/>
  <c r="L19" i="165"/>
  <c r="I19" i="165"/>
  <c r="G19" i="165"/>
  <c r="X11" i="165"/>
  <c r="T11" i="165"/>
  <c r="P11" i="165"/>
  <c r="N11" i="165"/>
  <c r="L11" i="165"/>
  <c r="I11" i="165"/>
  <c r="G11" i="165"/>
  <c r="V10" i="165"/>
  <c r="V11" i="165" s="1"/>
  <c r="R10" i="165"/>
  <c r="R11" i="165" s="1"/>
  <c r="E10" i="165"/>
  <c r="P35" i="164"/>
  <c r="N35" i="164"/>
  <c r="L35" i="164"/>
  <c r="I35" i="164"/>
  <c r="G35" i="164"/>
  <c r="X33" i="164"/>
  <c r="X32" i="164"/>
  <c r="T32" i="164"/>
  <c r="V31" i="164"/>
  <c r="R31" i="164"/>
  <c r="X29" i="164"/>
  <c r="X35" i="164" s="1"/>
  <c r="V29" i="164"/>
  <c r="T29" i="164"/>
  <c r="T35" i="164" s="1"/>
  <c r="R29" i="164"/>
  <c r="X25" i="164"/>
  <c r="V25" i="164"/>
  <c r="T25" i="164"/>
  <c r="R25" i="164"/>
  <c r="P25" i="164"/>
  <c r="N25" i="164"/>
  <c r="L25" i="164"/>
  <c r="I25" i="164"/>
  <c r="G25" i="164"/>
  <c r="X19" i="164"/>
  <c r="V19" i="164"/>
  <c r="T19" i="164"/>
  <c r="R19" i="164"/>
  <c r="P19" i="164"/>
  <c r="N19" i="164"/>
  <c r="L19" i="164"/>
  <c r="I19" i="164"/>
  <c r="G19" i="164"/>
  <c r="X11" i="164"/>
  <c r="T11" i="164"/>
  <c r="P11" i="164"/>
  <c r="N11" i="164"/>
  <c r="L11" i="164"/>
  <c r="I11" i="164"/>
  <c r="G11" i="164"/>
  <c r="V10" i="164"/>
  <c r="V11" i="164" s="1"/>
  <c r="R10" i="164"/>
  <c r="R11" i="164" s="1"/>
  <c r="E10" i="164"/>
  <c r="P35" i="163"/>
  <c r="N35" i="163"/>
  <c r="L35" i="163"/>
  <c r="L37" i="163" s="1"/>
  <c r="I35" i="163"/>
  <c r="G35" i="163"/>
  <c r="X33" i="163"/>
  <c r="X32" i="163"/>
  <c r="T32" i="163"/>
  <c r="V31" i="163"/>
  <c r="R31" i="163"/>
  <c r="X29" i="163"/>
  <c r="V29" i="163"/>
  <c r="V35" i="163" s="1"/>
  <c r="T29" i="163"/>
  <c r="T35" i="163" s="1"/>
  <c r="R29" i="163"/>
  <c r="X25" i="163"/>
  <c r="V25" i="163"/>
  <c r="T25" i="163"/>
  <c r="R25" i="163"/>
  <c r="P25" i="163"/>
  <c r="N25" i="163"/>
  <c r="L25" i="163"/>
  <c r="I25" i="163"/>
  <c r="G25" i="163"/>
  <c r="X19" i="163"/>
  <c r="V19" i="163"/>
  <c r="T19" i="163"/>
  <c r="R19" i="163"/>
  <c r="P19" i="163"/>
  <c r="N19" i="163"/>
  <c r="L19" i="163"/>
  <c r="I19" i="163"/>
  <c r="G19" i="163"/>
  <c r="X11" i="163"/>
  <c r="T11" i="163"/>
  <c r="R11" i="163"/>
  <c r="P11" i="163"/>
  <c r="N11" i="163"/>
  <c r="L11" i="163"/>
  <c r="I11" i="163"/>
  <c r="G11" i="163"/>
  <c r="V10" i="163"/>
  <c r="V11" i="163" s="1"/>
  <c r="R10" i="163"/>
  <c r="E10" i="163"/>
  <c r="P35" i="162"/>
  <c r="N35" i="162"/>
  <c r="L35" i="162"/>
  <c r="I35" i="162"/>
  <c r="G35" i="162"/>
  <c r="X33" i="162"/>
  <c r="X32" i="162"/>
  <c r="T32" i="162"/>
  <c r="V31" i="162"/>
  <c r="R31" i="162"/>
  <c r="X29" i="162"/>
  <c r="V29" i="162"/>
  <c r="T29" i="162"/>
  <c r="R29" i="162"/>
  <c r="X25" i="162"/>
  <c r="V25" i="162"/>
  <c r="T25" i="162"/>
  <c r="R25" i="162"/>
  <c r="P25" i="162"/>
  <c r="N25" i="162"/>
  <c r="L25" i="162"/>
  <c r="I25" i="162"/>
  <c r="G25" i="162"/>
  <c r="X19" i="162"/>
  <c r="V19" i="162"/>
  <c r="T19" i="162"/>
  <c r="R19" i="162"/>
  <c r="P19" i="162"/>
  <c r="N19" i="162"/>
  <c r="L19" i="162"/>
  <c r="I19" i="162"/>
  <c r="G19" i="162"/>
  <c r="X11" i="162"/>
  <c r="T11" i="162"/>
  <c r="P11" i="162"/>
  <c r="N11" i="162"/>
  <c r="L11" i="162"/>
  <c r="I11" i="162"/>
  <c r="G11" i="162"/>
  <c r="V10" i="162"/>
  <c r="V11" i="162" s="1"/>
  <c r="R10" i="162"/>
  <c r="R11" i="162" s="1"/>
  <c r="E10" i="162"/>
  <c r="P35" i="161"/>
  <c r="N35" i="161"/>
  <c r="L35" i="161"/>
  <c r="I35" i="161"/>
  <c r="I37" i="161" s="1"/>
  <c r="G35" i="161"/>
  <c r="X33" i="161"/>
  <c r="X32" i="161"/>
  <c r="T32" i="161"/>
  <c r="V31" i="161"/>
  <c r="R31" i="161"/>
  <c r="X29" i="161"/>
  <c r="X35" i="161" s="1"/>
  <c r="V29" i="161"/>
  <c r="V35" i="161" s="1"/>
  <c r="T29" i="161"/>
  <c r="R29" i="161"/>
  <c r="R35" i="161" s="1"/>
  <c r="X25" i="161"/>
  <c r="V25" i="161"/>
  <c r="T25" i="161"/>
  <c r="R25" i="161"/>
  <c r="P25" i="161"/>
  <c r="N25" i="161"/>
  <c r="L25" i="161"/>
  <c r="I25" i="161"/>
  <c r="G25" i="161"/>
  <c r="X19" i="161"/>
  <c r="V19" i="161"/>
  <c r="T19" i="161"/>
  <c r="R19" i="161"/>
  <c r="P19" i="161"/>
  <c r="N19" i="161"/>
  <c r="L19" i="161"/>
  <c r="I19" i="161"/>
  <c r="G19" i="161"/>
  <c r="X11" i="161"/>
  <c r="T11" i="161"/>
  <c r="P11" i="161"/>
  <c r="N11" i="161"/>
  <c r="L11" i="161"/>
  <c r="I11" i="161"/>
  <c r="G11" i="161"/>
  <c r="V10" i="161"/>
  <c r="V11" i="161" s="1"/>
  <c r="R10" i="161"/>
  <c r="R11" i="161" s="1"/>
  <c r="E10" i="161"/>
  <c r="P35" i="160"/>
  <c r="N35" i="160"/>
  <c r="L35" i="160"/>
  <c r="L37" i="160" s="1"/>
  <c r="I35" i="160"/>
  <c r="G35" i="160"/>
  <c r="X32" i="160"/>
  <c r="T32" i="160"/>
  <c r="V31" i="160"/>
  <c r="R31" i="160"/>
  <c r="X29" i="160"/>
  <c r="X35" i="160" s="1"/>
  <c r="V29" i="160"/>
  <c r="V35" i="160" s="1"/>
  <c r="T29" i="160"/>
  <c r="R29" i="160"/>
  <c r="R35" i="160" s="1"/>
  <c r="X25" i="160"/>
  <c r="V25" i="160"/>
  <c r="T25" i="160"/>
  <c r="R25" i="160"/>
  <c r="P25" i="160"/>
  <c r="N25" i="160"/>
  <c r="L25" i="160"/>
  <c r="I25" i="160"/>
  <c r="G25" i="160"/>
  <c r="X19" i="160"/>
  <c r="V19" i="160"/>
  <c r="T19" i="160"/>
  <c r="R19" i="160"/>
  <c r="P19" i="160"/>
  <c r="N19" i="160"/>
  <c r="L19" i="160"/>
  <c r="I19" i="160"/>
  <c r="G19" i="160"/>
  <c r="X11" i="160"/>
  <c r="T11" i="160"/>
  <c r="P11" i="160"/>
  <c r="N11" i="160"/>
  <c r="L11" i="160"/>
  <c r="I11" i="160"/>
  <c r="I37" i="160" s="1"/>
  <c r="G11" i="160"/>
  <c r="V10" i="160"/>
  <c r="V11" i="160" s="1"/>
  <c r="R10" i="160"/>
  <c r="R11" i="160" s="1"/>
  <c r="E10" i="160"/>
  <c r="I37" i="159"/>
  <c r="P35" i="159"/>
  <c r="N35" i="159"/>
  <c r="L35" i="159"/>
  <c r="I35" i="159"/>
  <c r="G35" i="159"/>
  <c r="X32" i="159"/>
  <c r="T32" i="159"/>
  <c r="V31" i="159"/>
  <c r="R31" i="159"/>
  <c r="X29" i="159"/>
  <c r="X35" i="159" s="1"/>
  <c r="V29" i="159"/>
  <c r="T29" i="159"/>
  <c r="T35" i="159" s="1"/>
  <c r="R29" i="159"/>
  <c r="X25" i="159"/>
  <c r="V25" i="159"/>
  <c r="T25" i="159"/>
  <c r="R25" i="159"/>
  <c r="P25" i="159"/>
  <c r="N25" i="159"/>
  <c r="L25" i="159"/>
  <c r="I25" i="159"/>
  <c r="G25" i="159"/>
  <c r="X19" i="159"/>
  <c r="V19" i="159"/>
  <c r="T19" i="159"/>
  <c r="R19" i="159"/>
  <c r="P19" i="159"/>
  <c r="N19" i="159"/>
  <c r="L19" i="159"/>
  <c r="I19" i="159"/>
  <c r="G19" i="159"/>
  <c r="X11" i="159"/>
  <c r="T11" i="159"/>
  <c r="P11" i="159"/>
  <c r="N11" i="159"/>
  <c r="L11" i="159"/>
  <c r="I11" i="159"/>
  <c r="G11" i="159"/>
  <c r="V10" i="159"/>
  <c r="V11" i="159" s="1"/>
  <c r="R10" i="159"/>
  <c r="R11" i="159" s="1"/>
  <c r="E10" i="159"/>
  <c r="X35" i="158"/>
  <c r="V35" i="158"/>
  <c r="T35" i="158"/>
  <c r="R35" i="158"/>
  <c r="P35" i="158"/>
  <c r="N35" i="158"/>
  <c r="L35" i="158"/>
  <c r="I35" i="158"/>
  <c r="I37" i="158" s="1"/>
  <c r="G35" i="158"/>
  <c r="X25" i="158"/>
  <c r="V25" i="158"/>
  <c r="T25" i="158"/>
  <c r="R25" i="158"/>
  <c r="P25" i="158"/>
  <c r="N25" i="158"/>
  <c r="L25" i="158"/>
  <c r="I25" i="158"/>
  <c r="G25" i="158"/>
  <c r="X19" i="158"/>
  <c r="V19" i="158"/>
  <c r="T19" i="158"/>
  <c r="R19" i="158"/>
  <c r="P19" i="158"/>
  <c r="N19" i="158"/>
  <c r="L19" i="158"/>
  <c r="I19" i="158"/>
  <c r="G19" i="158"/>
  <c r="X11" i="158"/>
  <c r="V11" i="158"/>
  <c r="T11" i="158"/>
  <c r="R11" i="158"/>
  <c r="P11" i="158"/>
  <c r="N11" i="158"/>
  <c r="L11" i="158"/>
  <c r="I11" i="158"/>
  <c r="G11" i="158"/>
  <c r="E10" i="158"/>
  <c r="L35" i="157"/>
  <c r="I35" i="157"/>
  <c r="G35" i="157"/>
  <c r="T33" i="157"/>
  <c r="X32" i="157"/>
  <c r="T32" i="157"/>
  <c r="P32" i="157"/>
  <c r="P35" i="157" s="1"/>
  <c r="V31" i="157"/>
  <c r="R31" i="157"/>
  <c r="N31" i="157"/>
  <c r="N35" i="157" s="1"/>
  <c r="N37" i="157" s="1"/>
  <c r="X29" i="157"/>
  <c r="X35" i="157" s="1"/>
  <c r="V29" i="157"/>
  <c r="V35" i="157" s="1"/>
  <c r="T29" i="157"/>
  <c r="R29" i="157"/>
  <c r="R35" i="157" s="1"/>
  <c r="X25" i="157"/>
  <c r="V25" i="157"/>
  <c r="T25" i="157"/>
  <c r="R25" i="157"/>
  <c r="P25" i="157"/>
  <c r="N25" i="157"/>
  <c r="L25" i="157"/>
  <c r="I25" i="157"/>
  <c r="G25" i="157"/>
  <c r="X19" i="157"/>
  <c r="V19" i="157"/>
  <c r="T19" i="157"/>
  <c r="R19" i="157"/>
  <c r="P19" i="157"/>
  <c r="N19" i="157"/>
  <c r="L19" i="157"/>
  <c r="I19" i="157"/>
  <c r="G19" i="157"/>
  <c r="X11" i="157"/>
  <c r="T11" i="157"/>
  <c r="P11" i="157"/>
  <c r="N11" i="157"/>
  <c r="L11" i="157"/>
  <c r="I11" i="157"/>
  <c r="G11" i="157"/>
  <c r="V10" i="157"/>
  <c r="V11" i="157" s="1"/>
  <c r="R10" i="157"/>
  <c r="R11" i="157" s="1"/>
  <c r="E10" i="157"/>
  <c r="P35" i="156"/>
  <c r="N35" i="156"/>
  <c r="L35" i="156"/>
  <c r="I35" i="156"/>
  <c r="G35" i="156"/>
  <c r="T33" i="156"/>
  <c r="X32" i="156"/>
  <c r="T32" i="156"/>
  <c r="V31" i="156"/>
  <c r="R31" i="156"/>
  <c r="X29" i="156"/>
  <c r="X35" i="156" s="1"/>
  <c r="V29" i="156"/>
  <c r="T29" i="156"/>
  <c r="R29" i="156"/>
  <c r="X25" i="156"/>
  <c r="V25" i="156"/>
  <c r="T25" i="156"/>
  <c r="R25" i="156"/>
  <c r="P25" i="156"/>
  <c r="N25" i="156"/>
  <c r="L25" i="156"/>
  <c r="I25" i="156"/>
  <c r="G25" i="156"/>
  <c r="X19" i="156"/>
  <c r="V19" i="156"/>
  <c r="T19" i="156"/>
  <c r="R19" i="156"/>
  <c r="P19" i="156"/>
  <c r="N19" i="156"/>
  <c r="L19" i="156"/>
  <c r="I19" i="156"/>
  <c r="G19" i="156"/>
  <c r="X11" i="156"/>
  <c r="T11" i="156"/>
  <c r="P11" i="156"/>
  <c r="N11" i="156"/>
  <c r="L11" i="156"/>
  <c r="I11" i="156"/>
  <c r="G11" i="156"/>
  <c r="V10" i="156"/>
  <c r="V11" i="156" s="1"/>
  <c r="R10" i="156"/>
  <c r="R11" i="156" s="1"/>
  <c r="E10" i="156"/>
  <c r="P35" i="155"/>
  <c r="N35" i="155"/>
  <c r="L35" i="155"/>
  <c r="I35" i="155"/>
  <c r="G35" i="155"/>
  <c r="T33" i="155"/>
  <c r="X32" i="155"/>
  <c r="T32" i="155"/>
  <c r="V31" i="155"/>
  <c r="R31" i="155"/>
  <c r="X29" i="155"/>
  <c r="X35" i="155" s="1"/>
  <c r="V29" i="155"/>
  <c r="T29" i="155"/>
  <c r="R29" i="155"/>
  <c r="R35" i="155" s="1"/>
  <c r="X25" i="155"/>
  <c r="V25" i="155"/>
  <c r="T25" i="155"/>
  <c r="R25" i="155"/>
  <c r="P25" i="155"/>
  <c r="N25" i="155"/>
  <c r="L25" i="155"/>
  <c r="I25" i="155"/>
  <c r="G25" i="155"/>
  <c r="X19" i="155"/>
  <c r="V19" i="155"/>
  <c r="T19" i="155"/>
  <c r="R19" i="155"/>
  <c r="P19" i="155"/>
  <c r="N19" i="155"/>
  <c r="L19" i="155"/>
  <c r="I19" i="155"/>
  <c r="G19" i="155"/>
  <c r="X11" i="155"/>
  <c r="T11" i="155"/>
  <c r="P11" i="155"/>
  <c r="N11" i="155"/>
  <c r="L11" i="155"/>
  <c r="I11" i="155"/>
  <c r="G11" i="155"/>
  <c r="V10" i="155"/>
  <c r="V11" i="155" s="1"/>
  <c r="R10" i="155"/>
  <c r="R11" i="155" s="1"/>
  <c r="E10" i="155"/>
  <c r="P35" i="154"/>
  <c r="N35" i="154"/>
  <c r="L35" i="154"/>
  <c r="I35" i="154"/>
  <c r="G35" i="154"/>
  <c r="T33" i="154"/>
  <c r="X32" i="154"/>
  <c r="T32" i="154"/>
  <c r="V31" i="154"/>
  <c r="R31" i="154"/>
  <c r="X29" i="154"/>
  <c r="X35" i="154" s="1"/>
  <c r="V29" i="154"/>
  <c r="T29" i="154"/>
  <c r="R29" i="154"/>
  <c r="R35" i="154" s="1"/>
  <c r="X25" i="154"/>
  <c r="V25" i="154"/>
  <c r="T25" i="154"/>
  <c r="R25" i="154"/>
  <c r="P25" i="154"/>
  <c r="N25" i="154"/>
  <c r="L25" i="154"/>
  <c r="I25" i="154"/>
  <c r="G25" i="154"/>
  <c r="X19" i="154"/>
  <c r="V19" i="154"/>
  <c r="T19" i="154"/>
  <c r="R19" i="154"/>
  <c r="P19" i="154"/>
  <c r="N19" i="154"/>
  <c r="L19" i="154"/>
  <c r="I19" i="154"/>
  <c r="G19" i="154"/>
  <c r="X11" i="154"/>
  <c r="T11" i="154"/>
  <c r="P11" i="154"/>
  <c r="N11" i="154"/>
  <c r="L11" i="154"/>
  <c r="I11" i="154"/>
  <c r="G11" i="154"/>
  <c r="V10" i="154"/>
  <c r="V11" i="154" s="1"/>
  <c r="R10" i="154"/>
  <c r="R11" i="154" s="1"/>
  <c r="E10" i="154"/>
  <c r="P35" i="153"/>
  <c r="P37" i="153" s="1"/>
  <c r="N35" i="153"/>
  <c r="L35" i="153"/>
  <c r="I35" i="153"/>
  <c r="G35" i="153"/>
  <c r="T33" i="153"/>
  <c r="X32" i="153"/>
  <c r="T32" i="153"/>
  <c r="V31" i="153"/>
  <c r="R31" i="153"/>
  <c r="X29" i="153"/>
  <c r="X35" i="153" s="1"/>
  <c r="V29" i="153"/>
  <c r="T29" i="153"/>
  <c r="R29" i="153"/>
  <c r="X25" i="153"/>
  <c r="V25" i="153"/>
  <c r="T25" i="153"/>
  <c r="R25" i="153"/>
  <c r="P25" i="153"/>
  <c r="N25" i="153"/>
  <c r="L25" i="153"/>
  <c r="I25" i="153"/>
  <c r="G25" i="153"/>
  <c r="X19" i="153"/>
  <c r="V19" i="153"/>
  <c r="T19" i="153"/>
  <c r="R19" i="153"/>
  <c r="P19" i="153"/>
  <c r="N19" i="153"/>
  <c r="L19" i="153"/>
  <c r="I19" i="153"/>
  <c r="G19" i="153"/>
  <c r="X11" i="153"/>
  <c r="T11" i="153"/>
  <c r="P11" i="153"/>
  <c r="N11" i="153"/>
  <c r="L11" i="153"/>
  <c r="I11" i="153"/>
  <c r="G11" i="153"/>
  <c r="V10" i="153"/>
  <c r="V11" i="153" s="1"/>
  <c r="R10" i="153"/>
  <c r="R11" i="153" s="1"/>
  <c r="E10" i="153"/>
  <c r="P35" i="152"/>
  <c r="N35" i="152"/>
  <c r="L35" i="152"/>
  <c r="I35" i="152"/>
  <c r="G35" i="152"/>
  <c r="T33" i="152"/>
  <c r="X32" i="152"/>
  <c r="T32" i="152"/>
  <c r="V31" i="152"/>
  <c r="R31" i="152"/>
  <c r="X29" i="152"/>
  <c r="V29" i="152"/>
  <c r="V35" i="152" s="1"/>
  <c r="T29" i="152"/>
  <c r="R29" i="152"/>
  <c r="X25" i="152"/>
  <c r="V25" i="152"/>
  <c r="T25" i="152"/>
  <c r="R25" i="152"/>
  <c r="P25" i="152"/>
  <c r="N25" i="152"/>
  <c r="L25" i="152"/>
  <c r="I25" i="152"/>
  <c r="G25" i="152"/>
  <c r="X19" i="152"/>
  <c r="V19" i="152"/>
  <c r="T19" i="152"/>
  <c r="R19" i="152"/>
  <c r="P19" i="152"/>
  <c r="N19" i="152"/>
  <c r="L19" i="152"/>
  <c r="I19" i="152"/>
  <c r="G19" i="152"/>
  <c r="X11" i="152"/>
  <c r="T11" i="152"/>
  <c r="P11" i="152"/>
  <c r="N11" i="152"/>
  <c r="L11" i="152"/>
  <c r="I11" i="152"/>
  <c r="G11" i="152"/>
  <c r="V10" i="152"/>
  <c r="V11" i="152" s="1"/>
  <c r="R10" i="152"/>
  <c r="R11" i="152" s="1"/>
  <c r="E10" i="152"/>
  <c r="P35" i="151"/>
  <c r="N35" i="151"/>
  <c r="L35" i="151"/>
  <c r="I35" i="151"/>
  <c r="G35" i="151"/>
  <c r="G37" i="151" s="1"/>
  <c r="T33" i="151"/>
  <c r="X32" i="151"/>
  <c r="T32" i="151"/>
  <c r="V31" i="151"/>
  <c r="R31" i="151"/>
  <c r="X29" i="151"/>
  <c r="X35" i="151" s="1"/>
  <c r="V29" i="151"/>
  <c r="T29" i="151"/>
  <c r="R29" i="151"/>
  <c r="R35" i="151" s="1"/>
  <c r="X25" i="151"/>
  <c r="V25" i="151"/>
  <c r="T25" i="151"/>
  <c r="R25" i="151"/>
  <c r="P25" i="151"/>
  <c r="N25" i="151"/>
  <c r="L25" i="151"/>
  <c r="I25" i="151"/>
  <c r="G25" i="151"/>
  <c r="X19" i="151"/>
  <c r="V19" i="151"/>
  <c r="T19" i="151"/>
  <c r="R19" i="151"/>
  <c r="P19" i="151"/>
  <c r="N19" i="151"/>
  <c r="N37" i="151" s="1"/>
  <c r="L19" i="151"/>
  <c r="I19" i="151"/>
  <c r="G19" i="151"/>
  <c r="X11" i="151"/>
  <c r="T11" i="151"/>
  <c r="P11" i="151"/>
  <c r="N11" i="151"/>
  <c r="L11" i="151"/>
  <c r="I11" i="151"/>
  <c r="G11" i="151"/>
  <c r="V10" i="151"/>
  <c r="V11" i="151" s="1"/>
  <c r="R10" i="151"/>
  <c r="R11" i="151" s="1"/>
  <c r="E10" i="151"/>
  <c r="P35" i="150"/>
  <c r="N35" i="150"/>
  <c r="L35" i="150"/>
  <c r="I35" i="150"/>
  <c r="G35" i="150"/>
  <c r="T33" i="150"/>
  <c r="X32" i="150"/>
  <c r="T32" i="150"/>
  <c r="V31" i="150"/>
  <c r="R31" i="150"/>
  <c r="X29" i="150"/>
  <c r="X35" i="150" s="1"/>
  <c r="V29" i="150"/>
  <c r="V35" i="150" s="1"/>
  <c r="T29" i="150"/>
  <c r="R29" i="150"/>
  <c r="X25" i="150"/>
  <c r="V25" i="150"/>
  <c r="T25" i="150"/>
  <c r="R25" i="150"/>
  <c r="P25" i="150"/>
  <c r="N25" i="150"/>
  <c r="L25" i="150"/>
  <c r="I25" i="150"/>
  <c r="G25" i="150"/>
  <c r="X19" i="150"/>
  <c r="V19" i="150"/>
  <c r="T19" i="150"/>
  <c r="R19" i="150"/>
  <c r="P19" i="150"/>
  <c r="N19" i="150"/>
  <c r="L19" i="150"/>
  <c r="I19" i="150"/>
  <c r="G19" i="150"/>
  <c r="X11" i="150"/>
  <c r="T11" i="150"/>
  <c r="P11" i="150"/>
  <c r="N11" i="150"/>
  <c r="L11" i="150"/>
  <c r="I11" i="150"/>
  <c r="G11" i="150"/>
  <c r="V10" i="150"/>
  <c r="V11" i="150" s="1"/>
  <c r="R10" i="150"/>
  <c r="R11" i="150" s="1"/>
  <c r="E10" i="150"/>
  <c r="P35" i="149"/>
  <c r="P37" i="149" s="1"/>
  <c r="N35" i="149"/>
  <c r="L35" i="149"/>
  <c r="I35" i="149"/>
  <c r="G35" i="149"/>
  <c r="T33" i="149"/>
  <c r="X32" i="149"/>
  <c r="T32" i="149"/>
  <c r="V31" i="149"/>
  <c r="R31" i="149"/>
  <c r="X29" i="149"/>
  <c r="X35" i="149" s="1"/>
  <c r="V29" i="149"/>
  <c r="T29" i="149"/>
  <c r="R29" i="149"/>
  <c r="X25" i="149"/>
  <c r="V25" i="149"/>
  <c r="T25" i="149"/>
  <c r="R25" i="149"/>
  <c r="P25" i="149"/>
  <c r="N25" i="149"/>
  <c r="L25" i="149"/>
  <c r="I25" i="149"/>
  <c r="G25" i="149"/>
  <c r="X19" i="149"/>
  <c r="V19" i="149"/>
  <c r="T19" i="149"/>
  <c r="R19" i="149"/>
  <c r="P19" i="149"/>
  <c r="N19" i="149"/>
  <c r="L19" i="149"/>
  <c r="I19" i="149"/>
  <c r="G19" i="149"/>
  <c r="X11" i="149"/>
  <c r="T11" i="149"/>
  <c r="P11" i="149"/>
  <c r="N11" i="149"/>
  <c r="L11" i="149"/>
  <c r="I11" i="149"/>
  <c r="G11" i="149"/>
  <c r="V10" i="149"/>
  <c r="V11" i="149" s="1"/>
  <c r="R10" i="149"/>
  <c r="R11" i="149" s="1"/>
  <c r="E10" i="149"/>
  <c r="P35" i="148"/>
  <c r="N35" i="148"/>
  <c r="L35" i="148"/>
  <c r="I35" i="148"/>
  <c r="G35" i="148"/>
  <c r="T33" i="148"/>
  <c r="X32" i="148"/>
  <c r="T32" i="148"/>
  <c r="V31" i="148"/>
  <c r="R31" i="148"/>
  <c r="X29" i="148"/>
  <c r="V29" i="148"/>
  <c r="V35" i="148" s="1"/>
  <c r="T29" i="148"/>
  <c r="R29" i="148"/>
  <c r="X25" i="148"/>
  <c r="V25" i="148"/>
  <c r="T25" i="148"/>
  <c r="R25" i="148"/>
  <c r="P25" i="148"/>
  <c r="N25" i="148"/>
  <c r="L25" i="148"/>
  <c r="I25" i="148"/>
  <c r="G25" i="148"/>
  <c r="X19" i="148"/>
  <c r="V19" i="148"/>
  <c r="T19" i="148"/>
  <c r="R19" i="148"/>
  <c r="P19" i="148"/>
  <c r="N19" i="148"/>
  <c r="L19" i="148"/>
  <c r="I19" i="148"/>
  <c r="G19" i="148"/>
  <c r="X11" i="148"/>
  <c r="T11" i="148"/>
  <c r="P11" i="148"/>
  <c r="N11" i="148"/>
  <c r="L11" i="148"/>
  <c r="I11" i="148"/>
  <c r="G11" i="148"/>
  <c r="V10" i="148"/>
  <c r="V11" i="148" s="1"/>
  <c r="R10" i="148"/>
  <c r="R11" i="148" s="1"/>
  <c r="E10" i="148"/>
  <c r="P35" i="147"/>
  <c r="N35" i="147"/>
  <c r="L35" i="147"/>
  <c r="I35" i="147"/>
  <c r="G35" i="147"/>
  <c r="X32" i="147"/>
  <c r="T32" i="147"/>
  <c r="V31" i="147"/>
  <c r="R31" i="147"/>
  <c r="X29" i="147"/>
  <c r="X35" i="147" s="1"/>
  <c r="V29" i="147"/>
  <c r="T29" i="147"/>
  <c r="T35" i="147" s="1"/>
  <c r="R29" i="147"/>
  <c r="R35" i="147" s="1"/>
  <c r="X25" i="147"/>
  <c r="V25" i="147"/>
  <c r="T25" i="147"/>
  <c r="R25" i="147"/>
  <c r="P25" i="147"/>
  <c r="N25" i="147"/>
  <c r="L25" i="147"/>
  <c r="I25" i="147"/>
  <c r="G25" i="147"/>
  <c r="X19" i="147"/>
  <c r="V19" i="147"/>
  <c r="T19" i="147"/>
  <c r="R19" i="147"/>
  <c r="P19" i="147"/>
  <c r="N19" i="147"/>
  <c r="L19" i="147"/>
  <c r="I19" i="147"/>
  <c r="G19" i="147"/>
  <c r="X11" i="147"/>
  <c r="T11" i="147"/>
  <c r="P11" i="147"/>
  <c r="N11" i="147"/>
  <c r="L11" i="147"/>
  <c r="I11" i="147"/>
  <c r="G11" i="147"/>
  <c r="V10" i="147"/>
  <c r="V11" i="147" s="1"/>
  <c r="R10" i="147"/>
  <c r="R11" i="147" s="1"/>
  <c r="E10" i="147"/>
  <c r="P35" i="146"/>
  <c r="N35" i="146"/>
  <c r="L35" i="146"/>
  <c r="I35" i="146"/>
  <c r="G35" i="146"/>
  <c r="X32" i="146"/>
  <c r="T32" i="146"/>
  <c r="V31" i="146"/>
  <c r="R31" i="146"/>
  <c r="X29" i="146"/>
  <c r="X35" i="146" s="1"/>
  <c r="V29" i="146"/>
  <c r="V35" i="146" s="1"/>
  <c r="T29" i="146"/>
  <c r="R29" i="146"/>
  <c r="R35" i="146" s="1"/>
  <c r="X25" i="146"/>
  <c r="V25" i="146"/>
  <c r="T25" i="146"/>
  <c r="R25" i="146"/>
  <c r="P25" i="146"/>
  <c r="N25" i="146"/>
  <c r="L25" i="146"/>
  <c r="I25" i="146"/>
  <c r="G25" i="146"/>
  <c r="X19" i="146"/>
  <c r="V19" i="146"/>
  <c r="T19" i="146"/>
  <c r="R19" i="146"/>
  <c r="P19" i="146"/>
  <c r="N19" i="146"/>
  <c r="L19" i="146"/>
  <c r="I19" i="146"/>
  <c r="G19" i="146"/>
  <c r="X11" i="146"/>
  <c r="T11" i="146"/>
  <c r="P11" i="146"/>
  <c r="N11" i="146"/>
  <c r="L11" i="146"/>
  <c r="I11" i="146"/>
  <c r="G11" i="146"/>
  <c r="V10" i="146"/>
  <c r="V11" i="146" s="1"/>
  <c r="R10" i="146"/>
  <c r="R11" i="146" s="1"/>
  <c r="E10" i="146"/>
  <c r="X35" i="145"/>
  <c r="V35" i="145"/>
  <c r="T35" i="145"/>
  <c r="R35" i="145"/>
  <c r="P35" i="145"/>
  <c r="N35" i="145"/>
  <c r="L35" i="145"/>
  <c r="I35" i="145"/>
  <c r="G35" i="145"/>
  <c r="X25" i="145"/>
  <c r="V25" i="145"/>
  <c r="T25" i="145"/>
  <c r="R25" i="145"/>
  <c r="P25" i="145"/>
  <c r="N25" i="145"/>
  <c r="L25" i="145"/>
  <c r="I25" i="145"/>
  <c r="G25" i="145"/>
  <c r="X19" i="145"/>
  <c r="V19" i="145"/>
  <c r="T19" i="145"/>
  <c r="R19" i="145"/>
  <c r="P19" i="145"/>
  <c r="N19" i="145"/>
  <c r="L19" i="145"/>
  <c r="I19" i="145"/>
  <c r="G19" i="145"/>
  <c r="X11" i="145"/>
  <c r="V11" i="145"/>
  <c r="T11" i="145"/>
  <c r="R11" i="145"/>
  <c r="P11" i="145"/>
  <c r="N11" i="145"/>
  <c r="L11" i="145"/>
  <c r="I11" i="145"/>
  <c r="G11" i="145"/>
  <c r="E10" i="145"/>
  <c r="P35" i="144"/>
  <c r="N35" i="144"/>
  <c r="L35" i="144"/>
  <c r="I35" i="144"/>
  <c r="G35" i="144"/>
  <c r="X32" i="144"/>
  <c r="T32" i="144"/>
  <c r="V31" i="144"/>
  <c r="R31" i="144"/>
  <c r="X29" i="144"/>
  <c r="X35" i="144" s="1"/>
  <c r="V29" i="144"/>
  <c r="V35" i="144" s="1"/>
  <c r="T29" i="144"/>
  <c r="R29" i="144"/>
  <c r="R35" i="144" s="1"/>
  <c r="X25" i="144"/>
  <c r="V25" i="144"/>
  <c r="T25" i="144"/>
  <c r="R25" i="144"/>
  <c r="P25" i="144"/>
  <c r="N25" i="144"/>
  <c r="L25" i="144"/>
  <c r="I25" i="144"/>
  <c r="G25" i="144"/>
  <c r="X19" i="144"/>
  <c r="V19" i="144"/>
  <c r="T19" i="144"/>
  <c r="R19" i="144"/>
  <c r="P19" i="144"/>
  <c r="N19" i="144"/>
  <c r="L19" i="144"/>
  <c r="I19" i="144"/>
  <c r="G19" i="144"/>
  <c r="X11" i="144"/>
  <c r="T11" i="144"/>
  <c r="P11" i="144"/>
  <c r="N11" i="144"/>
  <c r="L11" i="144"/>
  <c r="I11" i="144"/>
  <c r="G11" i="144"/>
  <c r="V10" i="144"/>
  <c r="V11" i="144" s="1"/>
  <c r="R10" i="144"/>
  <c r="R11" i="144" s="1"/>
  <c r="E10" i="144"/>
  <c r="P35" i="143"/>
  <c r="N35" i="143"/>
  <c r="L35" i="143"/>
  <c r="I35" i="143"/>
  <c r="G35" i="143"/>
  <c r="X32" i="143"/>
  <c r="T32" i="143"/>
  <c r="V31" i="143"/>
  <c r="R31" i="143"/>
  <c r="X29" i="143"/>
  <c r="X35" i="143" s="1"/>
  <c r="V29" i="143"/>
  <c r="V35" i="143" s="1"/>
  <c r="T29" i="143"/>
  <c r="R29" i="143"/>
  <c r="R35" i="143" s="1"/>
  <c r="X25" i="143"/>
  <c r="V25" i="143"/>
  <c r="T25" i="143"/>
  <c r="R25" i="143"/>
  <c r="P25" i="143"/>
  <c r="N25" i="143"/>
  <c r="L25" i="143"/>
  <c r="I25" i="143"/>
  <c r="G25" i="143"/>
  <c r="X19" i="143"/>
  <c r="V19" i="143"/>
  <c r="T19" i="143"/>
  <c r="R19" i="143"/>
  <c r="P19" i="143"/>
  <c r="N19" i="143"/>
  <c r="L19" i="143"/>
  <c r="I19" i="143"/>
  <c r="G19" i="143"/>
  <c r="X11" i="143"/>
  <c r="T11" i="143"/>
  <c r="R11" i="143"/>
  <c r="P11" i="143"/>
  <c r="N11" i="143"/>
  <c r="L11" i="143"/>
  <c r="I11" i="143"/>
  <c r="I37" i="143" s="1"/>
  <c r="G11" i="143"/>
  <c r="V10" i="143"/>
  <c r="V11" i="143" s="1"/>
  <c r="R10" i="143"/>
  <c r="E10" i="143"/>
  <c r="I37" i="142"/>
  <c r="P35" i="142"/>
  <c r="N35" i="142"/>
  <c r="L35" i="142"/>
  <c r="I35" i="142"/>
  <c r="G35" i="142"/>
  <c r="X32" i="142"/>
  <c r="T32" i="142"/>
  <c r="V31" i="142"/>
  <c r="R31" i="142"/>
  <c r="X29" i="142"/>
  <c r="X35" i="142" s="1"/>
  <c r="V29" i="142"/>
  <c r="T29" i="142"/>
  <c r="R29" i="142"/>
  <c r="R35" i="142" s="1"/>
  <c r="X25" i="142"/>
  <c r="V25" i="142"/>
  <c r="T25" i="142"/>
  <c r="R25" i="142"/>
  <c r="P25" i="142"/>
  <c r="N25" i="142"/>
  <c r="L25" i="142"/>
  <c r="I25" i="142"/>
  <c r="G25" i="142"/>
  <c r="X19" i="142"/>
  <c r="V19" i="142"/>
  <c r="T19" i="142"/>
  <c r="R19" i="142"/>
  <c r="P19" i="142"/>
  <c r="N19" i="142"/>
  <c r="L19" i="142"/>
  <c r="I19" i="142"/>
  <c r="G19" i="142"/>
  <c r="X11" i="142"/>
  <c r="T11" i="142"/>
  <c r="P11" i="142"/>
  <c r="N11" i="142"/>
  <c r="L11" i="142"/>
  <c r="I11" i="142"/>
  <c r="G11" i="142"/>
  <c r="V10" i="142"/>
  <c r="V11" i="142" s="1"/>
  <c r="R10" i="142"/>
  <c r="R11" i="142" s="1"/>
  <c r="E10" i="142"/>
  <c r="P35" i="141"/>
  <c r="N35" i="141"/>
  <c r="L35" i="141"/>
  <c r="I35" i="141"/>
  <c r="G35" i="141"/>
  <c r="X32" i="141"/>
  <c r="T32" i="141"/>
  <c r="V31" i="141"/>
  <c r="R31" i="141"/>
  <c r="X29" i="141"/>
  <c r="V29" i="141"/>
  <c r="T29" i="141"/>
  <c r="R29" i="141"/>
  <c r="R35" i="141" s="1"/>
  <c r="X25" i="141"/>
  <c r="V25" i="141"/>
  <c r="T25" i="141"/>
  <c r="R25" i="141"/>
  <c r="P25" i="141"/>
  <c r="N25" i="141"/>
  <c r="L25" i="141"/>
  <c r="I25" i="141"/>
  <c r="G25" i="141"/>
  <c r="X19" i="141"/>
  <c r="V19" i="141"/>
  <c r="T19" i="141"/>
  <c r="R19" i="141"/>
  <c r="P19" i="141"/>
  <c r="N19" i="141"/>
  <c r="L19" i="141"/>
  <c r="I19" i="141"/>
  <c r="G19" i="141"/>
  <c r="X11" i="141"/>
  <c r="T11" i="141"/>
  <c r="P11" i="141"/>
  <c r="N11" i="141"/>
  <c r="L11" i="141"/>
  <c r="I11" i="141"/>
  <c r="G11" i="141"/>
  <c r="V10" i="141"/>
  <c r="V11" i="141" s="1"/>
  <c r="R10" i="141"/>
  <c r="R11" i="141" s="1"/>
  <c r="E10" i="141"/>
  <c r="P35" i="140"/>
  <c r="P37" i="140" s="1"/>
  <c r="N35" i="140"/>
  <c r="L35" i="140"/>
  <c r="I35" i="140"/>
  <c r="G35" i="140"/>
  <c r="G37" i="140" s="1"/>
  <c r="X32" i="140"/>
  <c r="T32" i="140"/>
  <c r="V31" i="140"/>
  <c r="R31" i="140"/>
  <c r="X29" i="140"/>
  <c r="X35" i="140" s="1"/>
  <c r="V29" i="140"/>
  <c r="T29" i="140"/>
  <c r="R29" i="140"/>
  <c r="R35" i="140" s="1"/>
  <c r="R37" i="140" s="1"/>
  <c r="X25" i="140"/>
  <c r="V25" i="140"/>
  <c r="T25" i="140"/>
  <c r="R25" i="140"/>
  <c r="P25" i="140"/>
  <c r="N25" i="140"/>
  <c r="L25" i="140"/>
  <c r="I25" i="140"/>
  <c r="G25" i="140"/>
  <c r="X19" i="140"/>
  <c r="V19" i="140"/>
  <c r="T19" i="140"/>
  <c r="R19" i="140"/>
  <c r="P19" i="140"/>
  <c r="N19" i="140"/>
  <c r="L19" i="140"/>
  <c r="I19" i="140"/>
  <c r="G19" i="140"/>
  <c r="X11" i="140"/>
  <c r="T11" i="140"/>
  <c r="P11" i="140"/>
  <c r="N11" i="140"/>
  <c r="L11" i="140"/>
  <c r="I11" i="140"/>
  <c r="G11" i="140"/>
  <c r="V10" i="140"/>
  <c r="V11" i="140" s="1"/>
  <c r="R10" i="140"/>
  <c r="R11" i="140" s="1"/>
  <c r="E10" i="140"/>
  <c r="P35" i="139"/>
  <c r="N35" i="139"/>
  <c r="L35" i="139"/>
  <c r="I35" i="139"/>
  <c r="G35" i="139"/>
  <c r="X32" i="139"/>
  <c r="T32" i="139"/>
  <c r="V31" i="139"/>
  <c r="R31" i="139"/>
  <c r="X29" i="139"/>
  <c r="X35" i="139" s="1"/>
  <c r="V29" i="139"/>
  <c r="V35" i="139" s="1"/>
  <c r="T29" i="139"/>
  <c r="T35" i="139" s="1"/>
  <c r="R29" i="139"/>
  <c r="R35" i="139" s="1"/>
  <c r="X25" i="139"/>
  <c r="V25" i="139"/>
  <c r="T25" i="139"/>
  <c r="R25" i="139"/>
  <c r="P25" i="139"/>
  <c r="N25" i="139"/>
  <c r="L25" i="139"/>
  <c r="I25" i="139"/>
  <c r="G25" i="139"/>
  <c r="X19" i="139"/>
  <c r="V19" i="139"/>
  <c r="T19" i="139"/>
  <c r="R19" i="139"/>
  <c r="P19" i="139"/>
  <c r="N19" i="139"/>
  <c r="L19" i="139"/>
  <c r="I19" i="139"/>
  <c r="G19" i="139"/>
  <c r="X11" i="139"/>
  <c r="T11" i="139"/>
  <c r="P11" i="139"/>
  <c r="N11" i="139"/>
  <c r="L11" i="139"/>
  <c r="I11" i="139"/>
  <c r="G11" i="139"/>
  <c r="V10" i="139"/>
  <c r="V11" i="139" s="1"/>
  <c r="R10" i="139"/>
  <c r="R11" i="139" s="1"/>
  <c r="E10" i="139"/>
  <c r="P35" i="138"/>
  <c r="N35" i="138"/>
  <c r="L35" i="138"/>
  <c r="I35" i="138"/>
  <c r="G35" i="138"/>
  <c r="X32" i="138"/>
  <c r="T32" i="138"/>
  <c r="V31" i="138"/>
  <c r="R31" i="138"/>
  <c r="X29" i="138"/>
  <c r="X35" i="138" s="1"/>
  <c r="V29" i="138"/>
  <c r="V35" i="138" s="1"/>
  <c r="T29" i="138"/>
  <c r="T35" i="138" s="1"/>
  <c r="R29" i="138"/>
  <c r="X25" i="138"/>
  <c r="V25" i="138"/>
  <c r="T25" i="138"/>
  <c r="R25" i="138"/>
  <c r="P25" i="138"/>
  <c r="N25" i="138"/>
  <c r="L25" i="138"/>
  <c r="I25" i="138"/>
  <c r="G25" i="138"/>
  <c r="X19" i="138"/>
  <c r="V19" i="138"/>
  <c r="T19" i="138"/>
  <c r="R19" i="138"/>
  <c r="P19" i="138"/>
  <c r="N19" i="138"/>
  <c r="L19" i="138"/>
  <c r="I19" i="138"/>
  <c r="G19" i="138"/>
  <c r="X11" i="138"/>
  <c r="T11" i="138"/>
  <c r="R11" i="138"/>
  <c r="P11" i="138"/>
  <c r="N11" i="138"/>
  <c r="L11" i="138"/>
  <c r="I11" i="138"/>
  <c r="G11" i="138"/>
  <c r="V10" i="138"/>
  <c r="V11" i="138" s="1"/>
  <c r="R10" i="138"/>
  <c r="E10" i="138"/>
  <c r="P35" i="137"/>
  <c r="N35" i="137"/>
  <c r="L35" i="137"/>
  <c r="I35" i="137"/>
  <c r="G35" i="137"/>
  <c r="X32" i="137"/>
  <c r="T32" i="137"/>
  <c r="T35" i="137" s="1"/>
  <c r="V31" i="137"/>
  <c r="R31" i="137"/>
  <c r="X29" i="137"/>
  <c r="X35" i="137" s="1"/>
  <c r="V29" i="137"/>
  <c r="T29" i="137"/>
  <c r="R29" i="137"/>
  <c r="R35" i="137" s="1"/>
  <c r="X25" i="137"/>
  <c r="V25" i="137"/>
  <c r="T25" i="137"/>
  <c r="R25" i="137"/>
  <c r="P25" i="137"/>
  <c r="N25" i="137"/>
  <c r="L25" i="137"/>
  <c r="I25" i="137"/>
  <c r="G25" i="137"/>
  <c r="X19" i="137"/>
  <c r="V19" i="137"/>
  <c r="T19" i="137"/>
  <c r="R19" i="137"/>
  <c r="P19" i="137"/>
  <c r="N19" i="137"/>
  <c r="L19" i="137"/>
  <c r="I19" i="137"/>
  <c r="G19" i="137"/>
  <c r="X11" i="137"/>
  <c r="T11" i="137"/>
  <c r="P11" i="137"/>
  <c r="N11" i="137"/>
  <c r="L11" i="137"/>
  <c r="I11" i="137"/>
  <c r="G11" i="137"/>
  <c r="V10" i="137"/>
  <c r="V11" i="137" s="1"/>
  <c r="R10" i="137"/>
  <c r="R11" i="137" s="1"/>
  <c r="R37" i="137" s="1"/>
  <c r="E10" i="137"/>
  <c r="P35" i="136"/>
  <c r="N35" i="136"/>
  <c r="L35" i="136"/>
  <c r="I35" i="136"/>
  <c r="G35" i="136"/>
  <c r="X32" i="136"/>
  <c r="T32" i="136"/>
  <c r="V31" i="136"/>
  <c r="R31" i="136"/>
  <c r="X29" i="136"/>
  <c r="V29" i="136"/>
  <c r="T29" i="136"/>
  <c r="R29" i="136"/>
  <c r="R35" i="136" s="1"/>
  <c r="X25" i="136"/>
  <c r="V25" i="136"/>
  <c r="T25" i="136"/>
  <c r="R25" i="136"/>
  <c r="P25" i="136"/>
  <c r="N25" i="136"/>
  <c r="L25" i="136"/>
  <c r="I25" i="136"/>
  <c r="G25" i="136"/>
  <c r="X19" i="136"/>
  <c r="V19" i="136"/>
  <c r="T19" i="136"/>
  <c r="R19" i="136"/>
  <c r="P19" i="136"/>
  <c r="N19" i="136"/>
  <c r="L19" i="136"/>
  <c r="I19" i="136"/>
  <c r="G19" i="136"/>
  <c r="X11" i="136"/>
  <c r="T11" i="136"/>
  <c r="P11" i="136"/>
  <c r="N11" i="136"/>
  <c r="L11" i="136"/>
  <c r="I11" i="136"/>
  <c r="G11" i="136"/>
  <c r="V10" i="136"/>
  <c r="V11" i="136" s="1"/>
  <c r="R10" i="136"/>
  <c r="R11" i="136" s="1"/>
  <c r="E10" i="136"/>
  <c r="P35" i="135"/>
  <c r="N35" i="135"/>
  <c r="L35" i="135"/>
  <c r="I35" i="135"/>
  <c r="G35" i="135"/>
  <c r="X32" i="135"/>
  <c r="T32" i="135"/>
  <c r="V31" i="135"/>
  <c r="R31" i="135"/>
  <c r="X29" i="135"/>
  <c r="X35" i="135" s="1"/>
  <c r="V29" i="135"/>
  <c r="V35" i="135" s="1"/>
  <c r="T29" i="135"/>
  <c r="T35" i="135" s="1"/>
  <c r="R29" i="135"/>
  <c r="R35" i="135" s="1"/>
  <c r="X25" i="135"/>
  <c r="V25" i="135"/>
  <c r="T25" i="135"/>
  <c r="R25" i="135"/>
  <c r="P25" i="135"/>
  <c r="N25" i="135"/>
  <c r="L25" i="135"/>
  <c r="I25" i="135"/>
  <c r="G25" i="135"/>
  <c r="X19" i="135"/>
  <c r="V19" i="135"/>
  <c r="T19" i="135"/>
  <c r="R19" i="135"/>
  <c r="P19" i="135"/>
  <c r="N19" i="135"/>
  <c r="L19" i="135"/>
  <c r="I19" i="135"/>
  <c r="G19" i="135"/>
  <c r="X11" i="135"/>
  <c r="V11" i="135"/>
  <c r="T11" i="135"/>
  <c r="P11" i="135"/>
  <c r="N11" i="135"/>
  <c r="L11" i="135"/>
  <c r="I11" i="135"/>
  <c r="G11" i="135"/>
  <c r="R10" i="135"/>
  <c r="R11" i="135" s="1"/>
  <c r="E10" i="135"/>
  <c r="P35" i="134"/>
  <c r="N35" i="134"/>
  <c r="L35" i="134"/>
  <c r="L37" i="134" s="1"/>
  <c r="I35" i="134"/>
  <c r="G35" i="134"/>
  <c r="X32" i="134"/>
  <c r="T32" i="134"/>
  <c r="V31" i="134"/>
  <c r="R31" i="134"/>
  <c r="X29" i="134"/>
  <c r="X35" i="134" s="1"/>
  <c r="V29" i="134"/>
  <c r="V35" i="134" s="1"/>
  <c r="T29" i="134"/>
  <c r="R29" i="134"/>
  <c r="R35" i="134" s="1"/>
  <c r="X25" i="134"/>
  <c r="V25" i="134"/>
  <c r="T25" i="134"/>
  <c r="R25" i="134"/>
  <c r="P25" i="134"/>
  <c r="N25" i="134"/>
  <c r="L25" i="134"/>
  <c r="I25" i="134"/>
  <c r="G25" i="134"/>
  <c r="X19" i="134"/>
  <c r="V19" i="134"/>
  <c r="T19" i="134"/>
  <c r="R19" i="134"/>
  <c r="P19" i="134"/>
  <c r="N19" i="134"/>
  <c r="L19" i="134"/>
  <c r="I19" i="134"/>
  <c r="G19" i="134"/>
  <c r="X11" i="134"/>
  <c r="V11" i="134"/>
  <c r="T11" i="134"/>
  <c r="P11" i="134"/>
  <c r="P37" i="134" s="1"/>
  <c r="N11" i="134"/>
  <c r="L11" i="134"/>
  <c r="I11" i="134"/>
  <c r="G11" i="134"/>
  <c r="G37" i="134" s="1"/>
  <c r="R10" i="134"/>
  <c r="R11" i="134" s="1"/>
  <c r="E10" i="134"/>
  <c r="X35" i="133"/>
  <c r="V35" i="133"/>
  <c r="T35" i="133"/>
  <c r="R35" i="133"/>
  <c r="P35" i="133"/>
  <c r="N35" i="133"/>
  <c r="L35" i="133"/>
  <c r="I35" i="133"/>
  <c r="G35" i="133"/>
  <c r="X25" i="133"/>
  <c r="V25" i="133"/>
  <c r="T25" i="133"/>
  <c r="R25" i="133"/>
  <c r="P25" i="133"/>
  <c r="N25" i="133"/>
  <c r="L25" i="133"/>
  <c r="I25" i="133"/>
  <c r="G25" i="133"/>
  <c r="X19" i="133"/>
  <c r="V19" i="133"/>
  <c r="T19" i="133"/>
  <c r="R19" i="133"/>
  <c r="P19" i="133"/>
  <c r="N19" i="133"/>
  <c r="L19" i="133"/>
  <c r="I19" i="133"/>
  <c r="G19" i="133"/>
  <c r="X11" i="133"/>
  <c r="V11" i="133"/>
  <c r="T11" i="133"/>
  <c r="R11" i="133"/>
  <c r="P11" i="133"/>
  <c r="N11" i="133"/>
  <c r="L11" i="133"/>
  <c r="I11" i="133"/>
  <c r="G11" i="133"/>
  <c r="E10" i="133"/>
  <c r="P35" i="132"/>
  <c r="N35" i="132"/>
  <c r="L35" i="132"/>
  <c r="I35" i="132"/>
  <c r="G35" i="132"/>
  <c r="X32" i="132"/>
  <c r="T32" i="132"/>
  <c r="V31" i="132"/>
  <c r="R31" i="132"/>
  <c r="X29" i="132"/>
  <c r="X35" i="132" s="1"/>
  <c r="V29" i="132"/>
  <c r="T29" i="132"/>
  <c r="T35" i="132" s="1"/>
  <c r="T37" i="132" s="1"/>
  <c r="R29" i="132"/>
  <c r="R35" i="132" s="1"/>
  <c r="X25" i="132"/>
  <c r="V25" i="132"/>
  <c r="T25" i="132"/>
  <c r="R25" i="132"/>
  <c r="P25" i="132"/>
  <c r="N25" i="132"/>
  <c r="L25" i="132"/>
  <c r="I25" i="132"/>
  <c r="G25" i="132"/>
  <c r="X19" i="132"/>
  <c r="V19" i="132"/>
  <c r="T19" i="132"/>
  <c r="R19" i="132"/>
  <c r="P19" i="132"/>
  <c r="N19" i="132"/>
  <c r="L19" i="132"/>
  <c r="I19" i="132"/>
  <c r="G19" i="132"/>
  <c r="X11" i="132"/>
  <c r="T11" i="132"/>
  <c r="P11" i="132"/>
  <c r="N11" i="132"/>
  <c r="L11" i="132"/>
  <c r="I11" i="132"/>
  <c r="G11" i="132"/>
  <c r="V10" i="132"/>
  <c r="V11" i="132" s="1"/>
  <c r="R10" i="132"/>
  <c r="R11" i="132" s="1"/>
  <c r="E10" i="132"/>
  <c r="P35" i="131"/>
  <c r="N35" i="131"/>
  <c r="L35" i="131"/>
  <c r="I35" i="131"/>
  <c r="G35" i="131"/>
  <c r="X32" i="131"/>
  <c r="T32" i="131"/>
  <c r="V31" i="131"/>
  <c r="R31" i="131"/>
  <c r="X29" i="131"/>
  <c r="X35" i="131" s="1"/>
  <c r="V29" i="131"/>
  <c r="V35" i="131" s="1"/>
  <c r="T29" i="131"/>
  <c r="R29" i="131"/>
  <c r="X25" i="131"/>
  <c r="V25" i="131"/>
  <c r="T25" i="131"/>
  <c r="R25" i="131"/>
  <c r="P25" i="131"/>
  <c r="N25" i="131"/>
  <c r="L25" i="131"/>
  <c r="I25" i="131"/>
  <c r="G25" i="131"/>
  <c r="X19" i="131"/>
  <c r="V19" i="131"/>
  <c r="T19" i="131"/>
  <c r="R19" i="131"/>
  <c r="P19" i="131"/>
  <c r="N19" i="131"/>
  <c r="L19" i="131"/>
  <c r="I19" i="131"/>
  <c r="G19" i="131"/>
  <c r="X11" i="131"/>
  <c r="T11" i="131"/>
  <c r="P11" i="131"/>
  <c r="N11" i="131"/>
  <c r="L11" i="131"/>
  <c r="I11" i="131"/>
  <c r="G11" i="131"/>
  <c r="V10" i="131"/>
  <c r="V11" i="131" s="1"/>
  <c r="R10" i="131"/>
  <c r="R11" i="131" s="1"/>
  <c r="E10" i="131"/>
  <c r="N35" i="130"/>
  <c r="L35" i="130"/>
  <c r="L37" i="130" s="1"/>
  <c r="I35" i="130"/>
  <c r="G35" i="130"/>
  <c r="X32" i="130"/>
  <c r="T32" i="130"/>
  <c r="T35" i="130" s="1"/>
  <c r="P32" i="130"/>
  <c r="P35" i="130" s="1"/>
  <c r="V31" i="130"/>
  <c r="R31" i="130"/>
  <c r="X29" i="130"/>
  <c r="X35" i="130" s="1"/>
  <c r="V29" i="130"/>
  <c r="V35" i="130" s="1"/>
  <c r="T29" i="130"/>
  <c r="R29" i="130"/>
  <c r="X25" i="130"/>
  <c r="V25" i="130"/>
  <c r="T25" i="130"/>
  <c r="R25" i="130"/>
  <c r="P25" i="130"/>
  <c r="N25" i="130"/>
  <c r="L25" i="130"/>
  <c r="I25" i="130"/>
  <c r="G25" i="130"/>
  <c r="X19" i="130"/>
  <c r="V19" i="130"/>
  <c r="T19" i="130"/>
  <c r="R19" i="130"/>
  <c r="P19" i="130"/>
  <c r="N19" i="130"/>
  <c r="L19" i="130"/>
  <c r="I19" i="130"/>
  <c r="G19" i="130"/>
  <c r="X11" i="130"/>
  <c r="T11" i="130"/>
  <c r="P11" i="130"/>
  <c r="N11" i="130"/>
  <c r="L11" i="130"/>
  <c r="I11" i="130"/>
  <c r="G11" i="130"/>
  <c r="V10" i="130"/>
  <c r="V11" i="130" s="1"/>
  <c r="R10" i="130"/>
  <c r="R11" i="130" s="1"/>
  <c r="E10" i="130"/>
  <c r="P35" i="129"/>
  <c r="N35" i="129"/>
  <c r="L35" i="129"/>
  <c r="I35" i="129"/>
  <c r="G35" i="129"/>
  <c r="X32" i="129"/>
  <c r="T32" i="129"/>
  <c r="V31" i="129"/>
  <c r="R31" i="129"/>
  <c r="X29" i="129"/>
  <c r="X35" i="129" s="1"/>
  <c r="V29" i="129"/>
  <c r="T29" i="129"/>
  <c r="R29" i="129"/>
  <c r="X25" i="129"/>
  <c r="V25" i="129"/>
  <c r="T25" i="129"/>
  <c r="R25" i="129"/>
  <c r="P25" i="129"/>
  <c r="N25" i="129"/>
  <c r="L25" i="129"/>
  <c r="I25" i="129"/>
  <c r="G25" i="129"/>
  <c r="X19" i="129"/>
  <c r="V19" i="129"/>
  <c r="T19" i="129"/>
  <c r="R19" i="129"/>
  <c r="P19" i="129"/>
  <c r="N19" i="129"/>
  <c r="L19" i="129"/>
  <c r="I19" i="129"/>
  <c r="G19" i="129"/>
  <c r="X11" i="129"/>
  <c r="T11" i="129"/>
  <c r="P11" i="129"/>
  <c r="N11" i="129"/>
  <c r="L11" i="129"/>
  <c r="I11" i="129"/>
  <c r="G11" i="129"/>
  <c r="V10" i="129"/>
  <c r="V11" i="129" s="1"/>
  <c r="R10" i="129"/>
  <c r="R11" i="129" s="1"/>
  <c r="E10" i="129"/>
  <c r="P35" i="128"/>
  <c r="N35" i="128"/>
  <c r="L35" i="128"/>
  <c r="I35" i="128"/>
  <c r="G35" i="128"/>
  <c r="X32" i="128"/>
  <c r="T32" i="128"/>
  <c r="V31" i="128"/>
  <c r="R31" i="128"/>
  <c r="X29" i="128"/>
  <c r="X35" i="128" s="1"/>
  <c r="V29" i="128"/>
  <c r="T29" i="128"/>
  <c r="R29" i="128"/>
  <c r="R35" i="128" s="1"/>
  <c r="X25" i="128"/>
  <c r="V25" i="128"/>
  <c r="T25" i="128"/>
  <c r="R25" i="128"/>
  <c r="P25" i="128"/>
  <c r="N25" i="128"/>
  <c r="L25" i="128"/>
  <c r="I25" i="128"/>
  <c r="G25" i="128"/>
  <c r="X19" i="128"/>
  <c r="V19" i="128"/>
  <c r="T19" i="128"/>
  <c r="R19" i="128"/>
  <c r="P19" i="128"/>
  <c r="N19" i="128"/>
  <c r="L19" i="128"/>
  <c r="I19" i="128"/>
  <c r="G19" i="128"/>
  <c r="X11" i="128"/>
  <c r="T11" i="128"/>
  <c r="P11" i="128"/>
  <c r="N11" i="128"/>
  <c r="L11" i="128"/>
  <c r="I11" i="128"/>
  <c r="G11" i="128"/>
  <c r="V10" i="128"/>
  <c r="V11" i="128" s="1"/>
  <c r="R10" i="128"/>
  <c r="R11" i="128" s="1"/>
  <c r="E10" i="128"/>
  <c r="P35" i="125"/>
  <c r="N35" i="125"/>
  <c r="L35" i="125"/>
  <c r="I35" i="125"/>
  <c r="G35" i="125"/>
  <c r="X32" i="125"/>
  <c r="T32" i="125"/>
  <c r="T35" i="125" s="1"/>
  <c r="V31" i="125"/>
  <c r="R31" i="125"/>
  <c r="X29" i="125"/>
  <c r="V29" i="125"/>
  <c r="V35" i="125" s="1"/>
  <c r="T29" i="125"/>
  <c r="R29" i="125"/>
  <c r="X25" i="125"/>
  <c r="V25" i="125"/>
  <c r="T25" i="125"/>
  <c r="R25" i="125"/>
  <c r="P25" i="125"/>
  <c r="N25" i="125"/>
  <c r="L25" i="125"/>
  <c r="I25" i="125"/>
  <c r="G25" i="125"/>
  <c r="X19" i="125"/>
  <c r="V19" i="125"/>
  <c r="T19" i="125"/>
  <c r="R19" i="125"/>
  <c r="P19" i="125"/>
  <c r="N19" i="125"/>
  <c r="L19" i="125"/>
  <c r="I19" i="125"/>
  <c r="G19" i="125"/>
  <c r="X11" i="125"/>
  <c r="T11" i="125"/>
  <c r="P11" i="125"/>
  <c r="N11" i="125"/>
  <c r="L11" i="125"/>
  <c r="I11" i="125"/>
  <c r="I37" i="125" s="1"/>
  <c r="G11" i="125"/>
  <c r="V10" i="125"/>
  <c r="V11" i="125" s="1"/>
  <c r="R10" i="125"/>
  <c r="R11" i="125" s="1"/>
  <c r="E10" i="125"/>
  <c r="P35" i="124"/>
  <c r="N35" i="124"/>
  <c r="L35" i="124"/>
  <c r="I35" i="124"/>
  <c r="G35" i="124"/>
  <c r="X32" i="124"/>
  <c r="T32" i="124"/>
  <c r="V31" i="124"/>
  <c r="R31" i="124"/>
  <c r="X29" i="124"/>
  <c r="X35" i="124" s="1"/>
  <c r="V29" i="124"/>
  <c r="V35" i="124" s="1"/>
  <c r="T29" i="124"/>
  <c r="R29" i="124"/>
  <c r="R35" i="124" s="1"/>
  <c r="X25" i="124"/>
  <c r="V25" i="124"/>
  <c r="T25" i="124"/>
  <c r="R25" i="124"/>
  <c r="P25" i="124"/>
  <c r="N25" i="124"/>
  <c r="L25" i="124"/>
  <c r="I25" i="124"/>
  <c r="G25" i="124"/>
  <c r="X19" i="124"/>
  <c r="V19" i="124"/>
  <c r="T19" i="124"/>
  <c r="R19" i="124"/>
  <c r="P19" i="124"/>
  <c r="N19" i="124"/>
  <c r="L19" i="124"/>
  <c r="I19" i="124"/>
  <c r="G19" i="124"/>
  <c r="X11" i="124"/>
  <c r="T11" i="124"/>
  <c r="P11" i="124"/>
  <c r="N11" i="124"/>
  <c r="L11" i="124"/>
  <c r="I11" i="124"/>
  <c r="G11" i="124"/>
  <c r="V10" i="124"/>
  <c r="V11" i="124" s="1"/>
  <c r="R10" i="124"/>
  <c r="R11" i="124" s="1"/>
  <c r="E10" i="124"/>
  <c r="P35" i="123"/>
  <c r="N35" i="123"/>
  <c r="L35" i="123"/>
  <c r="I35" i="123"/>
  <c r="G35" i="123"/>
  <c r="X32" i="123"/>
  <c r="T32" i="123"/>
  <c r="V31" i="123"/>
  <c r="R31" i="123"/>
  <c r="X29" i="123"/>
  <c r="X35" i="123" s="1"/>
  <c r="V29" i="123"/>
  <c r="V35" i="123" s="1"/>
  <c r="T29" i="123"/>
  <c r="R29" i="123"/>
  <c r="R35" i="123" s="1"/>
  <c r="X25" i="123"/>
  <c r="V25" i="123"/>
  <c r="T25" i="123"/>
  <c r="R25" i="123"/>
  <c r="P25" i="123"/>
  <c r="N25" i="123"/>
  <c r="L25" i="123"/>
  <c r="I25" i="123"/>
  <c r="G25" i="123"/>
  <c r="X19" i="123"/>
  <c r="V19" i="123"/>
  <c r="T19" i="123"/>
  <c r="R19" i="123"/>
  <c r="P19" i="123"/>
  <c r="N19" i="123"/>
  <c r="L19" i="123"/>
  <c r="I19" i="123"/>
  <c r="G19" i="123"/>
  <c r="X11" i="123"/>
  <c r="T11" i="123"/>
  <c r="R11" i="123"/>
  <c r="R37" i="123" s="1"/>
  <c r="P11" i="123"/>
  <c r="N11" i="123"/>
  <c r="L11" i="123"/>
  <c r="I11" i="123"/>
  <c r="G11" i="123"/>
  <c r="V10" i="123"/>
  <c r="V11" i="123" s="1"/>
  <c r="R10" i="123"/>
  <c r="E10" i="123"/>
  <c r="P35" i="122"/>
  <c r="N35" i="122"/>
  <c r="L35" i="122"/>
  <c r="I35" i="122"/>
  <c r="G35" i="122"/>
  <c r="X32" i="122"/>
  <c r="T32" i="122"/>
  <c r="V31" i="122"/>
  <c r="R31" i="122"/>
  <c r="X29" i="122"/>
  <c r="X35" i="122" s="1"/>
  <c r="V29" i="122"/>
  <c r="T29" i="122"/>
  <c r="R29" i="122"/>
  <c r="X25" i="122"/>
  <c r="V25" i="122"/>
  <c r="T25" i="122"/>
  <c r="R25" i="122"/>
  <c r="P25" i="122"/>
  <c r="N25" i="122"/>
  <c r="L25" i="122"/>
  <c r="I25" i="122"/>
  <c r="G25" i="122"/>
  <c r="X19" i="122"/>
  <c r="V19" i="122"/>
  <c r="T19" i="122"/>
  <c r="R19" i="122"/>
  <c r="P19" i="122"/>
  <c r="N19" i="122"/>
  <c r="L19" i="122"/>
  <c r="I19" i="122"/>
  <c r="G19" i="122"/>
  <c r="X11" i="122"/>
  <c r="T11" i="122"/>
  <c r="P11" i="122"/>
  <c r="N11" i="122"/>
  <c r="L11" i="122"/>
  <c r="I11" i="122"/>
  <c r="G11" i="122"/>
  <c r="V10" i="122"/>
  <c r="V11" i="122" s="1"/>
  <c r="R10" i="122"/>
  <c r="R11" i="122" s="1"/>
  <c r="E10" i="122"/>
  <c r="P35" i="121"/>
  <c r="N35" i="121"/>
  <c r="L35" i="121"/>
  <c r="I35" i="121"/>
  <c r="G35" i="121"/>
  <c r="X32" i="121"/>
  <c r="T32" i="121"/>
  <c r="T35" i="121" s="1"/>
  <c r="V31" i="121"/>
  <c r="R31" i="121"/>
  <c r="X29" i="121"/>
  <c r="V29" i="121"/>
  <c r="V35" i="121" s="1"/>
  <c r="T29" i="121"/>
  <c r="R29" i="121"/>
  <c r="R35" i="121" s="1"/>
  <c r="X25" i="121"/>
  <c r="V25" i="121"/>
  <c r="T25" i="121"/>
  <c r="R25" i="121"/>
  <c r="P25" i="121"/>
  <c r="N25" i="121"/>
  <c r="L25" i="121"/>
  <c r="I25" i="121"/>
  <c r="G25" i="121"/>
  <c r="X19" i="121"/>
  <c r="V19" i="121"/>
  <c r="T19" i="121"/>
  <c r="R19" i="121"/>
  <c r="P19" i="121"/>
  <c r="N19" i="121"/>
  <c r="L19" i="121"/>
  <c r="I19" i="121"/>
  <c r="G19" i="121"/>
  <c r="X11" i="121"/>
  <c r="T11" i="121"/>
  <c r="R11" i="121"/>
  <c r="P11" i="121"/>
  <c r="N11" i="121"/>
  <c r="L11" i="121"/>
  <c r="I11" i="121"/>
  <c r="I37" i="121" s="1"/>
  <c r="G11" i="121"/>
  <c r="V10" i="121"/>
  <c r="V11" i="121" s="1"/>
  <c r="E10" i="121"/>
  <c r="P35" i="120"/>
  <c r="N35" i="120"/>
  <c r="L35" i="120"/>
  <c r="L37" i="120" s="1"/>
  <c r="I35" i="120"/>
  <c r="G35" i="120"/>
  <c r="X32" i="120"/>
  <c r="T32" i="120"/>
  <c r="V31" i="120"/>
  <c r="R31" i="120"/>
  <c r="X29" i="120"/>
  <c r="X35" i="120" s="1"/>
  <c r="V29" i="120"/>
  <c r="V35" i="120" s="1"/>
  <c r="V37" i="120" s="1"/>
  <c r="T29" i="120"/>
  <c r="R29" i="120"/>
  <c r="R35" i="120" s="1"/>
  <c r="R37" i="120" s="1"/>
  <c r="X25" i="120"/>
  <c r="V25" i="120"/>
  <c r="T25" i="120"/>
  <c r="R25" i="120"/>
  <c r="P25" i="120"/>
  <c r="N25" i="120"/>
  <c r="N37" i="120" s="1"/>
  <c r="L25" i="120"/>
  <c r="I25" i="120"/>
  <c r="G25" i="120"/>
  <c r="X19" i="120"/>
  <c r="V19" i="120"/>
  <c r="T19" i="120"/>
  <c r="R19" i="120"/>
  <c r="P19" i="120"/>
  <c r="N19" i="120"/>
  <c r="L19" i="120"/>
  <c r="I19" i="120"/>
  <c r="G19" i="120"/>
  <c r="X11" i="120"/>
  <c r="T11" i="120"/>
  <c r="R11" i="120"/>
  <c r="P11" i="120"/>
  <c r="P37" i="120" s="1"/>
  <c r="N11" i="120"/>
  <c r="L11" i="120"/>
  <c r="I11" i="120"/>
  <c r="G11" i="120"/>
  <c r="G37" i="120" s="1"/>
  <c r="V10" i="120"/>
  <c r="V11" i="120" s="1"/>
  <c r="E10" i="120"/>
  <c r="N51" i="119"/>
  <c r="N56" i="119" s="1"/>
  <c r="X35" i="119"/>
  <c r="V35" i="119"/>
  <c r="T35" i="119"/>
  <c r="R35" i="119"/>
  <c r="P35" i="119"/>
  <c r="N35" i="119"/>
  <c r="L35" i="119"/>
  <c r="I35" i="119"/>
  <c r="G35" i="119"/>
  <c r="X25" i="119"/>
  <c r="V25" i="119"/>
  <c r="T25" i="119"/>
  <c r="R25" i="119"/>
  <c r="P25" i="119"/>
  <c r="N25" i="119"/>
  <c r="L25" i="119"/>
  <c r="I25" i="119"/>
  <c r="G25" i="119"/>
  <c r="X19" i="119"/>
  <c r="V19" i="119"/>
  <c r="T19" i="119"/>
  <c r="R19" i="119"/>
  <c r="P19" i="119"/>
  <c r="N19" i="119"/>
  <c r="L19" i="119"/>
  <c r="I19" i="119"/>
  <c r="G19" i="119"/>
  <c r="X11" i="119"/>
  <c r="V11" i="119"/>
  <c r="T11" i="119"/>
  <c r="R11" i="119"/>
  <c r="P11" i="119"/>
  <c r="N11" i="119"/>
  <c r="L11" i="119"/>
  <c r="I11" i="119"/>
  <c r="G11" i="119"/>
  <c r="E10" i="119"/>
  <c r="N51" i="118"/>
  <c r="N56" i="118" s="1"/>
  <c r="P35" i="118"/>
  <c r="N35" i="118"/>
  <c r="L35" i="118"/>
  <c r="I35" i="118"/>
  <c r="G35" i="118"/>
  <c r="X32" i="118"/>
  <c r="T32" i="118"/>
  <c r="T35" i="118" s="1"/>
  <c r="V31" i="118"/>
  <c r="R31" i="118"/>
  <c r="X29" i="118"/>
  <c r="X35" i="118" s="1"/>
  <c r="V29" i="118"/>
  <c r="V35" i="118" s="1"/>
  <c r="T29" i="118"/>
  <c r="R29" i="118"/>
  <c r="R35" i="118" s="1"/>
  <c r="X25" i="118"/>
  <c r="T25" i="118"/>
  <c r="R25" i="118"/>
  <c r="P25" i="118"/>
  <c r="N25" i="118"/>
  <c r="L25" i="118"/>
  <c r="I25" i="118"/>
  <c r="G25" i="118"/>
  <c r="V24" i="118"/>
  <c r="V25" i="118" s="1"/>
  <c r="X19" i="118"/>
  <c r="V19" i="118"/>
  <c r="T19" i="118"/>
  <c r="R19" i="118"/>
  <c r="P19" i="118"/>
  <c r="N19" i="118"/>
  <c r="L19" i="118"/>
  <c r="I19" i="118"/>
  <c r="G19" i="118"/>
  <c r="X11" i="118"/>
  <c r="T11" i="118"/>
  <c r="P11" i="118"/>
  <c r="N11" i="118"/>
  <c r="I11" i="118"/>
  <c r="G11" i="118"/>
  <c r="V10" i="118"/>
  <c r="V11" i="118" s="1"/>
  <c r="R10" i="118"/>
  <c r="R11" i="118" s="1"/>
  <c r="E10" i="118"/>
  <c r="L9" i="118"/>
  <c r="L11" i="118" s="1"/>
  <c r="P35" i="117"/>
  <c r="N35" i="117"/>
  <c r="L35" i="117"/>
  <c r="I35" i="117"/>
  <c r="G35" i="117"/>
  <c r="X32" i="117"/>
  <c r="T32" i="117"/>
  <c r="V31" i="117"/>
  <c r="R31" i="117"/>
  <c r="X29" i="117"/>
  <c r="X35" i="117" s="1"/>
  <c r="V29" i="117"/>
  <c r="T29" i="117"/>
  <c r="R29" i="117"/>
  <c r="X25" i="117"/>
  <c r="T25" i="117"/>
  <c r="R25" i="117"/>
  <c r="P25" i="117"/>
  <c r="N25" i="117"/>
  <c r="L25" i="117"/>
  <c r="I25" i="117"/>
  <c r="G25" i="117"/>
  <c r="V24" i="117"/>
  <c r="V25" i="117" s="1"/>
  <c r="X19" i="117"/>
  <c r="V19" i="117"/>
  <c r="T19" i="117"/>
  <c r="R19" i="117"/>
  <c r="P19" i="117"/>
  <c r="N19" i="117"/>
  <c r="L19" i="117"/>
  <c r="I19" i="117"/>
  <c r="G19" i="117"/>
  <c r="X11" i="117"/>
  <c r="T11" i="117"/>
  <c r="R11" i="117"/>
  <c r="P11" i="117"/>
  <c r="N11" i="117"/>
  <c r="I11" i="117"/>
  <c r="G11" i="117"/>
  <c r="V10" i="117"/>
  <c r="V11" i="117" s="1"/>
  <c r="R10" i="117"/>
  <c r="E10" i="117"/>
  <c r="L9" i="117"/>
  <c r="L11" i="117" s="1"/>
  <c r="P35" i="116"/>
  <c r="N35" i="116"/>
  <c r="L35" i="116"/>
  <c r="I35" i="116"/>
  <c r="G35" i="116"/>
  <c r="X32" i="116"/>
  <c r="T32" i="116"/>
  <c r="T35" i="116" s="1"/>
  <c r="V31" i="116"/>
  <c r="R31" i="116"/>
  <c r="X29" i="116"/>
  <c r="X35" i="116" s="1"/>
  <c r="V29" i="116"/>
  <c r="T29" i="116"/>
  <c r="R29" i="116"/>
  <c r="R35" i="116" s="1"/>
  <c r="X25" i="116"/>
  <c r="T25" i="116"/>
  <c r="R25" i="116"/>
  <c r="P25" i="116"/>
  <c r="N25" i="116"/>
  <c r="L25" i="116"/>
  <c r="I25" i="116"/>
  <c r="G25" i="116"/>
  <c r="V24" i="116"/>
  <c r="V25" i="116" s="1"/>
  <c r="X19" i="116"/>
  <c r="V19" i="116"/>
  <c r="T19" i="116"/>
  <c r="R19" i="116"/>
  <c r="P19" i="116"/>
  <c r="N19" i="116"/>
  <c r="L19" i="116"/>
  <c r="I19" i="116"/>
  <c r="G19" i="116"/>
  <c r="X11" i="116"/>
  <c r="T11" i="116"/>
  <c r="P11" i="116"/>
  <c r="N11" i="116"/>
  <c r="L11" i="116"/>
  <c r="I11" i="116"/>
  <c r="G11" i="116"/>
  <c r="V10" i="116"/>
  <c r="V11" i="116" s="1"/>
  <c r="R10" i="116"/>
  <c r="R11" i="116" s="1"/>
  <c r="E10" i="116"/>
  <c r="P35" i="115"/>
  <c r="N35" i="115"/>
  <c r="L35" i="115"/>
  <c r="I35" i="115"/>
  <c r="G35" i="115"/>
  <c r="X32" i="115"/>
  <c r="T32" i="115"/>
  <c r="T35" i="115" s="1"/>
  <c r="V31" i="115"/>
  <c r="R31" i="115"/>
  <c r="X29" i="115"/>
  <c r="V29" i="115"/>
  <c r="V35" i="115" s="1"/>
  <c r="T29" i="115"/>
  <c r="R29" i="115"/>
  <c r="X25" i="115"/>
  <c r="T25" i="115"/>
  <c r="R25" i="115"/>
  <c r="P25" i="115"/>
  <c r="N25" i="115"/>
  <c r="L25" i="115"/>
  <c r="I25" i="115"/>
  <c r="G25" i="115"/>
  <c r="V24" i="115"/>
  <c r="V25" i="115" s="1"/>
  <c r="X19" i="115"/>
  <c r="V19" i="115"/>
  <c r="T19" i="115"/>
  <c r="R19" i="115"/>
  <c r="P19" i="115"/>
  <c r="N19" i="115"/>
  <c r="L19" i="115"/>
  <c r="I19" i="115"/>
  <c r="G19" i="115"/>
  <c r="X11" i="115"/>
  <c r="T11" i="115"/>
  <c r="P11" i="115"/>
  <c r="N11" i="115"/>
  <c r="L11" i="115"/>
  <c r="I11" i="115"/>
  <c r="G11" i="115"/>
  <c r="V10" i="115"/>
  <c r="V11" i="115" s="1"/>
  <c r="R10" i="115"/>
  <c r="R11" i="115" s="1"/>
  <c r="E10" i="115"/>
  <c r="P35" i="114"/>
  <c r="N35" i="114"/>
  <c r="L35" i="114"/>
  <c r="I35" i="114"/>
  <c r="G35" i="114"/>
  <c r="X32" i="114"/>
  <c r="T32" i="114"/>
  <c r="V31" i="114"/>
  <c r="V35" i="114" s="1"/>
  <c r="R31" i="114"/>
  <c r="X29" i="114"/>
  <c r="X35" i="114" s="1"/>
  <c r="X37" i="114" s="1"/>
  <c r="T29" i="114"/>
  <c r="R29" i="114"/>
  <c r="R35" i="114" s="1"/>
  <c r="R37" i="114" s="1"/>
  <c r="X25" i="114"/>
  <c r="T25" i="114"/>
  <c r="R25" i="114"/>
  <c r="P25" i="114"/>
  <c r="N25" i="114"/>
  <c r="L25" i="114"/>
  <c r="I25" i="114"/>
  <c r="G25" i="114"/>
  <c r="V24" i="114"/>
  <c r="V25" i="114" s="1"/>
  <c r="X19" i="114"/>
  <c r="V19" i="114"/>
  <c r="T19" i="114"/>
  <c r="R19" i="114"/>
  <c r="P19" i="114"/>
  <c r="N19" i="114"/>
  <c r="L19" i="114"/>
  <c r="L37" i="114" s="1"/>
  <c r="I19" i="114"/>
  <c r="G19" i="114"/>
  <c r="X11" i="114"/>
  <c r="T11" i="114"/>
  <c r="P11" i="114"/>
  <c r="N11" i="114"/>
  <c r="L11" i="114"/>
  <c r="I11" i="114"/>
  <c r="G11" i="114"/>
  <c r="V10" i="114"/>
  <c r="V11" i="114" s="1"/>
  <c r="R10" i="114"/>
  <c r="R11" i="114" s="1"/>
  <c r="E10" i="114"/>
  <c r="P35" i="113"/>
  <c r="N35" i="113"/>
  <c r="L35" i="113"/>
  <c r="I35" i="113"/>
  <c r="G35" i="113"/>
  <c r="X32" i="113"/>
  <c r="X35" i="113" s="1"/>
  <c r="T32" i="113"/>
  <c r="V31" i="113"/>
  <c r="V35" i="113" s="1"/>
  <c r="R31" i="113"/>
  <c r="T29" i="113"/>
  <c r="T35" i="113" s="1"/>
  <c r="R29" i="113"/>
  <c r="R35" i="113" s="1"/>
  <c r="X25" i="113"/>
  <c r="T25" i="113"/>
  <c r="R25" i="113"/>
  <c r="P25" i="113"/>
  <c r="N25" i="113"/>
  <c r="L25" i="113"/>
  <c r="I25" i="113"/>
  <c r="G25" i="113"/>
  <c r="G37" i="113" s="1"/>
  <c r="V24" i="113"/>
  <c r="V25" i="113" s="1"/>
  <c r="X19" i="113"/>
  <c r="V19" i="113"/>
  <c r="T19" i="113"/>
  <c r="R19" i="113"/>
  <c r="P19" i="113"/>
  <c r="N19" i="113"/>
  <c r="L19" i="113"/>
  <c r="I19" i="113"/>
  <c r="G19" i="113"/>
  <c r="X11" i="113"/>
  <c r="T11" i="113"/>
  <c r="P11" i="113"/>
  <c r="N11" i="113"/>
  <c r="L11" i="113"/>
  <c r="I11" i="113"/>
  <c r="G11" i="113"/>
  <c r="V10" i="113"/>
  <c r="V11" i="113" s="1"/>
  <c r="R10" i="113"/>
  <c r="R11" i="113" s="1"/>
  <c r="E10" i="113"/>
  <c r="P35" i="112"/>
  <c r="N35" i="112"/>
  <c r="L35" i="112"/>
  <c r="I35" i="112"/>
  <c r="G35" i="112"/>
  <c r="X32" i="112"/>
  <c r="X35" i="112" s="1"/>
  <c r="T32" i="112"/>
  <c r="V31" i="112"/>
  <c r="V35" i="112" s="1"/>
  <c r="R31" i="112"/>
  <c r="T29" i="112"/>
  <c r="T35" i="112" s="1"/>
  <c r="R29" i="112"/>
  <c r="X25" i="112"/>
  <c r="T25" i="112"/>
  <c r="R25" i="112"/>
  <c r="P25" i="112"/>
  <c r="N25" i="112"/>
  <c r="L25" i="112"/>
  <c r="I25" i="112"/>
  <c r="G25" i="112"/>
  <c r="V24" i="112"/>
  <c r="V25" i="112" s="1"/>
  <c r="X19" i="112"/>
  <c r="V19" i="112"/>
  <c r="T19" i="112"/>
  <c r="R19" i="112"/>
  <c r="P19" i="112"/>
  <c r="N19" i="112"/>
  <c r="L19" i="112"/>
  <c r="I19" i="112"/>
  <c r="G19" i="112"/>
  <c r="X11" i="112"/>
  <c r="T11" i="112"/>
  <c r="P11" i="112"/>
  <c r="N11" i="112"/>
  <c r="I11" i="112"/>
  <c r="G11" i="112"/>
  <c r="V10" i="112"/>
  <c r="V11" i="112" s="1"/>
  <c r="R10" i="112"/>
  <c r="R11" i="112" s="1"/>
  <c r="E10" i="112"/>
  <c r="L9" i="112"/>
  <c r="L11" i="112" s="1"/>
  <c r="P35" i="111"/>
  <c r="N35" i="111"/>
  <c r="L35" i="111"/>
  <c r="I35" i="111"/>
  <c r="G35" i="111"/>
  <c r="X32" i="111"/>
  <c r="X35" i="111" s="1"/>
  <c r="X37" i="111" s="1"/>
  <c r="T32" i="111"/>
  <c r="V31" i="111"/>
  <c r="V35" i="111" s="1"/>
  <c r="R31" i="111"/>
  <c r="T29" i="111"/>
  <c r="R29" i="111"/>
  <c r="X25" i="111"/>
  <c r="T25" i="111"/>
  <c r="R25" i="111"/>
  <c r="P25" i="111"/>
  <c r="N25" i="111"/>
  <c r="L25" i="111"/>
  <c r="I25" i="111"/>
  <c r="G25" i="111"/>
  <c r="V24" i="111"/>
  <c r="V25" i="111" s="1"/>
  <c r="X19" i="111"/>
  <c r="V19" i="111"/>
  <c r="T19" i="111"/>
  <c r="R19" i="111"/>
  <c r="P19" i="111"/>
  <c r="N19" i="111"/>
  <c r="L19" i="111"/>
  <c r="I19" i="111"/>
  <c r="G19" i="111"/>
  <c r="X11" i="111"/>
  <c r="T11" i="111"/>
  <c r="P11" i="111"/>
  <c r="N11" i="111"/>
  <c r="L11" i="111"/>
  <c r="I11" i="111"/>
  <c r="G11" i="111"/>
  <c r="V10" i="111"/>
  <c r="V11" i="111" s="1"/>
  <c r="R10" i="111"/>
  <c r="R11" i="111" s="1"/>
  <c r="E10" i="111"/>
  <c r="L9" i="111"/>
  <c r="P35" i="110"/>
  <c r="N35" i="110"/>
  <c r="L35" i="110"/>
  <c r="I35" i="110"/>
  <c r="G35" i="110"/>
  <c r="X32" i="110"/>
  <c r="X35" i="110" s="1"/>
  <c r="X37" i="110" s="1"/>
  <c r="T32" i="110"/>
  <c r="V31" i="110"/>
  <c r="V35" i="110" s="1"/>
  <c r="R31" i="110"/>
  <c r="T29" i="110"/>
  <c r="T35" i="110" s="1"/>
  <c r="R29" i="110"/>
  <c r="X25" i="110"/>
  <c r="T25" i="110"/>
  <c r="R25" i="110"/>
  <c r="P25" i="110"/>
  <c r="N25" i="110"/>
  <c r="L25" i="110"/>
  <c r="I25" i="110"/>
  <c r="G25" i="110"/>
  <c r="V24" i="110"/>
  <c r="V25" i="110" s="1"/>
  <c r="X19" i="110"/>
  <c r="V19" i="110"/>
  <c r="T19" i="110"/>
  <c r="R19" i="110"/>
  <c r="P19" i="110"/>
  <c r="N19" i="110"/>
  <c r="L19" i="110"/>
  <c r="I19" i="110"/>
  <c r="G19" i="110"/>
  <c r="X11" i="110"/>
  <c r="T11" i="110"/>
  <c r="P11" i="110"/>
  <c r="N11" i="110"/>
  <c r="I11" i="110"/>
  <c r="G11" i="110"/>
  <c r="V10" i="110"/>
  <c r="V11" i="110" s="1"/>
  <c r="R10" i="110"/>
  <c r="R11" i="110" s="1"/>
  <c r="E10" i="110"/>
  <c r="L9" i="110"/>
  <c r="L11" i="110" s="1"/>
  <c r="P35" i="109"/>
  <c r="N35" i="109"/>
  <c r="L35" i="109"/>
  <c r="I35" i="109"/>
  <c r="G35" i="109"/>
  <c r="X32" i="109"/>
  <c r="X35" i="109" s="1"/>
  <c r="X37" i="109" s="1"/>
  <c r="T32" i="109"/>
  <c r="V31" i="109"/>
  <c r="V35" i="109" s="1"/>
  <c r="R31" i="109"/>
  <c r="T29" i="109"/>
  <c r="R29" i="109"/>
  <c r="R35" i="109" s="1"/>
  <c r="X25" i="109"/>
  <c r="T25" i="109"/>
  <c r="R25" i="109"/>
  <c r="P25" i="109"/>
  <c r="N25" i="109"/>
  <c r="L25" i="109"/>
  <c r="I25" i="109"/>
  <c r="G25" i="109"/>
  <c r="V24" i="109"/>
  <c r="V25" i="109" s="1"/>
  <c r="X19" i="109"/>
  <c r="V19" i="109"/>
  <c r="T19" i="109"/>
  <c r="R19" i="109"/>
  <c r="P19" i="109"/>
  <c r="N19" i="109"/>
  <c r="L19" i="109"/>
  <c r="I19" i="109"/>
  <c r="G19" i="109"/>
  <c r="X11" i="109"/>
  <c r="T11" i="109"/>
  <c r="P11" i="109"/>
  <c r="N11" i="109"/>
  <c r="L11" i="109"/>
  <c r="I11" i="109"/>
  <c r="G11" i="109"/>
  <c r="V10" i="109"/>
  <c r="V11" i="109" s="1"/>
  <c r="R10" i="109"/>
  <c r="R11" i="109" s="1"/>
  <c r="E10" i="109"/>
  <c r="L9" i="109"/>
  <c r="P35" i="108"/>
  <c r="N35" i="108"/>
  <c r="L35" i="108"/>
  <c r="I35" i="108"/>
  <c r="G35" i="108"/>
  <c r="X32" i="108"/>
  <c r="X35" i="108" s="1"/>
  <c r="T32" i="108"/>
  <c r="V31" i="108"/>
  <c r="V35" i="108" s="1"/>
  <c r="R31" i="108"/>
  <c r="T29" i="108"/>
  <c r="R29" i="108"/>
  <c r="X25" i="108"/>
  <c r="T25" i="108"/>
  <c r="R25" i="108"/>
  <c r="P25" i="108"/>
  <c r="N25" i="108"/>
  <c r="L25" i="108"/>
  <c r="I25" i="108"/>
  <c r="G25" i="108"/>
  <c r="V24" i="108"/>
  <c r="V25" i="108" s="1"/>
  <c r="X19" i="108"/>
  <c r="V19" i="108"/>
  <c r="T19" i="108"/>
  <c r="R19" i="108"/>
  <c r="P19" i="108"/>
  <c r="N19" i="108"/>
  <c r="L19" i="108"/>
  <c r="I19" i="108"/>
  <c r="G19" i="108"/>
  <c r="X11" i="108"/>
  <c r="T11" i="108"/>
  <c r="P11" i="108"/>
  <c r="N11" i="108"/>
  <c r="L11" i="108"/>
  <c r="I11" i="108"/>
  <c r="G11" i="108"/>
  <c r="V10" i="108"/>
  <c r="V11" i="108" s="1"/>
  <c r="R10" i="108"/>
  <c r="R11" i="108" s="1"/>
  <c r="E10" i="108"/>
  <c r="P35" i="106"/>
  <c r="N35" i="106"/>
  <c r="L35" i="106"/>
  <c r="I35" i="106"/>
  <c r="G35" i="106"/>
  <c r="X32" i="106"/>
  <c r="X35" i="106" s="1"/>
  <c r="T32" i="106"/>
  <c r="V31" i="106"/>
  <c r="V35" i="106" s="1"/>
  <c r="R31" i="106"/>
  <c r="T29" i="106"/>
  <c r="R29" i="106"/>
  <c r="R35" i="106" s="1"/>
  <c r="R37" i="106" s="1"/>
  <c r="X25" i="106"/>
  <c r="V25" i="106"/>
  <c r="T25" i="106"/>
  <c r="R25" i="106"/>
  <c r="P25" i="106"/>
  <c r="N25" i="106"/>
  <c r="L25" i="106"/>
  <c r="I25" i="106"/>
  <c r="G25" i="106"/>
  <c r="X19" i="106"/>
  <c r="V19" i="106"/>
  <c r="T19" i="106"/>
  <c r="R19" i="106"/>
  <c r="P19" i="106"/>
  <c r="N19" i="106"/>
  <c r="L19" i="106"/>
  <c r="I19" i="106"/>
  <c r="G19" i="106"/>
  <c r="X11" i="106"/>
  <c r="T11" i="106"/>
  <c r="P11" i="106"/>
  <c r="N11" i="106"/>
  <c r="L11" i="106"/>
  <c r="I11" i="106"/>
  <c r="G11" i="106"/>
  <c r="G37" i="106" s="1"/>
  <c r="V10" i="106"/>
  <c r="V11" i="106" s="1"/>
  <c r="R10" i="106"/>
  <c r="R11" i="106" s="1"/>
  <c r="E10" i="106"/>
  <c r="X35" i="107"/>
  <c r="V35" i="107"/>
  <c r="T35" i="107"/>
  <c r="R35" i="107"/>
  <c r="P35" i="107"/>
  <c r="N35" i="107"/>
  <c r="L35" i="107"/>
  <c r="I35" i="107"/>
  <c r="G35" i="107"/>
  <c r="X25" i="107"/>
  <c r="V25" i="107"/>
  <c r="T25" i="107"/>
  <c r="R25" i="107"/>
  <c r="P25" i="107"/>
  <c r="N25" i="107"/>
  <c r="L25" i="107"/>
  <c r="I25" i="107"/>
  <c r="G25" i="107"/>
  <c r="X19" i="107"/>
  <c r="V19" i="107"/>
  <c r="T19" i="107"/>
  <c r="R19" i="107"/>
  <c r="P19" i="107"/>
  <c r="N19" i="107"/>
  <c r="L19" i="107"/>
  <c r="I19" i="107"/>
  <c r="G19" i="107"/>
  <c r="X11" i="107"/>
  <c r="V11" i="107"/>
  <c r="T11" i="107"/>
  <c r="R11" i="107"/>
  <c r="P11" i="107"/>
  <c r="N11" i="107"/>
  <c r="L11" i="107"/>
  <c r="I11" i="107"/>
  <c r="E10" i="107"/>
  <c r="G9" i="107"/>
  <c r="G11" i="107" s="1"/>
  <c r="P35" i="105"/>
  <c r="N35" i="105"/>
  <c r="L35" i="105"/>
  <c r="I35" i="105"/>
  <c r="G35" i="105"/>
  <c r="X34" i="105"/>
  <c r="X32" i="105"/>
  <c r="T32" i="105"/>
  <c r="V31" i="105"/>
  <c r="V35" i="105" s="1"/>
  <c r="R31" i="105"/>
  <c r="T29" i="105"/>
  <c r="T35" i="105" s="1"/>
  <c r="R29" i="105"/>
  <c r="X25" i="105"/>
  <c r="V25" i="105"/>
  <c r="T25" i="105"/>
  <c r="P25" i="105"/>
  <c r="N25" i="105"/>
  <c r="L25" i="105"/>
  <c r="I25" i="105"/>
  <c r="G25" i="105"/>
  <c r="R24" i="105"/>
  <c r="R25" i="105" s="1"/>
  <c r="X19" i="105"/>
  <c r="V19" i="105"/>
  <c r="T19" i="105"/>
  <c r="R19" i="105"/>
  <c r="P19" i="105"/>
  <c r="N19" i="105"/>
  <c r="L19" i="105"/>
  <c r="I19" i="105"/>
  <c r="G19" i="105"/>
  <c r="X11" i="105"/>
  <c r="T11" i="105"/>
  <c r="R11" i="105"/>
  <c r="P11" i="105"/>
  <c r="N11" i="105"/>
  <c r="L11" i="105"/>
  <c r="G11" i="105"/>
  <c r="V10" i="105"/>
  <c r="V11" i="105" s="1"/>
  <c r="R10" i="105"/>
  <c r="E10" i="105"/>
  <c r="I9" i="105"/>
  <c r="I11" i="105" s="1"/>
  <c r="P35" i="104"/>
  <c r="N35" i="104"/>
  <c r="L35" i="104"/>
  <c r="I35" i="104"/>
  <c r="G35" i="104"/>
  <c r="X34" i="104"/>
  <c r="X32" i="104"/>
  <c r="T32" i="104"/>
  <c r="V31" i="104"/>
  <c r="V35" i="104" s="1"/>
  <c r="R31" i="104"/>
  <c r="T29" i="104"/>
  <c r="R29" i="104"/>
  <c r="X25" i="104"/>
  <c r="V25" i="104"/>
  <c r="T25" i="104"/>
  <c r="P25" i="104"/>
  <c r="N25" i="104"/>
  <c r="L25" i="104"/>
  <c r="I25" i="104"/>
  <c r="G25" i="104"/>
  <c r="R24" i="104"/>
  <c r="R25" i="104" s="1"/>
  <c r="X19" i="104"/>
  <c r="V19" i="104"/>
  <c r="T19" i="104"/>
  <c r="R19" i="104"/>
  <c r="P19" i="104"/>
  <c r="N19" i="104"/>
  <c r="L19" i="104"/>
  <c r="I19" i="104"/>
  <c r="G19" i="104"/>
  <c r="X11" i="104"/>
  <c r="T11" i="104"/>
  <c r="P11" i="104"/>
  <c r="N11" i="104"/>
  <c r="L11" i="104"/>
  <c r="I11" i="104"/>
  <c r="G11" i="104"/>
  <c r="V10" i="104"/>
  <c r="V11" i="104" s="1"/>
  <c r="R10" i="104"/>
  <c r="R11" i="104" s="1"/>
  <c r="E10" i="104"/>
  <c r="X35" i="103"/>
  <c r="P35" i="103"/>
  <c r="N35" i="103"/>
  <c r="L35" i="103"/>
  <c r="I35" i="103"/>
  <c r="G35" i="103"/>
  <c r="X34" i="103"/>
  <c r="X32" i="103"/>
  <c r="T32" i="103"/>
  <c r="V31" i="103"/>
  <c r="V35" i="103" s="1"/>
  <c r="R31" i="103"/>
  <c r="T29" i="103"/>
  <c r="R29" i="103"/>
  <c r="R35" i="103" s="1"/>
  <c r="X25" i="103"/>
  <c r="V25" i="103"/>
  <c r="T25" i="103"/>
  <c r="P25" i="103"/>
  <c r="N25" i="103"/>
  <c r="L25" i="103"/>
  <c r="I25" i="103"/>
  <c r="G25" i="103"/>
  <c r="R24" i="103"/>
  <c r="R25" i="103" s="1"/>
  <c r="X19" i="103"/>
  <c r="V19" i="103"/>
  <c r="T19" i="103"/>
  <c r="R19" i="103"/>
  <c r="P19" i="103"/>
  <c r="N19" i="103"/>
  <c r="L19" i="103"/>
  <c r="L37" i="103" s="1"/>
  <c r="I19" i="103"/>
  <c r="G19" i="103"/>
  <c r="X11" i="103"/>
  <c r="T11" i="103"/>
  <c r="P11" i="103"/>
  <c r="N11" i="103"/>
  <c r="L11" i="103"/>
  <c r="I11" i="103"/>
  <c r="G11" i="103"/>
  <c r="V10" i="103"/>
  <c r="V11" i="103" s="1"/>
  <c r="R10" i="103"/>
  <c r="R11" i="103" s="1"/>
  <c r="E10" i="103"/>
  <c r="P35" i="102"/>
  <c r="N35" i="102"/>
  <c r="L35" i="102"/>
  <c r="I35" i="102"/>
  <c r="G35" i="102"/>
  <c r="X34" i="102"/>
  <c r="X32" i="102"/>
  <c r="X35" i="102" s="1"/>
  <c r="X37" i="102" s="1"/>
  <c r="T32" i="102"/>
  <c r="V31" i="102"/>
  <c r="V35" i="102" s="1"/>
  <c r="R31" i="102"/>
  <c r="T29" i="102"/>
  <c r="R29" i="102"/>
  <c r="X25" i="102"/>
  <c r="V25" i="102"/>
  <c r="T25" i="102"/>
  <c r="P25" i="102"/>
  <c r="N25" i="102"/>
  <c r="L25" i="102"/>
  <c r="I25" i="102"/>
  <c r="G25" i="102"/>
  <c r="R24" i="102"/>
  <c r="R25" i="102" s="1"/>
  <c r="X19" i="102"/>
  <c r="V19" i="102"/>
  <c r="T19" i="102"/>
  <c r="R19" i="102"/>
  <c r="P19" i="102"/>
  <c r="N19" i="102"/>
  <c r="L19" i="102"/>
  <c r="I19" i="102"/>
  <c r="G19" i="102"/>
  <c r="X11" i="102"/>
  <c r="T11" i="102"/>
  <c r="P11" i="102"/>
  <c r="N11" i="102"/>
  <c r="L11" i="102"/>
  <c r="I11" i="102"/>
  <c r="G11" i="102"/>
  <c r="V10" i="102"/>
  <c r="V11" i="102" s="1"/>
  <c r="R10" i="102"/>
  <c r="R11" i="102" s="1"/>
  <c r="E10" i="102"/>
  <c r="P35" i="101"/>
  <c r="N35" i="101"/>
  <c r="L35" i="101"/>
  <c r="I35" i="101"/>
  <c r="G35" i="101"/>
  <c r="X34" i="101"/>
  <c r="X32" i="101"/>
  <c r="X35" i="101" s="1"/>
  <c r="T32" i="101"/>
  <c r="V31" i="101"/>
  <c r="V35" i="101" s="1"/>
  <c r="R31" i="101"/>
  <c r="R35" i="101" s="1"/>
  <c r="T29" i="101"/>
  <c r="X25" i="101"/>
  <c r="V25" i="101"/>
  <c r="T25" i="101"/>
  <c r="P25" i="101"/>
  <c r="N25" i="101"/>
  <c r="L25" i="101"/>
  <c r="I25" i="101"/>
  <c r="G25" i="101"/>
  <c r="R24" i="101"/>
  <c r="R25" i="101" s="1"/>
  <c r="X19" i="101"/>
  <c r="V19" i="101"/>
  <c r="T19" i="101"/>
  <c r="R19" i="101"/>
  <c r="P19" i="101"/>
  <c r="N19" i="101"/>
  <c r="L19" i="101"/>
  <c r="I19" i="101"/>
  <c r="G19" i="101"/>
  <c r="X11" i="101"/>
  <c r="T11" i="101"/>
  <c r="P11" i="101"/>
  <c r="N11" i="101"/>
  <c r="L11" i="101"/>
  <c r="I11" i="101"/>
  <c r="G11" i="101"/>
  <c r="V10" i="101"/>
  <c r="V11" i="101" s="1"/>
  <c r="R10" i="101"/>
  <c r="R11" i="101" s="1"/>
  <c r="E10" i="101"/>
  <c r="P35" i="100"/>
  <c r="N35" i="100"/>
  <c r="L35" i="100"/>
  <c r="I35" i="100"/>
  <c r="G35" i="100"/>
  <c r="X34" i="100"/>
  <c r="X32" i="100"/>
  <c r="X35" i="100" s="1"/>
  <c r="X37" i="100" s="1"/>
  <c r="T32" i="100"/>
  <c r="T35" i="100" s="1"/>
  <c r="V31" i="100"/>
  <c r="V35" i="100" s="1"/>
  <c r="R31" i="100"/>
  <c r="R35" i="100" s="1"/>
  <c r="X25" i="100"/>
  <c r="V25" i="100"/>
  <c r="T25" i="100"/>
  <c r="R25" i="100"/>
  <c r="P25" i="100"/>
  <c r="N25" i="100"/>
  <c r="L25" i="100"/>
  <c r="I25" i="100"/>
  <c r="G25" i="100"/>
  <c r="R24" i="100"/>
  <c r="X19" i="100"/>
  <c r="V19" i="100"/>
  <c r="T19" i="100"/>
  <c r="R19" i="100"/>
  <c r="P19" i="100"/>
  <c r="N19" i="100"/>
  <c r="L19" i="100"/>
  <c r="I19" i="100"/>
  <c r="G19" i="100"/>
  <c r="X11" i="100"/>
  <c r="T11" i="100"/>
  <c r="P11" i="100"/>
  <c r="N11" i="100"/>
  <c r="L11" i="100"/>
  <c r="I11" i="100"/>
  <c r="V10" i="100"/>
  <c r="V11" i="100" s="1"/>
  <c r="R10" i="100"/>
  <c r="R11" i="100" s="1"/>
  <c r="E10" i="100"/>
  <c r="G9" i="100"/>
  <c r="G11" i="100" s="1"/>
  <c r="G37" i="100" s="1"/>
  <c r="X35" i="99"/>
  <c r="V35" i="99"/>
  <c r="P35" i="99"/>
  <c r="N35" i="99"/>
  <c r="L35" i="99"/>
  <c r="I35" i="99"/>
  <c r="G35" i="99"/>
  <c r="T32" i="99"/>
  <c r="T35" i="99" s="1"/>
  <c r="R31" i="99"/>
  <c r="R35" i="99" s="1"/>
  <c r="X25" i="99"/>
  <c r="V25" i="99"/>
  <c r="V37" i="99" s="1"/>
  <c r="T25" i="99"/>
  <c r="P25" i="99"/>
  <c r="N25" i="99"/>
  <c r="N37" i="99" s="1"/>
  <c r="L25" i="99"/>
  <c r="I25" i="99"/>
  <c r="G25" i="99"/>
  <c r="R24" i="99"/>
  <c r="R25" i="99" s="1"/>
  <c r="X19" i="99"/>
  <c r="V19" i="99"/>
  <c r="T19" i="99"/>
  <c r="R19" i="99"/>
  <c r="P19" i="99"/>
  <c r="N19" i="99"/>
  <c r="L19" i="99"/>
  <c r="I19" i="99"/>
  <c r="G19" i="99"/>
  <c r="X11" i="99"/>
  <c r="V11" i="99"/>
  <c r="T11" i="99"/>
  <c r="P11" i="99"/>
  <c r="N11" i="99"/>
  <c r="L11" i="99"/>
  <c r="R10" i="99"/>
  <c r="R11" i="99" s="1"/>
  <c r="E10" i="99"/>
  <c r="I9" i="99"/>
  <c r="I11" i="99" s="1"/>
  <c r="G9" i="99"/>
  <c r="G11" i="99" s="1"/>
  <c r="X35" i="98"/>
  <c r="V35" i="98"/>
  <c r="P35" i="98"/>
  <c r="N35" i="98"/>
  <c r="L35" i="98"/>
  <c r="I35" i="98"/>
  <c r="G35" i="98"/>
  <c r="X34" i="98"/>
  <c r="T32" i="98"/>
  <c r="T35" i="98" s="1"/>
  <c r="Y31" i="98"/>
  <c r="Y35" i="98" s="1"/>
  <c r="R31" i="98"/>
  <c r="R35" i="98" s="1"/>
  <c r="Y25" i="98"/>
  <c r="X25" i="98"/>
  <c r="V25" i="98"/>
  <c r="T25" i="98"/>
  <c r="P25" i="98"/>
  <c r="N25" i="98"/>
  <c r="L25" i="98"/>
  <c r="I25" i="98"/>
  <c r="G25" i="98"/>
  <c r="R24" i="98"/>
  <c r="R25" i="98" s="1"/>
  <c r="Y19" i="98"/>
  <c r="X19" i="98"/>
  <c r="V19" i="98"/>
  <c r="T19" i="98"/>
  <c r="R19" i="98"/>
  <c r="P19" i="98"/>
  <c r="N19" i="98"/>
  <c r="L19" i="98"/>
  <c r="I19" i="98"/>
  <c r="G19" i="98"/>
  <c r="X11" i="98"/>
  <c r="V11" i="98"/>
  <c r="T11" i="98"/>
  <c r="P11" i="98"/>
  <c r="N11" i="98"/>
  <c r="L11" i="98"/>
  <c r="Y10" i="98"/>
  <c r="Y11" i="98" s="1"/>
  <c r="R10" i="98"/>
  <c r="R11" i="98" s="1"/>
  <c r="E10" i="98"/>
  <c r="I9" i="98"/>
  <c r="I11" i="98" s="1"/>
  <c r="G9" i="98"/>
  <c r="G11" i="98" s="1"/>
  <c r="V35" i="97"/>
  <c r="P35" i="97"/>
  <c r="N35" i="97"/>
  <c r="L35" i="97"/>
  <c r="I35" i="97"/>
  <c r="G35" i="97"/>
  <c r="X34" i="97"/>
  <c r="X35" i="97" s="1"/>
  <c r="X37" i="97" s="1"/>
  <c r="T32" i="97"/>
  <c r="T35" i="97" s="1"/>
  <c r="R31" i="97"/>
  <c r="R35" i="97" s="1"/>
  <c r="X25" i="97"/>
  <c r="V25" i="97"/>
  <c r="T25" i="97"/>
  <c r="P25" i="97"/>
  <c r="N25" i="97"/>
  <c r="L25" i="97"/>
  <c r="I25" i="97"/>
  <c r="G25" i="97"/>
  <c r="R24" i="97"/>
  <c r="R25" i="97" s="1"/>
  <c r="X19" i="97"/>
  <c r="V19" i="97"/>
  <c r="T19" i="97"/>
  <c r="R19" i="97"/>
  <c r="P19" i="97"/>
  <c r="N19" i="97"/>
  <c r="L19" i="97"/>
  <c r="I19" i="97"/>
  <c r="G19" i="97"/>
  <c r="X11" i="97"/>
  <c r="V11" i="97"/>
  <c r="T11" i="97"/>
  <c r="P11" i="97"/>
  <c r="N11" i="97"/>
  <c r="L11" i="97"/>
  <c r="R10" i="97"/>
  <c r="R11" i="97" s="1"/>
  <c r="E10" i="97"/>
  <c r="I9" i="97"/>
  <c r="I11" i="97" s="1"/>
  <c r="G9" i="97"/>
  <c r="G11" i="97" s="1"/>
  <c r="R35" i="96"/>
  <c r="P35" i="96"/>
  <c r="P37" i="96" s="1"/>
  <c r="N35" i="96"/>
  <c r="L35" i="96"/>
  <c r="I35" i="96"/>
  <c r="G35" i="96"/>
  <c r="G37" i="96" s="1"/>
  <c r="X34" i="96"/>
  <c r="T32" i="96"/>
  <c r="T35" i="96" s="1"/>
  <c r="X31" i="96"/>
  <c r="X35" i="96" s="1"/>
  <c r="V31" i="96"/>
  <c r="V35" i="96" s="1"/>
  <c r="R31" i="96"/>
  <c r="X25" i="96"/>
  <c r="V25" i="96"/>
  <c r="T25" i="96"/>
  <c r="P25" i="96"/>
  <c r="N25" i="96"/>
  <c r="L25" i="96"/>
  <c r="I25" i="96"/>
  <c r="G25" i="96"/>
  <c r="R24" i="96"/>
  <c r="R25" i="96" s="1"/>
  <c r="X19" i="96"/>
  <c r="V19" i="96"/>
  <c r="T19" i="96"/>
  <c r="R19" i="96"/>
  <c r="P19" i="96"/>
  <c r="N19" i="96"/>
  <c r="L19" i="96"/>
  <c r="I19" i="96"/>
  <c r="G19" i="96"/>
  <c r="X11" i="96"/>
  <c r="T11" i="96"/>
  <c r="P11" i="96"/>
  <c r="N11" i="96"/>
  <c r="L11" i="96"/>
  <c r="L37" i="96" s="1"/>
  <c r="G11" i="96"/>
  <c r="V10" i="96"/>
  <c r="V11" i="96" s="1"/>
  <c r="R10" i="96"/>
  <c r="R11" i="96" s="1"/>
  <c r="E10" i="96"/>
  <c r="I9" i="96"/>
  <c r="I11" i="96" s="1"/>
  <c r="P35" i="95"/>
  <c r="N35" i="95"/>
  <c r="N37" i="95" s="1"/>
  <c r="L35" i="95"/>
  <c r="I35" i="95"/>
  <c r="G35" i="95"/>
  <c r="X34" i="95"/>
  <c r="T32" i="95"/>
  <c r="T35" i="95" s="1"/>
  <c r="X31" i="95"/>
  <c r="V31" i="95"/>
  <c r="V35" i="95" s="1"/>
  <c r="R31" i="95"/>
  <c r="R35" i="95" s="1"/>
  <c r="X25" i="95"/>
  <c r="V25" i="95"/>
  <c r="T25" i="95"/>
  <c r="P25" i="95"/>
  <c r="N25" i="95"/>
  <c r="L25" i="95"/>
  <c r="I25" i="95"/>
  <c r="G25" i="95"/>
  <c r="R24" i="95"/>
  <c r="R25" i="95" s="1"/>
  <c r="X19" i="95"/>
  <c r="V19" i="95"/>
  <c r="T19" i="95"/>
  <c r="R19" i="95"/>
  <c r="P19" i="95"/>
  <c r="N19" i="95"/>
  <c r="L19" i="95"/>
  <c r="I19" i="95"/>
  <c r="G19" i="95"/>
  <c r="X11" i="95"/>
  <c r="T11" i="95"/>
  <c r="P11" i="95"/>
  <c r="N11" i="95"/>
  <c r="L11" i="95"/>
  <c r="I11" i="95"/>
  <c r="G11" i="95"/>
  <c r="V10" i="95"/>
  <c r="V11" i="95" s="1"/>
  <c r="R10" i="95"/>
  <c r="R11" i="95" s="1"/>
  <c r="E10" i="95"/>
  <c r="X35" i="94"/>
  <c r="V35" i="94"/>
  <c r="P35" i="94"/>
  <c r="N35" i="94"/>
  <c r="L35" i="94"/>
  <c r="I35" i="94"/>
  <c r="G35" i="94"/>
  <c r="T32" i="94"/>
  <c r="T35" i="94" s="1"/>
  <c r="R31" i="94"/>
  <c r="R35" i="94" s="1"/>
  <c r="X25" i="94"/>
  <c r="V25" i="94"/>
  <c r="T25" i="94"/>
  <c r="R25" i="94"/>
  <c r="P25" i="94"/>
  <c r="N25" i="94"/>
  <c r="L25" i="94"/>
  <c r="I25" i="94"/>
  <c r="G25" i="94"/>
  <c r="X19" i="94"/>
  <c r="V19" i="94"/>
  <c r="T19" i="94"/>
  <c r="R19" i="94"/>
  <c r="P19" i="94"/>
  <c r="N19" i="94"/>
  <c r="L19" i="94"/>
  <c r="I19" i="94"/>
  <c r="G19" i="94"/>
  <c r="X11" i="94"/>
  <c r="V11" i="94"/>
  <c r="T11" i="94"/>
  <c r="P11" i="94"/>
  <c r="N11" i="94"/>
  <c r="L11" i="94"/>
  <c r="I11" i="94"/>
  <c r="G11" i="94"/>
  <c r="R10" i="94"/>
  <c r="R11" i="94" s="1"/>
  <c r="E10" i="94"/>
  <c r="X35" i="93"/>
  <c r="V35" i="93"/>
  <c r="T35" i="93"/>
  <c r="R35" i="93"/>
  <c r="P35" i="93"/>
  <c r="N35" i="93"/>
  <c r="L35" i="93"/>
  <c r="I35" i="93"/>
  <c r="G35" i="93"/>
  <c r="X25" i="93"/>
  <c r="V25" i="93"/>
  <c r="T25" i="93"/>
  <c r="R25" i="93"/>
  <c r="P25" i="93"/>
  <c r="N25" i="93"/>
  <c r="L25" i="93"/>
  <c r="I25" i="93"/>
  <c r="G25" i="93"/>
  <c r="X19" i="93"/>
  <c r="V19" i="93"/>
  <c r="T19" i="93"/>
  <c r="R19" i="93"/>
  <c r="P19" i="93"/>
  <c r="N19" i="93"/>
  <c r="L19" i="93"/>
  <c r="I19" i="93"/>
  <c r="G19" i="93"/>
  <c r="X11" i="93"/>
  <c r="V11" i="93"/>
  <c r="T11" i="93"/>
  <c r="R11" i="93"/>
  <c r="P11" i="93"/>
  <c r="N11" i="93"/>
  <c r="L11" i="93"/>
  <c r="I11" i="93"/>
  <c r="G11" i="93"/>
  <c r="E10" i="93"/>
  <c r="L77" i="92"/>
  <c r="L66" i="92"/>
  <c r="L60" i="92"/>
  <c r="L52" i="92"/>
  <c r="X35" i="92"/>
  <c r="V35" i="92"/>
  <c r="P35" i="92"/>
  <c r="N35" i="92"/>
  <c r="L35" i="92"/>
  <c r="I35" i="92"/>
  <c r="G35" i="92"/>
  <c r="T34" i="92"/>
  <c r="T32" i="92"/>
  <c r="R31" i="92"/>
  <c r="R35" i="92" s="1"/>
  <c r="X25" i="92"/>
  <c r="V25" i="92"/>
  <c r="T25" i="92"/>
  <c r="R25" i="92"/>
  <c r="P25" i="92"/>
  <c r="N25" i="92"/>
  <c r="L25" i="92"/>
  <c r="I25" i="92"/>
  <c r="G25" i="92"/>
  <c r="X19" i="92"/>
  <c r="V19" i="92"/>
  <c r="T19" i="92"/>
  <c r="R19" i="92"/>
  <c r="P19" i="92"/>
  <c r="N19" i="92"/>
  <c r="L19" i="92"/>
  <c r="I19" i="92"/>
  <c r="I37" i="92" s="1"/>
  <c r="G19" i="92"/>
  <c r="X11" i="92"/>
  <c r="V11" i="92"/>
  <c r="T11" i="92"/>
  <c r="P11" i="92"/>
  <c r="N11" i="92"/>
  <c r="L11" i="92"/>
  <c r="I11" i="92"/>
  <c r="G11" i="92"/>
  <c r="R10" i="92"/>
  <c r="R11" i="92" s="1"/>
  <c r="E10" i="92"/>
  <c r="L77" i="90"/>
  <c r="L66" i="90"/>
  <c r="L60" i="90"/>
  <c r="L52" i="90"/>
  <c r="X35" i="90"/>
  <c r="V35" i="90"/>
  <c r="P35" i="90"/>
  <c r="N35" i="90"/>
  <c r="L35" i="90"/>
  <c r="I35" i="90"/>
  <c r="G35" i="90"/>
  <c r="T34" i="90"/>
  <c r="T32" i="90"/>
  <c r="T35" i="90" s="1"/>
  <c r="T37" i="90" s="1"/>
  <c r="R31" i="90"/>
  <c r="R35" i="90" s="1"/>
  <c r="X25" i="90"/>
  <c r="V25" i="90"/>
  <c r="T25" i="90"/>
  <c r="R25" i="90"/>
  <c r="P25" i="90"/>
  <c r="N25" i="90"/>
  <c r="L25" i="90"/>
  <c r="I25" i="90"/>
  <c r="G25" i="90"/>
  <c r="X19" i="90"/>
  <c r="V19" i="90"/>
  <c r="T19" i="90"/>
  <c r="R19" i="90"/>
  <c r="P19" i="90"/>
  <c r="N19" i="90"/>
  <c r="L19" i="90"/>
  <c r="I19" i="90"/>
  <c r="G19" i="90"/>
  <c r="X11" i="90"/>
  <c r="V11" i="90"/>
  <c r="T11" i="90"/>
  <c r="P11" i="90"/>
  <c r="N11" i="90"/>
  <c r="L11" i="90"/>
  <c r="I11" i="90"/>
  <c r="G11" i="90"/>
  <c r="R10" i="90"/>
  <c r="R11" i="90" s="1"/>
  <c r="E10" i="90"/>
  <c r="L77" i="89"/>
  <c r="L66" i="89"/>
  <c r="L60" i="89"/>
  <c r="L52" i="89"/>
  <c r="X35" i="89"/>
  <c r="V35" i="89"/>
  <c r="P35" i="89"/>
  <c r="N35" i="89"/>
  <c r="L35" i="89"/>
  <c r="I35" i="89"/>
  <c r="G35" i="89"/>
  <c r="T34" i="89"/>
  <c r="T32" i="89"/>
  <c r="R31" i="89"/>
  <c r="R35" i="89" s="1"/>
  <c r="X25" i="89"/>
  <c r="V25" i="89"/>
  <c r="T25" i="89"/>
  <c r="R25" i="89"/>
  <c r="P25" i="89"/>
  <c r="N25" i="89"/>
  <c r="L25" i="89"/>
  <c r="I25" i="89"/>
  <c r="G25" i="89"/>
  <c r="X19" i="89"/>
  <c r="V19" i="89"/>
  <c r="T19" i="89"/>
  <c r="R19" i="89"/>
  <c r="P19" i="89"/>
  <c r="N19" i="89"/>
  <c r="L19" i="89"/>
  <c r="I19" i="89"/>
  <c r="G19" i="89"/>
  <c r="X11" i="89"/>
  <c r="V11" i="89"/>
  <c r="T11" i="89"/>
  <c r="P11" i="89"/>
  <c r="N11" i="89"/>
  <c r="L11" i="89"/>
  <c r="I11" i="89"/>
  <c r="G11" i="89"/>
  <c r="R10" i="89"/>
  <c r="R11" i="89" s="1"/>
  <c r="E10" i="89"/>
  <c r="L77" i="88"/>
  <c r="L66" i="88"/>
  <c r="L60" i="88"/>
  <c r="L52" i="88"/>
  <c r="X35" i="88"/>
  <c r="V35" i="88"/>
  <c r="P35" i="88"/>
  <c r="N35" i="88"/>
  <c r="L35" i="88"/>
  <c r="I35" i="88"/>
  <c r="G35" i="88"/>
  <c r="T34" i="88"/>
  <c r="T32" i="88"/>
  <c r="T35" i="88" s="1"/>
  <c r="R31" i="88"/>
  <c r="R35" i="88" s="1"/>
  <c r="X25" i="88"/>
  <c r="V25" i="88"/>
  <c r="T25" i="88"/>
  <c r="R25" i="88"/>
  <c r="P25" i="88"/>
  <c r="N25" i="88"/>
  <c r="L25" i="88"/>
  <c r="I25" i="88"/>
  <c r="G25" i="88"/>
  <c r="X19" i="88"/>
  <c r="V19" i="88"/>
  <c r="T19" i="88"/>
  <c r="R19" i="88"/>
  <c r="P19" i="88"/>
  <c r="N19" i="88"/>
  <c r="L19" i="88"/>
  <c r="I19" i="88"/>
  <c r="G19" i="88"/>
  <c r="X11" i="88"/>
  <c r="V11" i="88"/>
  <c r="T11" i="88"/>
  <c r="P11" i="88"/>
  <c r="N11" i="88"/>
  <c r="L11" i="88"/>
  <c r="I11" i="88"/>
  <c r="G11" i="88"/>
  <c r="R10" i="88"/>
  <c r="R11" i="88" s="1"/>
  <c r="X35" i="87"/>
  <c r="V35" i="87"/>
  <c r="P35" i="87"/>
  <c r="N35" i="87"/>
  <c r="L35" i="87"/>
  <c r="I35" i="87"/>
  <c r="G35" i="87"/>
  <c r="T34" i="87"/>
  <c r="T32" i="87"/>
  <c r="R31" i="87"/>
  <c r="R35" i="87" s="1"/>
  <c r="X25" i="87"/>
  <c r="V25" i="87"/>
  <c r="T25" i="87"/>
  <c r="R25" i="87"/>
  <c r="P25" i="87"/>
  <c r="N25" i="87"/>
  <c r="L25" i="87"/>
  <c r="I25" i="87"/>
  <c r="G25" i="87"/>
  <c r="X19" i="87"/>
  <c r="V19" i="87"/>
  <c r="T19" i="87"/>
  <c r="R19" i="87"/>
  <c r="P19" i="87"/>
  <c r="N19" i="87"/>
  <c r="L19" i="87"/>
  <c r="I19" i="87"/>
  <c r="G19" i="87"/>
  <c r="X11" i="87"/>
  <c r="V11" i="87"/>
  <c r="T11" i="87"/>
  <c r="P11" i="87"/>
  <c r="N11" i="87"/>
  <c r="L11" i="87"/>
  <c r="I11" i="87"/>
  <c r="G11" i="87"/>
  <c r="R10" i="87"/>
  <c r="R11" i="87" s="1"/>
  <c r="L78" i="86"/>
  <c r="L67" i="86"/>
  <c r="L61" i="86"/>
  <c r="L53" i="86"/>
  <c r="X35" i="86"/>
  <c r="V35" i="86"/>
  <c r="P35" i="86"/>
  <c r="N35" i="86"/>
  <c r="L35" i="86"/>
  <c r="I35" i="86"/>
  <c r="G35" i="86"/>
  <c r="T34" i="86"/>
  <c r="T32" i="86"/>
  <c r="T35" i="86" s="1"/>
  <c r="R31" i="86"/>
  <c r="R35" i="86" s="1"/>
  <c r="X25" i="86"/>
  <c r="V25" i="86"/>
  <c r="T25" i="86"/>
  <c r="R25" i="86"/>
  <c r="P25" i="86"/>
  <c r="N25" i="86"/>
  <c r="L25" i="86"/>
  <c r="I25" i="86"/>
  <c r="G25" i="86"/>
  <c r="X19" i="86"/>
  <c r="V19" i="86"/>
  <c r="T19" i="86"/>
  <c r="R19" i="86"/>
  <c r="P19" i="86"/>
  <c r="N19" i="86"/>
  <c r="L19" i="86"/>
  <c r="I19" i="86"/>
  <c r="G19" i="86"/>
  <c r="X11" i="86"/>
  <c r="V11" i="86"/>
  <c r="T11" i="86"/>
  <c r="P11" i="86"/>
  <c r="N11" i="86"/>
  <c r="L11" i="86"/>
  <c r="I11" i="86"/>
  <c r="G11" i="86"/>
  <c r="R10" i="86"/>
  <c r="R11" i="86" s="1"/>
  <c r="L78" i="85"/>
  <c r="L67" i="85"/>
  <c r="L61" i="85"/>
  <c r="L53" i="85"/>
  <c r="X35" i="85"/>
  <c r="V35" i="85"/>
  <c r="P35" i="85"/>
  <c r="N35" i="85"/>
  <c r="L35" i="85"/>
  <c r="I35" i="85"/>
  <c r="G35" i="85"/>
  <c r="T34" i="85"/>
  <c r="T32" i="85"/>
  <c r="T35" i="85" s="1"/>
  <c r="R31" i="85"/>
  <c r="R35" i="85" s="1"/>
  <c r="X25" i="85"/>
  <c r="V25" i="85"/>
  <c r="T25" i="85"/>
  <c r="R25" i="85"/>
  <c r="P25" i="85"/>
  <c r="N25" i="85"/>
  <c r="L25" i="85"/>
  <c r="I25" i="85"/>
  <c r="G25" i="85"/>
  <c r="X19" i="85"/>
  <c r="V19" i="85"/>
  <c r="T19" i="85"/>
  <c r="R19" i="85"/>
  <c r="P19" i="85"/>
  <c r="N19" i="85"/>
  <c r="L19" i="85"/>
  <c r="I19" i="85"/>
  <c r="G19" i="85"/>
  <c r="X11" i="85"/>
  <c r="V11" i="85"/>
  <c r="T11" i="85"/>
  <c r="P11" i="85"/>
  <c r="N11" i="85"/>
  <c r="L11" i="85"/>
  <c r="I11" i="85"/>
  <c r="G11" i="85"/>
  <c r="R10" i="85"/>
  <c r="R11" i="85" s="1"/>
  <c r="L40" i="84"/>
  <c r="X35" i="84"/>
  <c r="V35" i="84"/>
  <c r="P35" i="84"/>
  <c r="N35" i="84"/>
  <c r="L35" i="84"/>
  <c r="I35" i="84"/>
  <c r="G35" i="84"/>
  <c r="T34" i="84"/>
  <c r="T32" i="84"/>
  <c r="R31" i="84"/>
  <c r="R35" i="84" s="1"/>
  <c r="X25" i="84"/>
  <c r="V25" i="84"/>
  <c r="T25" i="84"/>
  <c r="R25" i="84"/>
  <c r="P25" i="84"/>
  <c r="N25" i="84"/>
  <c r="L25" i="84"/>
  <c r="I25" i="84"/>
  <c r="G25" i="84"/>
  <c r="X19" i="84"/>
  <c r="V19" i="84"/>
  <c r="T19" i="84"/>
  <c r="R19" i="84"/>
  <c r="P19" i="84"/>
  <c r="N19" i="84"/>
  <c r="L19" i="84"/>
  <c r="I19" i="84"/>
  <c r="G19" i="84"/>
  <c r="X11" i="84"/>
  <c r="V11" i="84"/>
  <c r="T11" i="84"/>
  <c r="P11" i="84"/>
  <c r="N11" i="84"/>
  <c r="L11" i="84"/>
  <c r="I11" i="84"/>
  <c r="G11" i="84"/>
  <c r="R10" i="84"/>
  <c r="R11" i="84" s="1"/>
  <c r="L74" i="83"/>
  <c r="L64" i="83"/>
  <c r="L58" i="83"/>
  <c r="X35" i="83"/>
  <c r="V35" i="83"/>
  <c r="P35" i="83"/>
  <c r="N35" i="83"/>
  <c r="L35" i="83"/>
  <c r="I35" i="83"/>
  <c r="G35" i="83"/>
  <c r="T34" i="83"/>
  <c r="T31" i="83"/>
  <c r="R31" i="83"/>
  <c r="R35" i="83" s="1"/>
  <c r="X25" i="83"/>
  <c r="V25" i="83"/>
  <c r="T25" i="83"/>
  <c r="R25" i="83"/>
  <c r="P25" i="83"/>
  <c r="N25" i="83"/>
  <c r="L25" i="83"/>
  <c r="I25" i="83"/>
  <c r="G25" i="83"/>
  <c r="X19" i="83"/>
  <c r="X37" i="83" s="1"/>
  <c r="V19" i="83"/>
  <c r="T19" i="83"/>
  <c r="R19" i="83"/>
  <c r="P19" i="83"/>
  <c r="P37" i="83" s="1"/>
  <c r="N19" i="83"/>
  <c r="L19" i="83"/>
  <c r="I19" i="83"/>
  <c r="G19" i="83"/>
  <c r="X11" i="83"/>
  <c r="V11" i="83"/>
  <c r="T11" i="83"/>
  <c r="R11" i="83"/>
  <c r="P11" i="83"/>
  <c r="N11" i="83"/>
  <c r="L11" i="83"/>
  <c r="I11" i="83"/>
  <c r="I37" i="83" s="1"/>
  <c r="G11" i="83"/>
  <c r="R10" i="83"/>
  <c r="X35" i="82"/>
  <c r="X37" i="82" s="1"/>
  <c r="V35" i="82"/>
  <c r="P35" i="82"/>
  <c r="N35" i="82"/>
  <c r="L35" i="82"/>
  <c r="I35" i="82"/>
  <c r="G35" i="82"/>
  <c r="T34" i="82"/>
  <c r="T31" i="82"/>
  <c r="T35" i="82" s="1"/>
  <c r="T37" i="82" s="1"/>
  <c r="R31" i="82"/>
  <c r="R35" i="82" s="1"/>
  <c r="Z30" i="82"/>
  <c r="AA29" i="82"/>
  <c r="AA31" i="82" s="1"/>
  <c r="Z28" i="82"/>
  <c r="Z31" i="82" s="1"/>
  <c r="X25" i="82"/>
  <c r="V25" i="82"/>
  <c r="T25" i="82"/>
  <c r="R25" i="82"/>
  <c r="P25" i="82"/>
  <c r="N25" i="82"/>
  <c r="L25" i="82"/>
  <c r="I25" i="82"/>
  <c r="G25" i="82"/>
  <c r="AA21" i="82"/>
  <c r="Z20" i="82"/>
  <c r="Z21" i="82" s="1"/>
  <c r="X19" i="82"/>
  <c r="V19" i="82"/>
  <c r="T19" i="82"/>
  <c r="R19" i="82"/>
  <c r="P19" i="82"/>
  <c r="N19" i="82"/>
  <c r="L19" i="82"/>
  <c r="I19" i="82"/>
  <c r="G19" i="82"/>
  <c r="AA15" i="82"/>
  <c r="Z11" i="82"/>
  <c r="Z15" i="82" s="1"/>
  <c r="X11" i="82"/>
  <c r="V11" i="82"/>
  <c r="T11" i="82"/>
  <c r="P11" i="82"/>
  <c r="N11" i="82"/>
  <c r="L11" i="82"/>
  <c r="I11" i="82"/>
  <c r="G11" i="82"/>
  <c r="R10" i="82"/>
  <c r="R11" i="82" s="1"/>
  <c r="X35" i="81"/>
  <c r="V35" i="81"/>
  <c r="P35" i="81"/>
  <c r="N35" i="81"/>
  <c r="L35" i="81"/>
  <c r="I35" i="81"/>
  <c r="G35" i="81"/>
  <c r="T34" i="81"/>
  <c r="T31" i="81"/>
  <c r="R31" i="81"/>
  <c r="R35" i="81" s="1"/>
  <c r="X25" i="81"/>
  <c r="V25" i="81"/>
  <c r="T25" i="81"/>
  <c r="R25" i="81"/>
  <c r="P25" i="81"/>
  <c r="N25" i="81"/>
  <c r="L25" i="81"/>
  <c r="I25" i="81"/>
  <c r="G25" i="81"/>
  <c r="X19" i="81"/>
  <c r="V19" i="81"/>
  <c r="T19" i="81"/>
  <c r="R19" i="81"/>
  <c r="P19" i="81"/>
  <c r="N19" i="81"/>
  <c r="L19" i="81"/>
  <c r="I19" i="81"/>
  <c r="G19" i="81"/>
  <c r="X11" i="81"/>
  <c r="V11" i="81"/>
  <c r="T11" i="81"/>
  <c r="P11" i="81"/>
  <c r="N11" i="81"/>
  <c r="L11" i="81"/>
  <c r="I11" i="81"/>
  <c r="G11" i="81"/>
  <c r="R10" i="81"/>
  <c r="R11" i="81" s="1"/>
  <c r="X35" i="80"/>
  <c r="V35" i="80"/>
  <c r="P35" i="80"/>
  <c r="N35" i="80"/>
  <c r="L35" i="80"/>
  <c r="I35" i="80"/>
  <c r="G35" i="80"/>
  <c r="T34" i="80"/>
  <c r="T31" i="80"/>
  <c r="T35" i="80" s="1"/>
  <c r="R31" i="80"/>
  <c r="R35" i="80" s="1"/>
  <c r="X25" i="80"/>
  <c r="V25" i="80"/>
  <c r="T25" i="80"/>
  <c r="R25" i="80"/>
  <c r="P25" i="80"/>
  <c r="N25" i="80"/>
  <c r="L25" i="80"/>
  <c r="I25" i="80"/>
  <c r="G25" i="80"/>
  <c r="X19" i="80"/>
  <c r="V19" i="80"/>
  <c r="T19" i="80"/>
  <c r="R19" i="80"/>
  <c r="P19" i="80"/>
  <c r="N19" i="80"/>
  <c r="L19" i="80"/>
  <c r="I19" i="80"/>
  <c r="G19" i="80"/>
  <c r="X11" i="80"/>
  <c r="V11" i="80"/>
  <c r="T11" i="80"/>
  <c r="P11" i="80"/>
  <c r="N11" i="80"/>
  <c r="L11" i="80"/>
  <c r="I11" i="80"/>
  <c r="G11" i="80"/>
  <c r="R10" i="80"/>
  <c r="R11" i="80" s="1"/>
  <c r="X35" i="78"/>
  <c r="V35" i="78"/>
  <c r="T35" i="78"/>
  <c r="R35" i="78"/>
  <c r="P35" i="78"/>
  <c r="N35" i="78"/>
  <c r="L35" i="78"/>
  <c r="I35" i="78"/>
  <c r="G35" i="78"/>
  <c r="X25" i="78"/>
  <c r="V25" i="78"/>
  <c r="T25" i="78"/>
  <c r="R25" i="78"/>
  <c r="P25" i="78"/>
  <c r="N25" i="78"/>
  <c r="L25" i="78"/>
  <c r="I25" i="78"/>
  <c r="G25" i="78"/>
  <c r="X19" i="78"/>
  <c r="V19" i="78"/>
  <c r="T19" i="78"/>
  <c r="R19" i="78"/>
  <c r="P19" i="78"/>
  <c r="N19" i="78"/>
  <c r="L19" i="78"/>
  <c r="I19" i="78"/>
  <c r="G19" i="78"/>
  <c r="X11" i="78"/>
  <c r="V11" i="78"/>
  <c r="T11" i="78"/>
  <c r="R11" i="78"/>
  <c r="P11" i="78"/>
  <c r="N11" i="78"/>
  <c r="L11" i="78"/>
  <c r="I11" i="78"/>
  <c r="G11" i="78"/>
  <c r="V36" i="79"/>
  <c r="L36" i="79"/>
  <c r="I36" i="79"/>
  <c r="G36" i="79"/>
  <c r="R35" i="79"/>
  <c r="R34" i="79"/>
  <c r="P34" i="79"/>
  <c r="N34" i="79"/>
  <c r="N36" i="79" s="1"/>
  <c r="T33" i="79"/>
  <c r="T36" i="79" s="1"/>
  <c r="R32" i="79"/>
  <c r="P32" i="79"/>
  <c r="V25" i="79"/>
  <c r="T25" i="79"/>
  <c r="R25" i="79"/>
  <c r="P25" i="79"/>
  <c r="N25" i="79"/>
  <c r="L25" i="79"/>
  <c r="I25" i="79"/>
  <c r="G25" i="79"/>
  <c r="R24" i="79"/>
  <c r="V19" i="79"/>
  <c r="T19" i="79"/>
  <c r="R19" i="79"/>
  <c r="P19" i="79"/>
  <c r="N19" i="79"/>
  <c r="L19" i="79"/>
  <c r="I19" i="79"/>
  <c r="G19" i="79"/>
  <c r="T11" i="79"/>
  <c r="R11" i="79"/>
  <c r="P11" i="79"/>
  <c r="N11" i="79"/>
  <c r="L11" i="79"/>
  <c r="I11" i="79"/>
  <c r="G11" i="79"/>
  <c r="R10" i="79"/>
  <c r="V36" i="77"/>
  <c r="P36" i="77"/>
  <c r="N36" i="77"/>
  <c r="L36" i="77"/>
  <c r="I36" i="77"/>
  <c r="G36" i="77"/>
  <c r="R35" i="77"/>
  <c r="R34" i="77"/>
  <c r="T33" i="77"/>
  <c r="T36" i="77" s="1"/>
  <c r="R32" i="77"/>
  <c r="V25" i="77"/>
  <c r="T25" i="77"/>
  <c r="P25" i="77"/>
  <c r="N25" i="77"/>
  <c r="L25" i="77"/>
  <c r="I25" i="77"/>
  <c r="G25" i="77"/>
  <c r="R24" i="77"/>
  <c r="R25" i="77" s="1"/>
  <c r="V19" i="77"/>
  <c r="T19" i="77"/>
  <c r="R19" i="77"/>
  <c r="P19" i="77"/>
  <c r="N19" i="77"/>
  <c r="L19" i="77"/>
  <c r="I19" i="77"/>
  <c r="G19" i="77"/>
  <c r="T11" i="77"/>
  <c r="P11" i="77"/>
  <c r="N11" i="77"/>
  <c r="L11" i="77"/>
  <c r="I11" i="77"/>
  <c r="G11" i="77"/>
  <c r="R10" i="77"/>
  <c r="R11" i="77" s="1"/>
  <c r="V36" i="76"/>
  <c r="P36" i="76"/>
  <c r="N36" i="76"/>
  <c r="L36" i="76"/>
  <c r="I36" i="76"/>
  <c r="G36" i="76"/>
  <c r="R35" i="76"/>
  <c r="R34" i="76"/>
  <c r="T33" i="76"/>
  <c r="T36" i="76" s="1"/>
  <c r="R32" i="76"/>
  <c r="V25" i="76"/>
  <c r="T25" i="76"/>
  <c r="P25" i="76"/>
  <c r="N25" i="76"/>
  <c r="L25" i="76"/>
  <c r="I25" i="76"/>
  <c r="G25" i="76"/>
  <c r="R24" i="76"/>
  <c r="R25" i="76" s="1"/>
  <c r="V19" i="76"/>
  <c r="T19" i="76"/>
  <c r="R19" i="76"/>
  <c r="P19" i="76"/>
  <c r="N19" i="76"/>
  <c r="L19" i="76"/>
  <c r="I19" i="76"/>
  <c r="G19" i="76"/>
  <c r="T11" i="76"/>
  <c r="P11" i="76"/>
  <c r="N11" i="76"/>
  <c r="L11" i="76"/>
  <c r="I11" i="76"/>
  <c r="G11" i="76"/>
  <c r="R10" i="76"/>
  <c r="R11" i="76" s="1"/>
  <c r="V36" i="75"/>
  <c r="V38" i="75" s="1"/>
  <c r="P36" i="75"/>
  <c r="N36" i="75"/>
  <c r="L36" i="75"/>
  <c r="I36" i="75"/>
  <c r="G36" i="75"/>
  <c r="R35" i="75"/>
  <c r="R34" i="75"/>
  <c r="T33" i="75"/>
  <c r="T36" i="75" s="1"/>
  <c r="T38" i="75" s="1"/>
  <c r="R32" i="75"/>
  <c r="V25" i="75"/>
  <c r="T25" i="75"/>
  <c r="P25" i="75"/>
  <c r="N25" i="75"/>
  <c r="L25" i="75"/>
  <c r="I25" i="75"/>
  <c r="G25" i="75"/>
  <c r="R24" i="75"/>
  <c r="R25" i="75" s="1"/>
  <c r="V19" i="75"/>
  <c r="T19" i="75"/>
  <c r="R19" i="75"/>
  <c r="P19" i="75"/>
  <c r="N19" i="75"/>
  <c r="L19" i="75"/>
  <c r="I19" i="75"/>
  <c r="G19" i="75"/>
  <c r="T11" i="75"/>
  <c r="P11" i="75"/>
  <c r="N11" i="75"/>
  <c r="L11" i="75"/>
  <c r="I11" i="75"/>
  <c r="G11" i="75"/>
  <c r="R10" i="75"/>
  <c r="R11" i="75" s="1"/>
  <c r="N76" i="74"/>
  <c r="L66" i="74"/>
  <c r="N65" i="74"/>
  <c r="G63" i="74"/>
  <c r="L60" i="74"/>
  <c r="N56" i="74"/>
  <c r="L56" i="74"/>
  <c r="V36" i="74"/>
  <c r="P36" i="74"/>
  <c r="N36" i="74"/>
  <c r="L36" i="74"/>
  <c r="I36" i="74"/>
  <c r="G36" i="74"/>
  <c r="R35" i="74"/>
  <c r="R34" i="74"/>
  <c r="T33" i="74"/>
  <c r="T36" i="74" s="1"/>
  <c r="R32" i="74"/>
  <c r="V25" i="74"/>
  <c r="T25" i="74"/>
  <c r="R25" i="74"/>
  <c r="P25" i="74"/>
  <c r="N25" i="74"/>
  <c r="L25" i="74"/>
  <c r="I25" i="74"/>
  <c r="G25" i="74"/>
  <c r="V19" i="74"/>
  <c r="T19" i="74"/>
  <c r="R19" i="74"/>
  <c r="P19" i="74"/>
  <c r="N19" i="74"/>
  <c r="L19" i="74"/>
  <c r="I19" i="74"/>
  <c r="G19" i="74"/>
  <c r="T11" i="74"/>
  <c r="P11" i="74"/>
  <c r="N11" i="74"/>
  <c r="L11" i="74"/>
  <c r="I11" i="74"/>
  <c r="G11" i="74"/>
  <c r="R10" i="74"/>
  <c r="R11" i="74" s="1"/>
  <c r="L66" i="73"/>
  <c r="L60" i="73"/>
  <c r="L56" i="73"/>
  <c r="V36" i="73"/>
  <c r="P36" i="73"/>
  <c r="N36" i="73"/>
  <c r="L36" i="73"/>
  <c r="I36" i="73"/>
  <c r="G36" i="73"/>
  <c r="R35" i="73"/>
  <c r="R34" i="73"/>
  <c r="T33" i="73"/>
  <c r="T36" i="73" s="1"/>
  <c r="R32" i="73"/>
  <c r="R36" i="73" s="1"/>
  <c r="R38" i="73" s="1"/>
  <c r="V25" i="73"/>
  <c r="T25" i="73"/>
  <c r="R25" i="73"/>
  <c r="P25" i="73"/>
  <c r="N25" i="73"/>
  <c r="L25" i="73"/>
  <c r="I25" i="73"/>
  <c r="G25" i="73"/>
  <c r="V19" i="73"/>
  <c r="T19" i="73"/>
  <c r="R19" i="73"/>
  <c r="P19" i="73"/>
  <c r="N19" i="73"/>
  <c r="L19" i="73"/>
  <c r="I19" i="73"/>
  <c r="G19" i="73"/>
  <c r="T11" i="73"/>
  <c r="P11" i="73"/>
  <c r="N11" i="73"/>
  <c r="L11" i="73"/>
  <c r="I11" i="73"/>
  <c r="G11" i="73"/>
  <c r="R10" i="73"/>
  <c r="R11" i="73" s="1"/>
  <c r="L98" i="72"/>
  <c r="L87" i="72"/>
  <c r="L78" i="72"/>
  <c r="L70" i="72"/>
  <c r="L63" i="72"/>
  <c r="L56" i="72"/>
  <c r="V36" i="72"/>
  <c r="P36" i="72"/>
  <c r="N36" i="72"/>
  <c r="L36" i="72"/>
  <c r="I36" i="72"/>
  <c r="G36" i="72"/>
  <c r="R35" i="72"/>
  <c r="R34" i="72"/>
  <c r="T33" i="72"/>
  <c r="T36" i="72" s="1"/>
  <c r="R32" i="72"/>
  <c r="V25" i="72"/>
  <c r="T25" i="72"/>
  <c r="R25" i="72"/>
  <c r="P25" i="72"/>
  <c r="N25" i="72"/>
  <c r="L25" i="72"/>
  <c r="I25" i="72"/>
  <c r="G25" i="72"/>
  <c r="V19" i="72"/>
  <c r="T19" i="72"/>
  <c r="R19" i="72"/>
  <c r="P19" i="72"/>
  <c r="N19" i="72"/>
  <c r="L19" i="72"/>
  <c r="I19" i="72"/>
  <c r="G19" i="72"/>
  <c r="T11" i="72"/>
  <c r="R11" i="72"/>
  <c r="P11" i="72"/>
  <c r="L11" i="72"/>
  <c r="I11" i="72"/>
  <c r="G11" i="72"/>
  <c r="N10" i="72"/>
  <c r="N11" i="72" s="1"/>
  <c r="L70" i="71"/>
  <c r="L63" i="71"/>
  <c r="L56" i="71"/>
  <c r="V36" i="71"/>
  <c r="P36" i="71"/>
  <c r="N36" i="71"/>
  <c r="L36" i="71"/>
  <c r="I36" i="71"/>
  <c r="G36" i="71"/>
  <c r="R35" i="71"/>
  <c r="T33" i="71"/>
  <c r="T36" i="71" s="1"/>
  <c r="R32" i="71"/>
  <c r="V25" i="71"/>
  <c r="T25" i="71"/>
  <c r="R25" i="71"/>
  <c r="P25" i="71"/>
  <c r="N25" i="71"/>
  <c r="L25" i="71"/>
  <c r="I25" i="71"/>
  <c r="G25" i="71"/>
  <c r="V19" i="71"/>
  <c r="T19" i="71"/>
  <c r="R19" i="71"/>
  <c r="P19" i="71"/>
  <c r="N19" i="71"/>
  <c r="L19" i="71"/>
  <c r="I19" i="71"/>
  <c r="G19" i="71"/>
  <c r="T11" i="71"/>
  <c r="R11" i="71"/>
  <c r="P11" i="71"/>
  <c r="N11" i="71"/>
  <c r="L11" i="71"/>
  <c r="I11" i="71"/>
  <c r="G11" i="71"/>
  <c r="L62" i="70"/>
  <c r="L55" i="70"/>
  <c r="L51" i="70"/>
  <c r="V31" i="70"/>
  <c r="P31" i="70"/>
  <c r="N31" i="70"/>
  <c r="L31" i="70"/>
  <c r="I31" i="70"/>
  <c r="G31" i="70"/>
  <c r="R30" i="70"/>
  <c r="T29" i="70"/>
  <c r="T31" i="70" s="1"/>
  <c r="R28" i="70"/>
  <c r="V21" i="70"/>
  <c r="T21" i="70"/>
  <c r="R21" i="70"/>
  <c r="P21" i="70"/>
  <c r="N21" i="70"/>
  <c r="L21" i="70"/>
  <c r="I21" i="70"/>
  <c r="G21" i="70"/>
  <c r="V15" i="70"/>
  <c r="T15" i="70"/>
  <c r="R15" i="70"/>
  <c r="P15" i="70"/>
  <c r="N15" i="70"/>
  <c r="L15" i="70"/>
  <c r="I15" i="70"/>
  <c r="G15" i="70"/>
  <c r="V31" i="69"/>
  <c r="P31" i="69"/>
  <c r="N31" i="69"/>
  <c r="L31" i="69"/>
  <c r="I31" i="69"/>
  <c r="G31" i="69"/>
  <c r="R30" i="69"/>
  <c r="T29" i="69"/>
  <c r="T31" i="69" s="1"/>
  <c r="R28" i="69"/>
  <c r="R31" i="69" s="1"/>
  <c r="V21" i="69"/>
  <c r="T21" i="69"/>
  <c r="P21" i="69"/>
  <c r="N21" i="69"/>
  <c r="L21" i="69"/>
  <c r="I21" i="69"/>
  <c r="G21" i="69"/>
  <c r="R20" i="69"/>
  <c r="R21" i="69" s="1"/>
  <c r="V15" i="69"/>
  <c r="T15" i="69"/>
  <c r="R15" i="69"/>
  <c r="P15" i="69"/>
  <c r="N15" i="69"/>
  <c r="L15" i="69"/>
  <c r="I15" i="69"/>
  <c r="G15" i="69"/>
  <c r="R11" i="69"/>
  <c r="V30" i="68"/>
  <c r="P30" i="68"/>
  <c r="N30" i="68"/>
  <c r="L30" i="68"/>
  <c r="I30" i="68"/>
  <c r="G30" i="68"/>
  <c r="R29" i="68"/>
  <c r="T28" i="68"/>
  <c r="T30" i="68" s="1"/>
  <c r="R27" i="68"/>
  <c r="V20" i="68"/>
  <c r="T20" i="68"/>
  <c r="P20" i="68"/>
  <c r="N20" i="68"/>
  <c r="L20" i="68"/>
  <c r="I20" i="68"/>
  <c r="G20" i="68"/>
  <c r="R18" i="68"/>
  <c r="R20" i="68" s="1"/>
  <c r="V13" i="68"/>
  <c r="T13" i="68"/>
  <c r="P13" i="68"/>
  <c r="N13" i="68"/>
  <c r="L13" i="68"/>
  <c r="I13" i="68"/>
  <c r="G13" i="68"/>
  <c r="R8" i="68"/>
  <c r="R13" i="68" s="1"/>
  <c r="G46" i="67"/>
  <c r="U30" i="67"/>
  <c r="Q30" i="67"/>
  <c r="M30" i="67"/>
  <c r="K30" i="67"/>
  <c r="I30" i="67"/>
  <c r="G30" i="67"/>
  <c r="O27" i="67"/>
  <c r="O30" i="67" s="1"/>
  <c r="S24" i="67"/>
  <c r="S30" i="67" s="1"/>
  <c r="U20" i="67"/>
  <c r="S20" i="67"/>
  <c r="Q20" i="67"/>
  <c r="O20" i="67"/>
  <c r="M20" i="67"/>
  <c r="K20" i="67"/>
  <c r="I20" i="67"/>
  <c r="G20" i="67"/>
  <c r="U13" i="67"/>
  <c r="S13" i="67"/>
  <c r="Q13" i="67"/>
  <c r="O13" i="67"/>
  <c r="M13" i="67"/>
  <c r="K13" i="67"/>
  <c r="I13" i="67"/>
  <c r="G13" i="67"/>
  <c r="V30" i="65"/>
  <c r="T30" i="65"/>
  <c r="R30" i="65"/>
  <c r="P30" i="65"/>
  <c r="N30" i="65"/>
  <c r="L30" i="65"/>
  <c r="I30" i="65"/>
  <c r="G24" i="65"/>
  <c r="G30" i="65" s="1"/>
  <c r="V20" i="65"/>
  <c r="T20" i="65"/>
  <c r="R20" i="65"/>
  <c r="P20" i="65"/>
  <c r="N20" i="65"/>
  <c r="L20" i="65"/>
  <c r="I20" i="65"/>
  <c r="G20" i="65"/>
  <c r="G15" i="65"/>
  <c r="V13" i="65"/>
  <c r="T13" i="65"/>
  <c r="R13" i="65"/>
  <c r="P13" i="65"/>
  <c r="N13" i="65"/>
  <c r="L13" i="65"/>
  <c r="I13" i="65"/>
  <c r="G13" i="65"/>
  <c r="R36" i="64"/>
  <c r="P36" i="64"/>
  <c r="N36" i="64"/>
  <c r="L36" i="64"/>
  <c r="J36" i="64"/>
  <c r="H36" i="64"/>
  <c r="R25" i="64"/>
  <c r="P25" i="64"/>
  <c r="N25" i="64"/>
  <c r="L25" i="64"/>
  <c r="J25" i="64"/>
  <c r="H25" i="64"/>
  <c r="R16" i="64"/>
  <c r="P16" i="64"/>
  <c r="N16" i="64"/>
  <c r="L16" i="64"/>
  <c r="J16" i="64"/>
  <c r="H16" i="64"/>
  <c r="R36" i="63"/>
  <c r="P36" i="63"/>
  <c r="N36" i="63"/>
  <c r="L36" i="63"/>
  <c r="J36" i="63"/>
  <c r="H36" i="63"/>
  <c r="R25" i="63"/>
  <c r="P25" i="63"/>
  <c r="N25" i="63"/>
  <c r="L25" i="63"/>
  <c r="J25" i="63"/>
  <c r="H25" i="63"/>
  <c r="R16" i="63"/>
  <c r="P16" i="63"/>
  <c r="N16" i="63"/>
  <c r="L16" i="63"/>
  <c r="J16" i="63"/>
  <c r="H16" i="63"/>
  <c r="R36" i="62"/>
  <c r="P36" i="62"/>
  <c r="N36" i="62"/>
  <c r="L36" i="62"/>
  <c r="J36" i="62"/>
  <c r="H36" i="62"/>
  <c r="R25" i="62"/>
  <c r="P25" i="62"/>
  <c r="N25" i="62"/>
  <c r="L25" i="62"/>
  <c r="J25" i="62"/>
  <c r="H25" i="62"/>
  <c r="R16" i="62"/>
  <c r="P16" i="62"/>
  <c r="N16" i="62"/>
  <c r="L16" i="62"/>
  <c r="J16" i="62"/>
  <c r="H16" i="62"/>
  <c r="R36" i="61"/>
  <c r="P36" i="61"/>
  <c r="N36" i="61"/>
  <c r="L36" i="61"/>
  <c r="J36" i="61"/>
  <c r="H36" i="61"/>
  <c r="R25" i="61"/>
  <c r="P25" i="61"/>
  <c r="N25" i="61"/>
  <c r="L25" i="61"/>
  <c r="J25" i="61"/>
  <c r="H25" i="61"/>
  <c r="R16" i="61"/>
  <c r="P16" i="61"/>
  <c r="N16" i="61"/>
  <c r="L16" i="61"/>
  <c r="J16" i="61"/>
  <c r="H16" i="61"/>
  <c r="R36" i="60"/>
  <c r="P36" i="60"/>
  <c r="N36" i="60"/>
  <c r="L36" i="60"/>
  <c r="J36" i="60"/>
  <c r="H36" i="60"/>
  <c r="R25" i="60"/>
  <c r="P25" i="60"/>
  <c r="N25" i="60"/>
  <c r="L25" i="60"/>
  <c r="J25" i="60"/>
  <c r="H25" i="60"/>
  <c r="R16" i="60"/>
  <c r="P16" i="60"/>
  <c r="N16" i="60"/>
  <c r="L16" i="60"/>
  <c r="J16" i="60"/>
  <c r="H16" i="60"/>
  <c r="R36" i="59"/>
  <c r="P36" i="59"/>
  <c r="N36" i="59"/>
  <c r="L36" i="59"/>
  <c r="J36" i="59"/>
  <c r="H36" i="59"/>
  <c r="R25" i="59"/>
  <c r="P25" i="59"/>
  <c r="N25" i="59"/>
  <c r="L25" i="59"/>
  <c r="J25" i="59"/>
  <c r="H25" i="59"/>
  <c r="R16" i="59"/>
  <c r="P16" i="59"/>
  <c r="N16" i="59"/>
  <c r="L16" i="59"/>
  <c r="J16" i="59"/>
  <c r="H16" i="59"/>
  <c r="R36" i="58"/>
  <c r="P36" i="58"/>
  <c r="N36" i="58"/>
  <c r="L36" i="58"/>
  <c r="J36" i="58"/>
  <c r="H36" i="58"/>
  <c r="R25" i="58"/>
  <c r="P25" i="58"/>
  <c r="N25" i="58"/>
  <c r="L25" i="58"/>
  <c r="J25" i="58"/>
  <c r="H25" i="58"/>
  <c r="R16" i="58"/>
  <c r="P16" i="58"/>
  <c r="N16" i="58"/>
  <c r="L16" i="58"/>
  <c r="J16" i="58"/>
  <c r="H16" i="58"/>
  <c r="R36" i="57"/>
  <c r="P36" i="57"/>
  <c r="N36" i="57"/>
  <c r="L36" i="57"/>
  <c r="J36" i="57"/>
  <c r="H36" i="57"/>
  <c r="R25" i="57"/>
  <c r="P25" i="57"/>
  <c r="N25" i="57"/>
  <c r="L25" i="57"/>
  <c r="J25" i="57"/>
  <c r="H25" i="57"/>
  <c r="R16" i="57"/>
  <c r="P16" i="57"/>
  <c r="N16" i="57"/>
  <c r="L16" i="57"/>
  <c r="J16" i="57"/>
  <c r="H16" i="57"/>
  <c r="R36" i="56"/>
  <c r="P36" i="56"/>
  <c r="N36" i="56"/>
  <c r="L36" i="56"/>
  <c r="J36" i="56"/>
  <c r="H36" i="56"/>
  <c r="R25" i="56"/>
  <c r="P25" i="56"/>
  <c r="N25" i="56"/>
  <c r="L25" i="56"/>
  <c r="J25" i="56"/>
  <c r="H25" i="56"/>
  <c r="R16" i="56"/>
  <c r="P16" i="56"/>
  <c r="N16" i="56"/>
  <c r="L16" i="56"/>
  <c r="J16" i="56"/>
  <c r="H16" i="56"/>
  <c r="R36" i="55"/>
  <c r="P36" i="55"/>
  <c r="N36" i="55"/>
  <c r="L36" i="55"/>
  <c r="J36" i="55"/>
  <c r="H36" i="55"/>
  <c r="R25" i="55"/>
  <c r="P25" i="55"/>
  <c r="N25" i="55"/>
  <c r="L25" i="55"/>
  <c r="J25" i="55"/>
  <c r="H25" i="55"/>
  <c r="R16" i="55"/>
  <c r="P16" i="55"/>
  <c r="N16" i="55"/>
  <c r="L16" i="55"/>
  <c r="J16" i="55"/>
  <c r="H16" i="55"/>
  <c r="R36" i="54"/>
  <c r="P36" i="54"/>
  <c r="N36" i="54"/>
  <c r="L36" i="54"/>
  <c r="J36" i="54"/>
  <c r="H36" i="54"/>
  <c r="R25" i="54"/>
  <c r="P25" i="54"/>
  <c r="N25" i="54"/>
  <c r="L25" i="54"/>
  <c r="J25" i="54"/>
  <c r="H25" i="54"/>
  <c r="R16" i="54"/>
  <c r="P16" i="54"/>
  <c r="N16" i="54"/>
  <c r="L16" i="54"/>
  <c r="J16" i="54"/>
  <c r="H16" i="54"/>
  <c r="R37" i="52"/>
  <c r="P37" i="52"/>
  <c r="N37" i="52"/>
  <c r="L37" i="52"/>
  <c r="J37" i="52"/>
  <c r="H37" i="52"/>
  <c r="R26" i="52"/>
  <c r="P26" i="52"/>
  <c r="N26" i="52"/>
  <c r="L26" i="52"/>
  <c r="J26" i="52"/>
  <c r="H26" i="52"/>
  <c r="R17" i="52"/>
  <c r="P17" i="52"/>
  <c r="N17" i="52"/>
  <c r="L17" i="52"/>
  <c r="J17" i="52"/>
  <c r="H17" i="52"/>
  <c r="R37" i="51"/>
  <c r="P37" i="51"/>
  <c r="N37" i="51"/>
  <c r="L37" i="51"/>
  <c r="J37" i="51"/>
  <c r="H37" i="51"/>
  <c r="R26" i="51"/>
  <c r="P26" i="51"/>
  <c r="N26" i="51"/>
  <c r="L26" i="51"/>
  <c r="J26" i="51"/>
  <c r="H26" i="51"/>
  <c r="R17" i="51"/>
  <c r="P17" i="51"/>
  <c r="N17" i="51"/>
  <c r="L17" i="51"/>
  <c r="J17" i="51"/>
  <c r="H17" i="51"/>
  <c r="R37" i="53"/>
  <c r="P37" i="53"/>
  <c r="N37" i="53"/>
  <c r="L37" i="53"/>
  <c r="J37" i="53"/>
  <c r="H37" i="53"/>
  <c r="R26" i="53"/>
  <c r="P26" i="53"/>
  <c r="N26" i="53"/>
  <c r="L26" i="53"/>
  <c r="J26" i="53"/>
  <c r="H26" i="53"/>
  <c r="R17" i="53"/>
  <c r="P17" i="53"/>
  <c r="N17" i="53"/>
  <c r="L17" i="53"/>
  <c r="J17" i="53"/>
  <c r="H17" i="53"/>
  <c r="R37" i="50"/>
  <c r="P37" i="50"/>
  <c r="N37" i="50"/>
  <c r="L37" i="50"/>
  <c r="J37" i="50"/>
  <c r="H37" i="50"/>
  <c r="R26" i="50"/>
  <c r="P26" i="50"/>
  <c r="N26" i="50"/>
  <c r="L26" i="50"/>
  <c r="J26" i="50"/>
  <c r="H26" i="50"/>
  <c r="R17" i="50"/>
  <c r="P17" i="50"/>
  <c r="N17" i="50"/>
  <c r="L17" i="50"/>
  <c r="J17" i="50"/>
  <c r="H17" i="50"/>
  <c r="R37" i="49"/>
  <c r="P37" i="49"/>
  <c r="N37" i="49"/>
  <c r="L37" i="49"/>
  <c r="J37" i="49"/>
  <c r="H37" i="49"/>
  <c r="R26" i="49"/>
  <c r="P26" i="49"/>
  <c r="N26" i="49"/>
  <c r="L26" i="49"/>
  <c r="J26" i="49"/>
  <c r="H26" i="49"/>
  <c r="R17" i="49"/>
  <c r="P17" i="49"/>
  <c r="N17" i="49"/>
  <c r="L17" i="49"/>
  <c r="J17" i="49"/>
  <c r="H17" i="49"/>
  <c r="R37" i="48"/>
  <c r="P37" i="48"/>
  <c r="N37" i="48"/>
  <c r="L37" i="48"/>
  <c r="J37" i="48"/>
  <c r="H37" i="48"/>
  <c r="R26" i="48"/>
  <c r="P26" i="48"/>
  <c r="N26" i="48"/>
  <c r="L26" i="48"/>
  <c r="J26" i="48"/>
  <c r="H26" i="48"/>
  <c r="R17" i="48"/>
  <c r="P17" i="48"/>
  <c r="N17" i="48"/>
  <c r="L17" i="48"/>
  <c r="J17" i="48"/>
  <c r="H17" i="48"/>
  <c r="R37" i="47"/>
  <c r="P37" i="47"/>
  <c r="N37" i="47"/>
  <c r="L37" i="47"/>
  <c r="J37" i="47"/>
  <c r="H37" i="47"/>
  <c r="R26" i="47"/>
  <c r="P26" i="47"/>
  <c r="N26" i="47"/>
  <c r="L26" i="47"/>
  <c r="J26" i="47"/>
  <c r="H26" i="47"/>
  <c r="R17" i="47"/>
  <c r="P17" i="47"/>
  <c r="N17" i="47"/>
  <c r="L17" i="47"/>
  <c r="J17" i="47"/>
  <c r="H17" i="47"/>
  <c r="R37" i="46"/>
  <c r="P37" i="46"/>
  <c r="N37" i="46"/>
  <c r="L37" i="46"/>
  <c r="J37" i="46"/>
  <c r="H37" i="46"/>
  <c r="R26" i="46"/>
  <c r="P26" i="46"/>
  <c r="N26" i="46"/>
  <c r="L26" i="46"/>
  <c r="J26" i="46"/>
  <c r="H26" i="46"/>
  <c r="R17" i="46"/>
  <c r="P17" i="46"/>
  <c r="N17" i="46"/>
  <c r="L17" i="46"/>
  <c r="J17" i="46"/>
  <c r="H17" i="46"/>
  <c r="R37" i="45"/>
  <c r="P37" i="45"/>
  <c r="N37" i="45"/>
  <c r="L37" i="45"/>
  <c r="J37" i="45"/>
  <c r="H37" i="45"/>
  <c r="R26" i="45"/>
  <c r="P26" i="45"/>
  <c r="N26" i="45"/>
  <c r="L26" i="45"/>
  <c r="J26" i="45"/>
  <c r="H26" i="45"/>
  <c r="R17" i="45"/>
  <c r="P17" i="45"/>
  <c r="N17" i="45"/>
  <c r="L17" i="45"/>
  <c r="J17" i="45"/>
  <c r="H17" i="45"/>
  <c r="R37" i="44"/>
  <c r="P37" i="44"/>
  <c r="N37" i="44"/>
  <c r="L37" i="44"/>
  <c r="J37" i="44"/>
  <c r="H37" i="44"/>
  <c r="R26" i="44"/>
  <c r="P26" i="44"/>
  <c r="N26" i="44"/>
  <c r="L26" i="44"/>
  <c r="J26" i="44"/>
  <c r="H26" i="44"/>
  <c r="R17" i="44"/>
  <c r="P17" i="44"/>
  <c r="N17" i="44"/>
  <c r="L17" i="44"/>
  <c r="J17" i="44"/>
  <c r="H17" i="44"/>
  <c r="R37" i="43"/>
  <c r="P37" i="43"/>
  <c r="N37" i="43"/>
  <c r="L37" i="43"/>
  <c r="J37" i="43"/>
  <c r="H37" i="43"/>
  <c r="R26" i="43"/>
  <c r="P26" i="43"/>
  <c r="N26" i="43"/>
  <c r="L26" i="43"/>
  <c r="J26" i="43"/>
  <c r="H26" i="43"/>
  <c r="R17" i="43"/>
  <c r="P17" i="43"/>
  <c r="N17" i="43"/>
  <c r="L17" i="43"/>
  <c r="J17" i="43"/>
  <c r="H17" i="43"/>
  <c r="R37" i="42"/>
  <c r="P37" i="42"/>
  <c r="N37" i="42"/>
  <c r="L37" i="42"/>
  <c r="J37" i="42"/>
  <c r="H37" i="42"/>
  <c r="R26" i="42"/>
  <c r="P26" i="42"/>
  <c r="N26" i="42"/>
  <c r="L26" i="42"/>
  <c r="J26" i="42"/>
  <c r="H26" i="42"/>
  <c r="R17" i="42"/>
  <c r="P17" i="42"/>
  <c r="N17" i="42"/>
  <c r="L17" i="42"/>
  <c r="J17" i="42"/>
  <c r="H17" i="42"/>
  <c r="R37" i="41"/>
  <c r="P37" i="41"/>
  <c r="N37" i="41"/>
  <c r="L37" i="41"/>
  <c r="J37" i="41"/>
  <c r="H37" i="41"/>
  <c r="R26" i="41"/>
  <c r="P26" i="41"/>
  <c r="N26" i="41"/>
  <c r="L26" i="41"/>
  <c r="J26" i="41"/>
  <c r="H26" i="41"/>
  <c r="R17" i="41"/>
  <c r="P17" i="41"/>
  <c r="N17" i="41"/>
  <c r="L17" i="41"/>
  <c r="J17" i="41"/>
  <c r="H17" i="41"/>
  <c r="R37" i="40"/>
  <c r="P37" i="40"/>
  <c r="N37" i="40"/>
  <c r="L37" i="40"/>
  <c r="J37" i="40"/>
  <c r="H37" i="40"/>
  <c r="R26" i="40"/>
  <c r="P26" i="40"/>
  <c r="N26" i="40"/>
  <c r="L26" i="40"/>
  <c r="J26" i="40"/>
  <c r="H26" i="40"/>
  <c r="R17" i="40"/>
  <c r="P17" i="40"/>
  <c r="N17" i="40"/>
  <c r="L17" i="40"/>
  <c r="J17" i="40"/>
  <c r="H17" i="40"/>
  <c r="R37" i="39"/>
  <c r="P37" i="39"/>
  <c r="N37" i="39"/>
  <c r="L37" i="39"/>
  <c r="J37" i="39"/>
  <c r="H37" i="39"/>
  <c r="R26" i="39"/>
  <c r="P26" i="39"/>
  <c r="N26" i="39"/>
  <c r="L26" i="39"/>
  <c r="J26" i="39"/>
  <c r="H26" i="39"/>
  <c r="R17" i="39"/>
  <c r="P17" i="39"/>
  <c r="N17" i="39"/>
  <c r="L17" i="39"/>
  <c r="J17" i="39"/>
  <c r="H17" i="39"/>
  <c r="V37" i="82" l="1"/>
  <c r="I37" i="132"/>
  <c r="P36" i="79"/>
  <c r="G37" i="83"/>
  <c r="G37" i="84"/>
  <c r="P37" i="86"/>
  <c r="L37" i="100"/>
  <c r="L37" i="115"/>
  <c r="R37" i="121"/>
  <c r="X35" i="121"/>
  <c r="R35" i="122"/>
  <c r="R37" i="122" s="1"/>
  <c r="R35" i="129"/>
  <c r="T37" i="130"/>
  <c r="X35" i="136"/>
  <c r="X35" i="141"/>
  <c r="T35" i="142"/>
  <c r="T37" i="142" s="1"/>
  <c r="I37" i="148"/>
  <c r="R35" i="149"/>
  <c r="R37" i="149" s="1"/>
  <c r="R35" i="153"/>
  <c r="P37" i="157"/>
  <c r="R35" i="159"/>
  <c r="V35" i="164"/>
  <c r="X35" i="165"/>
  <c r="R35" i="166"/>
  <c r="R35" i="170"/>
  <c r="R35" i="173"/>
  <c r="R37" i="177"/>
  <c r="V37" i="180"/>
  <c r="V37" i="192"/>
  <c r="R37" i="196"/>
  <c r="T37" i="137"/>
  <c r="P37" i="174"/>
  <c r="R36" i="74"/>
  <c r="R36" i="79"/>
  <c r="I37" i="82"/>
  <c r="Z33" i="82"/>
  <c r="P37" i="84"/>
  <c r="T37" i="88"/>
  <c r="R37" i="100"/>
  <c r="T35" i="108"/>
  <c r="I37" i="109"/>
  <c r="T35" i="109"/>
  <c r="L37" i="110"/>
  <c r="N37" i="112"/>
  <c r="P37" i="114"/>
  <c r="X35" i="115"/>
  <c r="V35" i="116"/>
  <c r="R35" i="117"/>
  <c r="I37" i="118"/>
  <c r="X35" i="125"/>
  <c r="R35" i="130"/>
  <c r="T35" i="131"/>
  <c r="P37" i="136"/>
  <c r="V35" i="137"/>
  <c r="L37" i="137"/>
  <c r="R35" i="138"/>
  <c r="V35" i="142"/>
  <c r="L37" i="142"/>
  <c r="T35" i="144"/>
  <c r="X35" i="148"/>
  <c r="T35" i="149"/>
  <c r="T37" i="149" s="1"/>
  <c r="G37" i="149"/>
  <c r="P37" i="151"/>
  <c r="X35" i="152"/>
  <c r="L37" i="152"/>
  <c r="T35" i="153"/>
  <c r="T37" i="153" s="1"/>
  <c r="G37" i="153"/>
  <c r="V35" i="156"/>
  <c r="T37" i="159"/>
  <c r="X35" i="162"/>
  <c r="R35" i="163"/>
  <c r="X35" i="169"/>
  <c r="G37" i="170"/>
  <c r="X35" i="176"/>
  <c r="T37" i="177"/>
  <c r="V35" i="181"/>
  <c r="V37" i="186"/>
  <c r="T35" i="190"/>
  <c r="T37" i="190" s="1"/>
  <c r="I37" i="192"/>
  <c r="G35" i="208"/>
  <c r="T35" i="196"/>
  <c r="R33" i="209"/>
  <c r="P58" i="211"/>
  <c r="P61" i="211" s="1"/>
  <c r="R35" i="215"/>
  <c r="P38" i="71"/>
  <c r="I38" i="73"/>
  <c r="T38" i="79"/>
  <c r="AA33" i="82"/>
  <c r="T37" i="86"/>
  <c r="V37" i="90"/>
  <c r="N37" i="90"/>
  <c r="T35" i="104"/>
  <c r="L37" i="108"/>
  <c r="V35" i="122"/>
  <c r="L37" i="122"/>
  <c r="T35" i="124"/>
  <c r="R37" i="133"/>
  <c r="R37" i="136"/>
  <c r="T37" i="138"/>
  <c r="I37" i="139"/>
  <c r="R37" i="141"/>
  <c r="G37" i="146"/>
  <c r="R35" i="150"/>
  <c r="R37" i="150" s="1"/>
  <c r="L37" i="156"/>
  <c r="V35" i="159"/>
  <c r="L37" i="159"/>
  <c r="I37" i="164"/>
  <c r="V35" i="170"/>
  <c r="I37" i="174"/>
  <c r="V35" i="182"/>
  <c r="V37" i="182" s="1"/>
  <c r="V37" i="188"/>
  <c r="T35" i="189"/>
  <c r="N37" i="197"/>
  <c r="N37" i="198"/>
  <c r="X35" i="204"/>
  <c r="N61" i="205"/>
  <c r="N64" i="205" s="1"/>
  <c r="N35" i="211"/>
  <c r="T55" i="212"/>
  <c r="T35" i="215"/>
  <c r="V37" i="146"/>
  <c r="G37" i="136"/>
  <c r="G33" i="70"/>
  <c r="R36" i="71"/>
  <c r="R38" i="71" s="1"/>
  <c r="R36" i="75"/>
  <c r="R38" i="75" s="1"/>
  <c r="T35" i="84"/>
  <c r="T37" i="84" s="1"/>
  <c r="T35" i="87"/>
  <c r="T35" i="89"/>
  <c r="V37" i="92"/>
  <c r="N37" i="101"/>
  <c r="X37" i="112"/>
  <c r="P37" i="116"/>
  <c r="I37" i="120"/>
  <c r="T37" i="121"/>
  <c r="T35" i="123"/>
  <c r="T37" i="123" s="1"/>
  <c r="I37" i="124"/>
  <c r="R35" i="131"/>
  <c r="R37" i="131" s="1"/>
  <c r="V37" i="133"/>
  <c r="T35" i="143"/>
  <c r="T37" i="143" s="1"/>
  <c r="G37" i="144"/>
  <c r="P37" i="152"/>
  <c r="T35" i="154"/>
  <c r="T37" i="154" s="1"/>
  <c r="G37" i="154"/>
  <c r="N37" i="156"/>
  <c r="T35" i="160"/>
  <c r="T37" i="160" s="1"/>
  <c r="R35" i="164"/>
  <c r="T35" i="165"/>
  <c r="T37" i="165" s="1"/>
  <c r="X35" i="166"/>
  <c r="T35" i="167"/>
  <c r="T37" i="167" s="1"/>
  <c r="G37" i="167"/>
  <c r="P37" i="171"/>
  <c r="L37" i="171"/>
  <c r="P37" i="172"/>
  <c r="V35" i="183"/>
  <c r="N37" i="186"/>
  <c r="T35" i="192"/>
  <c r="I37" i="194"/>
  <c r="R35" i="205"/>
  <c r="R56" i="205" s="1"/>
  <c r="X37" i="206"/>
  <c r="L35" i="210"/>
  <c r="X35" i="178"/>
  <c r="I37" i="180"/>
  <c r="R35" i="181"/>
  <c r="P37" i="185"/>
  <c r="T35" i="187"/>
  <c r="T37" i="187" s="1"/>
  <c r="I37" i="188"/>
  <c r="I37" i="189"/>
  <c r="R35" i="189"/>
  <c r="I37" i="193"/>
  <c r="X35" i="194"/>
  <c r="N37" i="195"/>
  <c r="X35" i="201"/>
  <c r="X35" i="202"/>
  <c r="X37" i="202" s="1"/>
  <c r="R37" i="130"/>
  <c r="L79" i="88"/>
  <c r="V35" i="191"/>
  <c r="V35" i="190"/>
  <c r="R35" i="200"/>
  <c r="I35" i="215"/>
  <c r="N33" i="70"/>
  <c r="G38" i="71"/>
  <c r="T38" i="73"/>
  <c r="V38" i="73"/>
  <c r="T38" i="77"/>
  <c r="G37" i="81"/>
  <c r="V37" i="86"/>
  <c r="I37" i="88"/>
  <c r="I37" i="94"/>
  <c r="X35" i="95"/>
  <c r="X37" i="95" s="1"/>
  <c r="V37" i="105"/>
  <c r="T37" i="113"/>
  <c r="T35" i="114"/>
  <c r="R35" i="115"/>
  <c r="T35" i="122"/>
  <c r="T37" i="122" s="1"/>
  <c r="R35" i="125"/>
  <c r="R37" i="125" s="1"/>
  <c r="N37" i="133"/>
  <c r="I37" i="133"/>
  <c r="N37" i="139"/>
  <c r="I37" i="141"/>
  <c r="P37" i="146"/>
  <c r="R35" i="148"/>
  <c r="R35" i="152"/>
  <c r="R35" i="162"/>
  <c r="R37" i="164"/>
  <c r="V35" i="168"/>
  <c r="R35" i="169"/>
  <c r="R37" i="169" s="1"/>
  <c r="V35" i="178"/>
  <c r="I37" i="182"/>
  <c r="T35" i="195"/>
  <c r="T37" i="195" s="1"/>
  <c r="N61" i="204"/>
  <c r="N64" i="204" s="1"/>
  <c r="I35" i="209"/>
  <c r="N58" i="211"/>
  <c r="N61" i="211" s="1"/>
  <c r="X33" i="213"/>
  <c r="L35" i="215"/>
  <c r="R53" i="214"/>
  <c r="T35" i="203"/>
  <c r="T35" i="151"/>
  <c r="P33" i="70"/>
  <c r="I38" i="71"/>
  <c r="T38" i="72"/>
  <c r="R36" i="77"/>
  <c r="V37" i="84"/>
  <c r="I37" i="85"/>
  <c r="G37" i="86"/>
  <c r="L37" i="87"/>
  <c r="L37" i="89"/>
  <c r="T35" i="92"/>
  <c r="T37" i="92" s="1"/>
  <c r="T37" i="94"/>
  <c r="T37" i="95"/>
  <c r="R35" i="102"/>
  <c r="R37" i="102" s="1"/>
  <c r="P37" i="107"/>
  <c r="R35" i="111"/>
  <c r="G37" i="116"/>
  <c r="L37" i="121"/>
  <c r="R37" i="128"/>
  <c r="N37" i="135"/>
  <c r="P37" i="144"/>
  <c r="G37" i="152"/>
  <c r="P37" i="154"/>
  <c r="R35" i="156"/>
  <c r="R37" i="160"/>
  <c r="T35" i="162"/>
  <c r="I37" i="165"/>
  <c r="P37" i="167"/>
  <c r="X35" i="168"/>
  <c r="N37" i="169"/>
  <c r="T35" i="169"/>
  <c r="T37" i="169" s="1"/>
  <c r="R35" i="172"/>
  <c r="V35" i="179"/>
  <c r="T35" i="186"/>
  <c r="T35" i="194"/>
  <c r="X37" i="207"/>
  <c r="G35" i="210"/>
  <c r="T35" i="210"/>
  <c r="V35" i="203"/>
  <c r="N38" i="74"/>
  <c r="R37" i="80"/>
  <c r="I37" i="80"/>
  <c r="V37" i="80"/>
  <c r="P37" i="81"/>
  <c r="L37" i="85"/>
  <c r="G38" i="75"/>
  <c r="G38" i="73"/>
  <c r="P38" i="73"/>
  <c r="R38" i="74"/>
  <c r="T38" i="76"/>
  <c r="N37" i="86"/>
  <c r="X37" i="86"/>
  <c r="P38" i="75"/>
  <c r="N38" i="76"/>
  <c r="G33" i="69"/>
  <c r="P33" i="69"/>
  <c r="G38" i="72"/>
  <c r="P38" i="72"/>
  <c r="I38" i="77"/>
  <c r="R38" i="79"/>
  <c r="L38" i="79"/>
  <c r="X37" i="81"/>
  <c r="N37" i="83"/>
  <c r="N37" i="84"/>
  <c r="L37" i="84"/>
  <c r="X37" i="84"/>
  <c r="G37" i="85"/>
  <c r="P37" i="85"/>
  <c r="R37" i="87"/>
  <c r="V37" i="89"/>
  <c r="Y37" i="98"/>
  <c r="G37" i="99"/>
  <c r="P37" i="103"/>
  <c r="G37" i="108"/>
  <c r="L37" i="86"/>
  <c r="R37" i="89"/>
  <c r="X37" i="90"/>
  <c r="L37" i="92"/>
  <c r="V37" i="98"/>
  <c r="I37" i="102"/>
  <c r="G37" i="103"/>
  <c r="P37" i="106"/>
  <c r="I37" i="106"/>
  <c r="P37" i="108"/>
  <c r="N37" i="117"/>
  <c r="X37" i="139"/>
  <c r="V37" i="152"/>
  <c r="R33" i="69"/>
  <c r="I33" i="69"/>
  <c r="V33" i="69"/>
  <c r="V38" i="71"/>
  <c r="I38" i="72"/>
  <c r="P38" i="74"/>
  <c r="R36" i="76"/>
  <c r="R38" i="76" s="1"/>
  <c r="G38" i="76"/>
  <c r="L38" i="77"/>
  <c r="N38" i="79"/>
  <c r="T37" i="80"/>
  <c r="L37" i="82"/>
  <c r="V37" i="85"/>
  <c r="X37" i="87"/>
  <c r="X37" i="88"/>
  <c r="L79" i="89"/>
  <c r="T37" i="93"/>
  <c r="G37" i="93"/>
  <c r="X37" i="93"/>
  <c r="V37" i="93"/>
  <c r="V37" i="94"/>
  <c r="P37" i="94"/>
  <c r="I37" i="95"/>
  <c r="R37" i="95"/>
  <c r="L37" i="95"/>
  <c r="I37" i="96"/>
  <c r="P37" i="97"/>
  <c r="P37" i="98"/>
  <c r="T37" i="98"/>
  <c r="T37" i="99"/>
  <c r="X37" i="101"/>
  <c r="L37" i="101"/>
  <c r="T35" i="102"/>
  <c r="T37" i="102" s="1"/>
  <c r="I37" i="103"/>
  <c r="L37" i="107"/>
  <c r="T37" i="107"/>
  <c r="P37" i="110"/>
  <c r="I37" i="111"/>
  <c r="T35" i="111"/>
  <c r="X37" i="113"/>
  <c r="X37" i="118"/>
  <c r="X37" i="135"/>
  <c r="R37" i="139"/>
  <c r="G37" i="139"/>
  <c r="P37" i="139"/>
  <c r="X37" i="143"/>
  <c r="N37" i="143"/>
  <c r="T37" i="147"/>
  <c r="X37" i="147"/>
  <c r="R30" i="68"/>
  <c r="T33" i="69"/>
  <c r="L33" i="69"/>
  <c r="R31" i="70"/>
  <c r="R33" i="70" s="1"/>
  <c r="I33" i="70"/>
  <c r="V33" i="70"/>
  <c r="T38" i="71"/>
  <c r="L38" i="71"/>
  <c r="R36" i="72"/>
  <c r="R38" i="72" s="1"/>
  <c r="L38" i="72"/>
  <c r="V38" i="72"/>
  <c r="L38" i="73"/>
  <c r="T38" i="74"/>
  <c r="I38" i="74"/>
  <c r="L38" i="75"/>
  <c r="I38" i="76"/>
  <c r="V38" i="77"/>
  <c r="N38" i="77"/>
  <c r="G38" i="79"/>
  <c r="L37" i="78"/>
  <c r="T37" i="78"/>
  <c r="N37" i="78"/>
  <c r="V37" i="78"/>
  <c r="G37" i="80"/>
  <c r="P37" i="80"/>
  <c r="X37" i="80"/>
  <c r="N37" i="80"/>
  <c r="I37" i="81"/>
  <c r="N37" i="82"/>
  <c r="R37" i="83"/>
  <c r="V37" i="83"/>
  <c r="L76" i="83"/>
  <c r="T37" i="85"/>
  <c r="X37" i="85"/>
  <c r="L80" i="85"/>
  <c r="N37" i="87"/>
  <c r="N37" i="89"/>
  <c r="G37" i="90"/>
  <c r="P37" i="90"/>
  <c r="L79" i="90"/>
  <c r="G37" i="92"/>
  <c r="P37" i="92"/>
  <c r="L79" i="92"/>
  <c r="T37" i="96"/>
  <c r="I37" i="97"/>
  <c r="N37" i="97"/>
  <c r="I37" i="98"/>
  <c r="N37" i="98"/>
  <c r="L37" i="99"/>
  <c r="I37" i="101"/>
  <c r="N37" i="102"/>
  <c r="N37" i="105"/>
  <c r="N37" i="110"/>
  <c r="L37" i="112"/>
  <c r="G37" i="112"/>
  <c r="P37" i="112"/>
  <c r="L37" i="113"/>
  <c r="I37" i="116"/>
  <c r="X37" i="116"/>
  <c r="N37" i="116"/>
  <c r="G37" i="118"/>
  <c r="P37" i="118"/>
  <c r="I37" i="122"/>
  <c r="V37" i="134"/>
  <c r="R37" i="135"/>
  <c r="G37" i="135"/>
  <c r="P37" i="135"/>
  <c r="I37" i="137"/>
  <c r="T37" i="139"/>
  <c r="V35" i="141"/>
  <c r="T35" i="141"/>
  <c r="T37" i="141" s="1"/>
  <c r="L37" i="141"/>
  <c r="V37" i="87"/>
  <c r="L37" i="88"/>
  <c r="N37" i="92"/>
  <c r="X37" i="92"/>
  <c r="X37" i="94"/>
  <c r="P37" i="99"/>
  <c r="N37" i="104"/>
  <c r="T37" i="111"/>
  <c r="G38" i="74"/>
  <c r="I38" i="75"/>
  <c r="P38" i="76"/>
  <c r="L37" i="80"/>
  <c r="R37" i="85"/>
  <c r="T37" i="87"/>
  <c r="G37" i="88"/>
  <c r="P37" i="88"/>
  <c r="N37" i="88"/>
  <c r="T37" i="89"/>
  <c r="X37" i="89"/>
  <c r="L37" i="93"/>
  <c r="P37" i="93"/>
  <c r="N37" i="93"/>
  <c r="N37" i="94"/>
  <c r="G37" i="94"/>
  <c r="X37" i="96"/>
  <c r="V37" i="97"/>
  <c r="X37" i="98"/>
  <c r="L37" i="98"/>
  <c r="N37" i="100"/>
  <c r="T35" i="101"/>
  <c r="T37" i="101" s="1"/>
  <c r="X37" i="103"/>
  <c r="L37" i="106"/>
  <c r="N37" i="108"/>
  <c r="G37" i="110"/>
  <c r="N37" i="118"/>
  <c r="R37" i="124"/>
  <c r="N33" i="69"/>
  <c r="T33" i="70"/>
  <c r="L33" i="70"/>
  <c r="N38" i="71"/>
  <c r="N38" i="73"/>
  <c r="R43" i="74"/>
  <c r="L38" i="74"/>
  <c r="V38" i="74"/>
  <c r="N38" i="75"/>
  <c r="L38" i="76"/>
  <c r="V38" i="76"/>
  <c r="G38" i="77"/>
  <c r="P38" i="77"/>
  <c r="P38" i="79"/>
  <c r="I38" i="79"/>
  <c r="V38" i="79"/>
  <c r="I37" i="78"/>
  <c r="R37" i="78"/>
  <c r="G37" i="78"/>
  <c r="P37" i="78"/>
  <c r="X37" i="78"/>
  <c r="N37" i="81"/>
  <c r="V37" i="81"/>
  <c r="T35" i="81"/>
  <c r="T37" i="81" s="1"/>
  <c r="L37" i="81"/>
  <c r="G37" i="82"/>
  <c r="P37" i="82"/>
  <c r="T35" i="83"/>
  <c r="T37" i="83" s="1"/>
  <c r="L37" i="83"/>
  <c r="I37" i="84"/>
  <c r="N37" i="85"/>
  <c r="I37" i="86"/>
  <c r="L80" i="86"/>
  <c r="I37" i="87"/>
  <c r="G37" i="87"/>
  <c r="P37" i="87"/>
  <c r="R37" i="88"/>
  <c r="V37" i="88"/>
  <c r="I37" i="89"/>
  <c r="G37" i="89"/>
  <c r="P37" i="89"/>
  <c r="L37" i="90"/>
  <c r="I37" i="90"/>
  <c r="I37" i="93"/>
  <c r="R37" i="93"/>
  <c r="L37" i="94"/>
  <c r="G37" i="95"/>
  <c r="P37" i="95"/>
  <c r="N37" i="96"/>
  <c r="T37" i="97"/>
  <c r="L37" i="97"/>
  <c r="R37" i="98"/>
  <c r="X37" i="99"/>
  <c r="P37" i="100"/>
  <c r="T37" i="100"/>
  <c r="I37" i="100"/>
  <c r="G37" i="101"/>
  <c r="P37" i="101"/>
  <c r="T37" i="104"/>
  <c r="X35" i="104"/>
  <c r="X37" i="104" s="1"/>
  <c r="L37" i="104"/>
  <c r="I37" i="105"/>
  <c r="T37" i="109"/>
  <c r="G37" i="114"/>
  <c r="T37" i="115"/>
  <c r="X37" i="120"/>
  <c r="T35" i="120"/>
  <c r="I37" i="123"/>
  <c r="I37" i="130"/>
  <c r="I37" i="131"/>
  <c r="R37" i="132"/>
  <c r="L37" i="133"/>
  <c r="T37" i="133"/>
  <c r="X37" i="134"/>
  <c r="N37" i="134"/>
  <c r="T37" i="135"/>
  <c r="I37" i="138"/>
  <c r="R37" i="138"/>
  <c r="R37" i="144"/>
  <c r="N37" i="147"/>
  <c r="L37" i="102"/>
  <c r="T35" i="103"/>
  <c r="T37" i="103" s="1"/>
  <c r="V37" i="104"/>
  <c r="G37" i="104"/>
  <c r="P37" i="104"/>
  <c r="T35" i="106"/>
  <c r="T37" i="106" s="1"/>
  <c r="X37" i="106"/>
  <c r="T37" i="108"/>
  <c r="R35" i="108"/>
  <c r="R37" i="108" s="1"/>
  <c r="L37" i="109"/>
  <c r="G37" i="109"/>
  <c r="P37" i="109"/>
  <c r="T37" i="110"/>
  <c r="R35" i="110"/>
  <c r="L37" i="111"/>
  <c r="G37" i="111"/>
  <c r="P37" i="111"/>
  <c r="T37" i="112"/>
  <c r="R35" i="112"/>
  <c r="V37" i="113"/>
  <c r="N37" i="113"/>
  <c r="I37" i="113"/>
  <c r="N37" i="114"/>
  <c r="V37" i="114"/>
  <c r="T37" i="114"/>
  <c r="R37" i="116"/>
  <c r="T35" i="117"/>
  <c r="T37" i="117" s="1"/>
  <c r="V35" i="117"/>
  <c r="V37" i="117" s="1"/>
  <c r="R37" i="118"/>
  <c r="G37" i="121"/>
  <c r="P37" i="121"/>
  <c r="V35" i="128"/>
  <c r="T35" i="128"/>
  <c r="T37" i="128" s="1"/>
  <c r="L37" i="128"/>
  <c r="V35" i="129"/>
  <c r="T35" i="129"/>
  <c r="T37" i="129" s="1"/>
  <c r="L37" i="129"/>
  <c r="N37" i="130"/>
  <c r="V35" i="132"/>
  <c r="L37" i="132"/>
  <c r="V35" i="136"/>
  <c r="V37" i="136" s="1"/>
  <c r="T35" i="136"/>
  <c r="T37" i="136" s="1"/>
  <c r="L37" i="136"/>
  <c r="V35" i="140"/>
  <c r="T35" i="140"/>
  <c r="T37" i="140" s="1"/>
  <c r="L37" i="140"/>
  <c r="R37" i="142"/>
  <c r="R37" i="143"/>
  <c r="G37" i="143"/>
  <c r="P37" i="143"/>
  <c r="N37" i="146"/>
  <c r="T35" i="146"/>
  <c r="X37" i="146"/>
  <c r="V35" i="147"/>
  <c r="L37" i="147"/>
  <c r="X37" i="148"/>
  <c r="L37" i="148"/>
  <c r="V37" i="102"/>
  <c r="G37" i="102"/>
  <c r="P37" i="102"/>
  <c r="N37" i="103"/>
  <c r="R35" i="104"/>
  <c r="T37" i="105"/>
  <c r="X35" i="105"/>
  <c r="X37" i="105" s="1"/>
  <c r="L37" i="105"/>
  <c r="X37" i="107"/>
  <c r="N37" i="107"/>
  <c r="V37" i="107"/>
  <c r="I37" i="108"/>
  <c r="N37" i="109"/>
  <c r="I37" i="110"/>
  <c r="N37" i="111"/>
  <c r="I37" i="112"/>
  <c r="P37" i="113"/>
  <c r="I37" i="115"/>
  <c r="T37" i="116"/>
  <c r="L37" i="117"/>
  <c r="T37" i="118"/>
  <c r="I37" i="119"/>
  <c r="R37" i="119"/>
  <c r="L37" i="119"/>
  <c r="T37" i="119"/>
  <c r="L37" i="123"/>
  <c r="T37" i="124"/>
  <c r="L37" i="124"/>
  <c r="T37" i="125"/>
  <c r="L37" i="125"/>
  <c r="I37" i="128"/>
  <c r="I37" i="129"/>
  <c r="T37" i="131"/>
  <c r="L37" i="131"/>
  <c r="G37" i="133"/>
  <c r="P37" i="133"/>
  <c r="X37" i="133"/>
  <c r="T35" i="134"/>
  <c r="I37" i="134"/>
  <c r="I37" i="135"/>
  <c r="L37" i="135"/>
  <c r="I37" i="136"/>
  <c r="X37" i="136"/>
  <c r="N37" i="136"/>
  <c r="L37" i="138"/>
  <c r="L37" i="139"/>
  <c r="I37" i="140"/>
  <c r="X37" i="140"/>
  <c r="N37" i="140"/>
  <c r="T37" i="144"/>
  <c r="L37" i="144"/>
  <c r="N37" i="145"/>
  <c r="V37" i="145"/>
  <c r="G37" i="145"/>
  <c r="P37" i="145"/>
  <c r="X37" i="145"/>
  <c r="L37" i="143"/>
  <c r="I37" i="144"/>
  <c r="X37" i="144"/>
  <c r="N37" i="144"/>
  <c r="G37" i="147"/>
  <c r="P37" i="147"/>
  <c r="T35" i="148"/>
  <c r="T37" i="148" s="1"/>
  <c r="G37" i="148"/>
  <c r="P37" i="148"/>
  <c r="N37" i="149"/>
  <c r="L37" i="150"/>
  <c r="R37" i="151"/>
  <c r="N37" i="152"/>
  <c r="N37" i="153"/>
  <c r="N37" i="154"/>
  <c r="X37" i="156"/>
  <c r="X37" i="157"/>
  <c r="G37" i="158"/>
  <c r="P37" i="158"/>
  <c r="X37" i="158"/>
  <c r="I37" i="162"/>
  <c r="I37" i="163"/>
  <c r="I37" i="166"/>
  <c r="L37" i="167"/>
  <c r="X35" i="167"/>
  <c r="X37" i="167" s="1"/>
  <c r="G37" i="173"/>
  <c r="T35" i="175"/>
  <c r="T37" i="175" s="1"/>
  <c r="T35" i="176"/>
  <c r="I37" i="177"/>
  <c r="X37" i="179"/>
  <c r="N37" i="179"/>
  <c r="L37" i="184"/>
  <c r="T37" i="184"/>
  <c r="L37" i="188"/>
  <c r="T37" i="192"/>
  <c r="N37" i="194"/>
  <c r="X37" i="201"/>
  <c r="G37" i="202"/>
  <c r="I37" i="206"/>
  <c r="T35" i="208"/>
  <c r="T55" i="208" s="1"/>
  <c r="T58" i="208" s="1"/>
  <c r="T61" i="208" s="1"/>
  <c r="R65" i="196"/>
  <c r="P35" i="209"/>
  <c r="P55" i="209" s="1"/>
  <c r="P58" i="209" s="1"/>
  <c r="P61" i="209" s="1"/>
  <c r="G37" i="161"/>
  <c r="P37" i="161"/>
  <c r="R37" i="161"/>
  <c r="G37" i="165"/>
  <c r="P37" i="165"/>
  <c r="R37" i="165"/>
  <c r="L37" i="170"/>
  <c r="G37" i="172"/>
  <c r="X37" i="172"/>
  <c r="T37" i="180"/>
  <c r="X37" i="181"/>
  <c r="T37" i="182"/>
  <c r="X37" i="183"/>
  <c r="T37" i="185"/>
  <c r="R37" i="189"/>
  <c r="T37" i="196"/>
  <c r="G37" i="196"/>
  <c r="P37" i="196"/>
  <c r="V35" i="211"/>
  <c r="V35" i="149"/>
  <c r="I37" i="151"/>
  <c r="I37" i="152"/>
  <c r="V35" i="153"/>
  <c r="V37" i="153" s="1"/>
  <c r="V35" i="154"/>
  <c r="V37" i="154" s="1"/>
  <c r="N37" i="155"/>
  <c r="T35" i="155"/>
  <c r="G37" i="155"/>
  <c r="P37" i="155"/>
  <c r="G37" i="156"/>
  <c r="P37" i="156"/>
  <c r="T35" i="157"/>
  <c r="R37" i="158"/>
  <c r="L37" i="158"/>
  <c r="T37" i="158"/>
  <c r="X37" i="160"/>
  <c r="N37" i="160"/>
  <c r="L37" i="161"/>
  <c r="R37" i="162"/>
  <c r="X35" i="163"/>
  <c r="X37" i="163" s="1"/>
  <c r="N37" i="164"/>
  <c r="L37" i="165"/>
  <c r="V35" i="169"/>
  <c r="T37" i="170"/>
  <c r="I37" i="173"/>
  <c r="G37" i="175"/>
  <c r="X37" i="175"/>
  <c r="G37" i="176"/>
  <c r="X37" i="176"/>
  <c r="N37" i="176"/>
  <c r="N43" i="176" s="1"/>
  <c r="X37" i="178"/>
  <c r="G37" i="184"/>
  <c r="P37" i="184"/>
  <c r="X37" i="184"/>
  <c r="T37" i="188"/>
  <c r="N37" i="191"/>
  <c r="L37" i="192"/>
  <c r="V37" i="197"/>
  <c r="G37" i="197"/>
  <c r="P37" i="197"/>
  <c r="P58" i="197" s="1"/>
  <c r="P61" i="197" s="1"/>
  <c r="P64" i="197" s="1"/>
  <c r="X37" i="197"/>
  <c r="X35" i="199"/>
  <c r="X37" i="199" s="1"/>
  <c r="I37" i="200"/>
  <c r="T35" i="200"/>
  <c r="T35" i="202"/>
  <c r="T37" i="202" s="1"/>
  <c r="T58" i="202" s="1"/>
  <c r="T61" i="202" s="1"/>
  <c r="T64" i="202" s="1"/>
  <c r="N37" i="205"/>
  <c r="V35" i="205"/>
  <c r="V37" i="205" s="1"/>
  <c r="T35" i="205"/>
  <c r="T37" i="205" s="1"/>
  <c r="T58" i="205" s="1"/>
  <c r="T61" i="205" s="1"/>
  <c r="T64" i="205" s="1"/>
  <c r="G37" i="205"/>
  <c r="P37" i="205"/>
  <c r="P58" i="205" s="1"/>
  <c r="P61" i="205" s="1"/>
  <c r="P64" i="205" s="1"/>
  <c r="P37" i="207"/>
  <c r="P58" i="207" s="1"/>
  <c r="P61" i="207" s="1"/>
  <c r="P64" i="207" s="1"/>
  <c r="I37" i="207"/>
  <c r="I35" i="208"/>
  <c r="R50" i="209"/>
  <c r="R11" i="209"/>
  <c r="P35" i="210"/>
  <c r="I37" i="149"/>
  <c r="G37" i="150"/>
  <c r="P37" i="150"/>
  <c r="I37" i="150"/>
  <c r="X37" i="152"/>
  <c r="I37" i="153"/>
  <c r="X37" i="154"/>
  <c r="L37" i="154"/>
  <c r="I37" i="155"/>
  <c r="R37" i="159"/>
  <c r="G37" i="159"/>
  <c r="P37" i="159"/>
  <c r="G37" i="160"/>
  <c r="P37" i="160"/>
  <c r="N37" i="162"/>
  <c r="G37" i="162"/>
  <c r="P37" i="162"/>
  <c r="T37" i="163"/>
  <c r="G37" i="163"/>
  <c r="P37" i="163"/>
  <c r="V37" i="164"/>
  <c r="G37" i="164"/>
  <c r="P37" i="164"/>
  <c r="G37" i="166"/>
  <c r="P37" i="166"/>
  <c r="G37" i="168"/>
  <c r="L37" i="168"/>
  <c r="I37" i="169"/>
  <c r="X37" i="169"/>
  <c r="L37" i="169"/>
  <c r="P37" i="170"/>
  <c r="T37" i="171"/>
  <c r="G37" i="171"/>
  <c r="X37" i="171"/>
  <c r="N37" i="171"/>
  <c r="V37" i="171"/>
  <c r="T35" i="172"/>
  <c r="V35" i="172"/>
  <c r="I37" i="172"/>
  <c r="G37" i="174"/>
  <c r="X37" i="180"/>
  <c r="T37" i="181"/>
  <c r="I37" i="181"/>
  <c r="X37" i="182"/>
  <c r="T37" i="183"/>
  <c r="I37" i="183"/>
  <c r="L37" i="185"/>
  <c r="N37" i="190"/>
  <c r="R37" i="193"/>
  <c r="N37" i="193"/>
  <c r="R53" i="198"/>
  <c r="R61" i="198" s="1"/>
  <c r="R64" i="198" s="1"/>
  <c r="R11" i="198"/>
  <c r="R37" i="198" s="1"/>
  <c r="P37" i="204"/>
  <c r="P58" i="204" s="1"/>
  <c r="P61" i="204" s="1"/>
  <c r="P64" i="204" s="1"/>
  <c r="X37" i="204"/>
  <c r="I37" i="204"/>
  <c r="N61" i="207"/>
  <c r="N64" i="207" s="1"/>
  <c r="X37" i="196"/>
  <c r="N58" i="210"/>
  <c r="N61" i="210" s="1"/>
  <c r="P58" i="210"/>
  <c r="P61" i="210" s="1"/>
  <c r="R33" i="211"/>
  <c r="R35" i="211" s="1"/>
  <c r="R53" i="211"/>
  <c r="R53" i="212"/>
  <c r="N58" i="212"/>
  <c r="N61" i="212" s="1"/>
  <c r="L37" i="203"/>
  <c r="T37" i="203"/>
  <c r="T58" i="203" s="1"/>
  <c r="T61" i="203" s="1"/>
  <c r="T64" i="203" s="1"/>
  <c r="R53" i="203"/>
  <c r="V35" i="175"/>
  <c r="I37" i="175"/>
  <c r="T37" i="176"/>
  <c r="N37" i="177"/>
  <c r="V35" i="177"/>
  <c r="V37" i="177" s="1"/>
  <c r="V37" i="178"/>
  <c r="N37" i="178"/>
  <c r="T35" i="178"/>
  <c r="T37" i="178" s="1"/>
  <c r="T35" i="179"/>
  <c r="T37" i="179" s="1"/>
  <c r="N37" i="180"/>
  <c r="L37" i="181"/>
  <c r="G37" i="181"/>
  <c r="P37" i="181"/>
  <c r="N37" i="182"/>
  <c r="L37" i="183"/>
  <c r="G37" i="183"/>
  <c r="P37" i="183"/>
  <c r="I37" i="184"/>
  <c r="R37" i="184"/>
  <c r="N37" i="184"/>
  <c r="V37" i="184"/>
  <c r="I37" i="185"/>
  <c r="N37" i="188"/>
  <c r="L37" i="189"/>
  <c r="G37" i="191"/>
  <c r="P37" i="191"/>
  <c r="I37" i="190"/>
  <c r="R37" i="190"/>
  <c r="G37" i="194"/>
  <c r="P37" i="194"/>
  <c r="L37" i="198"/>
  <c r="T35" i="198"/>
  <c r="T37" i="198" s="1"/>
  <c r="T58" i="198" s="1"/>
  <c r="T61" i="198" s="1"/>
  <c r="T64" i="198" s="1"/>
  <c r="G37" i="199"/>
  <c r="P37" i="199"/>
  <c r="P58" i="199" s="1"/>
  <c r="P61" i="199" s="1"/>
  <c r="P64" i="199" s="1"/>
  <c r="I37" i="201"/>
  <c r="R35" i="201"/>
  <c r="T35" i="201"/>
  <c r="T37" i="201" s="1"/>
  <c r="T58" i="201" s="1"/>
  <c r="T61" i="201" s="1"/>
  <c r="T64" i="201" s="1"/>
  <c r="G37" i="200"/>
  <c r="P37" i="200"/>
  <c r="P58" i="200" s="1"/>
  <c r="P61" i="200" s="1"/>
  <c r="P64" i="200" s="1"/>
  <c r="X35" i="200"/>
  <c r="X37" i="200" s="1"/>
  <c r="N61" i="200"/>
  <c r="N64" i="200" s="1"/>
  <c r="I37" i="202"/>
  <c r="R35" i="204"/>
  <c r="T35" i="204"/>
  <c r="T37" i="204" s="1"/>
  <c r="T58" i="204" s="1"/>
  <c r="T61" i="204" s="1"/>
  <c r="T64" i="204" s="1"/>
  <c r="X35" i="205"/>
  <c r="X37" i="205" s="1"/>
  <c r="I37" i="205"/>
  <c r="R35" i="206"/>
  <c r="N61" i="206"/>
  <c r="N64" i="206" s="1"/>
  <c r="N37" i="207"/>
  <c r="G37" i="207"/>
  <c r="R33" i="208"/>
  <c r="L35" i="208"/>
  <c r="N37" i="196"/>
  <c r="V35" i="196"/>
  <c r="V37" i="196" s="1"/>
  <c r="I37" i="196"/>
  <c r="I35" i="210"/>
  <c r="R35" i="210"/>
  <c r="R58" i="211"/>
  <c r="R61" i="211" s="1"/>
  <c r="N35" i="215"/>
  <c r="V35" i="215"/>
  <c r="N58" i="215"/>
  <c r="N61" i="215" s="1"/>
  <c r="N35" i="214"/>
  <c r="N58" i="214"/>
  <c r="N61" i="214" s="1"/>
  <c r="G37" i="203"/>
  <c r="P37" i="203"/>
  <c r="P58" i="203" s="1"/>
  <c r="P61" i="203" s="1"/>
  <c r="P64" i="203" s="1"/>
  <c r="N58" i="213"/>
  <c r="N61" i="213" s="1"/>
  <c r="G35" i="215"/>
  <c r="P35" i="215"/>
  <c r="X35" i="215"/>
  <c r="R58" i="215"/>
  <c r="R61" i="215" s="1"/>
  <c r="T58" i="215"/>
  <c r="T61" i="215" s="1"/>
  <c r="T55" i="214"/>
  <c r="T58" i="214" s="1"/>
  <c r="T61" i="214" s="1"/>
  <c r="R58" i="214"/>
  <c r="R61" i="214" s="1"/>
  <c r="X35" i="203"/>
  <c r="X37" i="203" s="1"/>
  <c r="I37" i="203"/>
  <c r="L37" i="178"/>
  <c r="I37" i="178"/>
  <c r="G37" i="178"/>
  <c r="P37" i="178"/>
  <c r="G37" i="179"/>
  <c r="P37" i="179"/>
  <c r="L37" i="180"/>
  <c r="G37" i="180"/>
  <c r="P37" i="180"/>
  <c r="N37" i="181"/>
  <c r="L37" i="182"/>
  <c r="G37" i="182"/>
  <c r="P37" i="182"/>
  <c r="N37" i="183"/>
  <c r="T37" i="186"/>
  <c r="L37" i="186"/>
  <c r="I37" i="187"/>
  <c r="R37" i="187"/>
  <c r="I37" i="191"/>
  <c r="N37" i="192"/>
  <c r="L37" i="193"/>
  <c r="R37" i="194"/>
  <c r="I37" i="195"/>
  <c r="R37" i="195"/>
  <c r="T40" i="195" s="1"/>
  <c r="G37" i="195"/>
  <c r="P37" i="195"/>
  <c r="I37" i="197"/>
  <c r="R37" i="197"/>
  <c r="R35" i="199"/>
  <c r="R37" i="199" s="1"/>
  <c r="T35" i="199"/>
  <c r="G37" i="201"/>
  <c r="P37" i="201"/>
  <c r="P58" i="201" s="1"/>
  <c r="P61" i="201" s="1"/>
  <c r="P64" i="201" s="1"/>
  <c r="N61" i="202"/>
  <c r="N64" i="202" s="1"/>
  <c r="N37" i="204"/>
  <c r="G37" i="204"/>
  <c r="N37" i="206"/>
  <c r="V37" i="206"/>
  <c r="T35" i="206"/>
  <c r="T37" i="206" s="1"/>
  <c r="T58" i="206" s="1"/>
  <c r="T61" i="206" s="1"/>
  <c r="T64" i="206" s="1"/>
  <c r="G37" i="206"/>
  <c r="P37" i="206"/>
  <c r="P58" i="206" s="1"/>
  <c r="P61" i="206" s="1"/>
  <c r="P64" i="206" s="1"/>
  <c r="R35" i="207"/>
  <c r="T35" i="207"/>
  <c r="T37" i="207" s="1"/>
  <c r="T58" i="207" s="1"/>
  <c r="T61" i="207" s="1"/>
  <c r="T64" i="207" s="1"/>
  <c r="T33" i="209"/>
  <c r="T35" i="209" s="1"/>
  <c r="T55" i="209" s="1"/>
  <c r="T58" i="209" s="1"/>
  <c r="T61" i="209" s="1"/>
  <c r="N35" i="209"/>
  <c r="X35" i="209"/>
  <c r="N58" i="209"/>
  <c r="N61" i="209" s="1"/>
  <c r="X35" i="210"/>
  <c r="L35" i="211"/>
  <c r="T33" i="211"/>
  <c r="T35" i="211" s="1"/>
  <c r="G35" i="211"/>
  <c r="P35" i="211"/>
  <c r="P35" i="212"/>
  <c r="X35" i="212"/>
  <c r="T33" i="212"/>
  <c r="T35" i="212" s="1"/>
  <c r="L35" i="212"/>
  <c r="G35" i="214"/>
  <c r="P35" i="214"/>
  <c r="X35" i="214"/>
  <c r="I35" i="214"/>
  <c r="V35" i="214"/>
  <c r="R35" i="203"/>
  <c r="R37" i="203" s="1"/>
  <c r="R38" i="77"/>
  <c r="R37" i="96"/>
  <c r="V37" i="109"/>
  <c r="R37" i="81"/>
  <c r="V37" i="96"/>
  <c r="R37" i="97"/>
  <c r="R37" i="99"/>
  <c r="R37" i="101"/>
  <c r="V37" i="103"/>
  <c r="G37" i="107"/>
  <c r="V37" i="106"/>
  <c r="G37" i="97"/>
  <c r="G37" i="98"/>
  <c r="R37" i="104"/>
  <c r="V37" i="111"/>
  <c r="N38" i="72"/>
  <c r="R37" i="82"/>
  <c r="R37" i="84"/>
  <c r="R37" i="86"/>
  <c r="R37" i="90"/>
  <c r="R37" i="92"/>
  <c r="R37" i="94"/>
  <c r="V37" i="95"/>
  <c r="I37" i="99"/>
  <c r="V37" i="100"/>
  <c r="V37" i="101"/>
  <c r="R37" i="103"/>
  <c r="V37" i="108"/>
  <c r="V37" i="110"/>
  <c r="V37" i="112"/>
  <c r="V37" i="115"/>
  <c r="V37" i="122"/>
  <c r="V37" i="125"/>
  <c r="V37" i="129"/>
  <c r="V37" i="131"/>
  <c r="V37" i="141"/>
  <c r="V37" i="161"/>
  <c r="X37" i="168"/>
  <c r="V37" i="200"/>
  <c r="I37" i="104"/>
  <c r="X37" i="108"/>
  <c r="R37" i="109"/>
  <c r="R37" i="110"/>
  <c r="R37" i="111"/>
  <c r="R37" i="112"/>
  <c r="G37" i="119"/>
  <c r="P37" i="119"/>
  <c r="X37" i="119"/>
  <c r="N37" i="119"/>
  <c r="V37" i="119"/>
  <c r="X37" i="122"/>
  <c r="N37" i="122"/>
  <c r="V37" i="123"/>
  <c r="G37" i="125"/>
  <c r="P37" i="125"/>
  <c r="X37" i="125"/>
  <c r="N37" i="125"/>
  <c r="G37" i="129"/>
  <c r="P37" i="129"/>
  <c r="X37" i="129"/>
  <c r="N37" i="129"/>
  <c r="V37" i="147"/>
  <c r="V37" i="150"/>
  <c r="T37" i="155"/>
  <c r="X37" i="161"/>
  <c r="V37" i="165"/>
  <c r="R37" i="167"/>
  <c r="N37" i="167"/>
  <c r="G37" i="105"/>
  <c r="P37" i="105"/>
  <c r="I37" i="107"/>
  <c r="R37" i="107"/>
  <c r="X37" i="115"/>
  <c r="N37" i="115"/>
  <c r="V37" i="116"/>
  <c r="L37" i="116"/>
  <c r="R37" i="117"/>
  <c r="G37" i="117"/>
  <c r="P37" i="117"/>
  <c r="V37" i="118"/>
  <c r="L37" i="118"/>
  <c r="V37" i="121"/>
  <c r="G37" i="122"/>
  <c r="P37" i="122"/>
  <c r="X37" i="123"/>
  <c r="N37" i="123"/>
  <c r="V37" i="124"/>
  <c r="V37" i="128"/>
  <c r="X37" i="130"/>
  <c r="X37" i="150"/>
  <c r="V37" i="157"/>
  <c r="X37" i="165"/>
  <c r="L37" i="174"/>
  <c r="T37" i="174"/>
  <c r="V37" i="174"/>
  <c r="R37" i="174"/>
  <c r="R35" i="105"/>
  <c r="R37" i="105" s="1"/>
  <c r="N37" i="106"/>
  <c r="R37" i="113"/>
  <c r="I37" i="114"/>
  <c r="R37" i="115"/>
  <c r="G37" i="115"/>
  <c r="P37" i="115"/>
  <c r="I37" i="117"/>
  <c r="X37" i="117"/>
  <c r="T37" i="120"/>
  <c r="X37" i="121"/>
  <c r="N37" i="121"/>
  <c r="G37" i="123"/>
  <c r="P37" i="123"/>
  <c r="G37" i="124"/>
  <c r="P37" i="124"/>
  <c r="X37" i="124"/>
  <c r="N37" i="124"/>
  <c r="G37" i="128"/>
  <c r="P37" i="128"/>
  <c r="X37" i="128"/>
  <c r="N37" i="128"/>
  <c r="V37" i="137"/>
  <c r="R37" i="153"/>
  <c r="X37" i="131"/>
  <c r="N37" i="131"/>
  <c r="V37" i="132"/>
  <c r="X37" i="137"/>
  <c r="N37" i="137"/>
  <c r="V37" i="138"/>
  <c r="X37" i="141"/>
  <c r="N37" i="141"/>
  <c r="V37" i="142"/>
  <c r="R37" i="146"/>
  <c r="V37" i="148"/>
  <c r="T37" i="151"/>
  <c r="V35" i="155"/>
  <c r="V37" i="155" s="1"/>
  <c r="X37" i="155"/>
  <c r="R37" i="156"/>
  <c r="G37" i="157"/>
  <c r="T37" i="162"/>
  <c r="V37" i="163"/>
  <c r="T37" i="166"/>
  <c r="R37" i="168"/>
  <c r="V37" i="170"/>
  <c r="L37" i="173"/>
  <c r="T37" i="173"/>
  <c r="V37" i="173"/>
  <c r="R37" i="173"/>
  <c r="G37" i="130"/>
  <c r="G37" i="131"/>
  <c r="P37" i="131"/>
  <c r="X37" i="132"/>
  <c r="N37" i="132"/>
  <c r="V37" i="135"/>
  <c r="G37" i="137"/>
  <c r="P37" i="137"/>
  <c r="X37" i="138"/>
  <c r="N37" i="138"/>
  <c r="V37" i="139"/>
  <c r="G37" i="141"/>
  <c r="P37" i="141"/>
  <c r="X37" i="142"/>
  <c r="N37" i="142"/>
  <c r="V37" i="143"/>
  <c r="I37" i="145"/>
  <c r="R37" i="145"/>
  <c r="T37" i="146"/>
  <c r="I37" i="146"/>
  <c r="R37" i="147"/>
  <c r="V37" i="149"/>
  <c r="N37" i="150"/>
  <c r="V35" i="151"/>
  <c r="V37" i="151" s="1"/>
  <c r="X37" i="151"/>
  <c r="R37" i="152"/>
  <c r="X37" i="153"/>
  <c r="L37" i="153"/>
  <c r="L37" i="155"/>
  <c r="T35" i="156"/>
  <c r="T37" i="156" s="1"/>
  <c r="R37" i="157"/>
  <c r="I37" i="157"/>
  <c r="V37" i="159"/>
  <c r="N37" i="161"/>
  <c r="V35" i="162"/>
  <c r="V37" i="162" s="1"/>
  <c r="X37" i="162"/>
  <c r="T37" i="164"/>
  <c r="N37" i="165"/>
  <c r="V35" i="166"/>
  <c r="V37" i="166" s="1"/>
  <c r="R37" i="166"/>
  <c r="I37" i="167"/>
  <c r="V37" i="167"/>
  <c r="P37" i="168"/>
  <c r="L37" i="172"/>
  <c r="T37" i="172"/>
  <c r="V37" i="172"/>
  <c r="R37" i="172"/>
  <c r="X37" i="174"/>
  <c r="P37" i="176"/>
  <c r="X37" i="186"/>
  <c r="P60" i="190"/>
  <c r="R58" i="190"/>
  <c r="X37" i="192"/>
  <c r="R37" i="129"/>
  <c r="V37" i="130"/>
  <c r="P37" i="130"/>
  <c r="G37" i="132"/>
  <c r="P37" i="132"/>
  <c r="T37" i="134"/>
  <c r="R37" i="134"/>
  <c r="G37" i="138"/>
  <c r="P37" i="138"/>
  <c r="V37" i="140"/>
  <c r="G37" i="142"/>
  <c r="P37" i="142"/>
  <c r="V37" i="144"/>
  <c r="L37" i="145"/>
  <c r="T37" i="145"/>
  <c r="L37" i="146"/>
  <c r="I37" i="147"/>
  <c r="R37" i="148"/>
  <c r="N37" i="148"/>
  <c r="X37" i="149"/>
  <c r="L37" i="149"/>
  <c r="T35" i="150"/>
  <c r="T37" i="150" s="1"/>
  <c r="L37" i="151"/>
  <c r="T35" i="152"/>
  <c r="T37" i="152" s="1"/>
  <c r="I37" i="154"/>
  <c r="R37" i="154"/>
  <c r="R37" i="155"/>
  <c r="I37" i="156"/>
  <c r="V37" i="156"/>
  <c r="T37" i="157"/>
  <c r="L37" i="157"/>
  <c r="N37" i="158"/>
  <c r="V37" i="158"/>
  <c r="X37" i="159"/>
  <c r="N37" i="159"/>
  <c r="V37" i="160"/>
  <c r="T35" i="161"/>
  <c r="T37" i="161" s="1"/>
  <c r="L37" i="162"/>
  <c r="R37" i="163"/>
  <c r="N37" i="163"/>
  <c r="X37" i="164"/>
  <c r="L37" i="164"/>
  <c r="L37" i="166"/>
  <c r="X37" i="166"/>
  <c r="V37" i="168"/>
  <c r="V37" i="169"/>
  <c r="R37" i="170"/>
  <c r="N37" i="170"/>
  <c r="X37" i="173"/>
  <c r="L37" i="175"/>
  <c r="V37" i="175"/>
  <c r="R37" i="175"/>
  <c r="N37" i="168"/>
  <c r="L37" i="177"/>
  <c r="X37" i="177"/>
  <c r="R37" i="179"/>
  <c r="V37" i="181"/>
  <c r="I37" i="186"/>
  <c r="R37" i="186"/>
  <c r="R37" i="192"/>
  <c r="I37" i="170"/>
  <c r="I37" i="171"/>
  <c r="R37" i="171"/>
  <c r="N37" i="172"/>
  <c r="N37" i="173"/>
  <c r="N37" i="174"/>
  <c r="N37" i="175"/>
  <c r="I37" i="176"/>
  <c r="R37" i="176"/>
  <c r="V37" i="179"/>
  <c r="P60" i="187"/>
  <c r="R58" i="187"/>
  <c r="X37" i="188"/>
  <c r="I37" i="168"/>
  <c r="G37" i="169"/>
  <c r="P37" i="169"/>
  <c r="X35" i="170"/>
  <c r="X37" i="170" s="1"/>
  <c r="V37" i="176"/>
  <c r="G37" i="177"/>
  <c r="P37" i="177"/>
  <c r="R37" i="178"/>
  <c r="L37" i="179"/>
  <c r="V37" i="183"/>
  <c r="R37" i="188"/>
  <c r="I37" i="179"/>
  <c r="P60" i="184"/>
  <c r="R58" i="184"/>
  <c r="P60" i="186"/>
  <c r="R58" i="186"/>
  <c r="X37" i="187"/>
  <c r="L37" i="187"/>
  <c r="V37" i="187"/>
  <c r="G37" i="189"/>
  <c r="P37" i="189"/>
  <c r="T37" i="191"/>
  <c r="P60" i="191"/>
  <c r="R58" i="191"/>
  <c r="X37" i="190"/>
  <c r="L37" i="190"/>
  <c r="V37" i="190"/>
  <c r="G37" i="193"/>
  <c r="P37" i="193"/>
  <c r="T37" i="194"/>
  <c r="P60" i="194"/>
  <c r="R58" i="194"/>
  <c r="X37" i="195"/>
  <c r="L37" i="195"/>
  <c r="V37" i="195"/>
  <c r="L37" i="197"/>
  <c r="T37" i="197"/>
  <c r="T58" i="197" s="1"/>
  <c r="T61" i="197" s="1"/>
  <c r="T64" i="197" s="1"/>
  <c r="T37" i="199"/>
  <c r="T58" i="199" s="1"/>
  <c r="T61" i="199" s="1"/>
  <c r="T64" i="199" s="1"/>
  <c r="L37" i="199"/>
  <c r="P60" i="183"/>
  <c r="X37" i="185"/>
  <c r="V37" i="185"/>
  <c r="G37" i="186"/>
  <c r="P37" i="186"/>
  <c r="N37" i="187"/>
  <c r="G37" i="188"/>
  <c r="P37" i="188"/>
  <c r="T37" i="189"/>
  <c r="P60" i="189"/>
  <c r="R58" i="189"/>
  <c r="X37" i="191"/>
  <c r="L37" i="191"/>
  <c r="V37" i="191"/>
  <c r="G37" i="192"/>
  <c r="P37" i="192"/>
  <c r="T37" i="193"/>
  <c r="P60" i="193"/>
  <c r="R58" i="193"/>
  <c r="X37" i="194"/>
  <c r="L37" i="194"/>
  <c r="V37" i="194"/>
  <c r="V37" i="198"/>
  <c r="G37" i="198"/>
  <c r="P37" i="198"/>
  <c r="P58" i="198" s="1"/>
  <c r="P61" i="198" s="1"/>
  <c r="P64" i="198" s="1"/>
  <c r="R37" i="180"/>
  <c r="R37" i="181"/>
  <c r="R37" i="182"/>
  <c r="R37" i="183"/>
  <c r="N37" i="185"/>
  <c r="P60" i="185"/>
  <c r="R58" i="185"/>
  <c r="G37" i="187"/>
  <c r="P37" i="187"/>
  <c r="P60" i="188"/>
  <c r="R58" i="188"/>
  <c r="X37" i="189"/>
  <c r="V37" i="189"/>
  <c r="G37" i="190"/>
  <c r="P37" i="190"/>
  <c r="P60" i="192"/>
  <c r="R58" i="192"/>
  <c r="X37" i="193"/>
  <c r="V37" i="193"/>
  <c r="R61" i="197"/>
  <c r="R64" i="197" s="1"/>
  <c r="I37" i="198"/>
  <c r="R56" i="197"/>
  <c r="V37" i="201"/>
  <c r="N61" i="201"/>
  <c r="N64" i="201" s="1"/>
  <c r="R56" i="204"/>
  <c r="R61" i="204" s="1"/>
  <c r="R64" i="204" s="1"/>
  <c r="R56" i="206"/>
  <c r="R61" i="206" s="1"/>
  <c r="R64" i="206" s="1"/>
  <c r="R37" i="206"/>
  <c r="R53" i="208"/>
  <c r="R35" i="208"/>
  <c r="V35" i="199"/>
  <c r="V37" i="199" s="1"/>
  <c r="N61" i="199"/>
  <c r="N64" i="199" s="1"/>
  <c r="R37" i="200"/>
  <c r="R56" i="200"/>
  <c r="T37" i="200"/>
  <c r="T58" i="200" s="1"/>
  <c r="T61" i="200" s="1"/>
  <c r="T64" i="200" s="1"/>
  <c r="L37" i="200"/>
  <c r="R56" i="202"/>
  <c r="R61" i="202" s="1"/>
  <c r="R64" i="202" s="1"/>
  <c r="R53" i="209"/>
  <c r="R58" i="209" s="1"/>
  <c r="R61" i="209" s="1"/>
  <c r="R35" i="209"/>
  <c r="N61" i="198"/>
  <c r="N64" i="198" s="1"/>
  <c r="L37" i="201"/>
  <c r="R61" i="205"/>
  <c r="R64" i="205" s="1"/>
  <c r="R56" i="207"/>
  <c r="R61" i="207" s="1"/>
  <c r="R64" i="207" s="1"/>
  <c r="L37" i="202"/>
  <c r="R11" i="205"/>
  <c r="L37" i="207"/>
  <c r="R33" i="212"/>
  <c r="R35" i="212" s="1"/>
  <c r="R58" i="212"/>
  <c r="R61" i="212" s="1"/>
  <c r="X35" i="213"/>
  <c r="L37" i="204"/>
  <c r="N53" i="208"/>
  <c r="N58" i="208" s="1"/>
  <c r="N61" i="208" s="1"/>
  <c r="N35" i="208"/>
  <c r="V35" i="208"/>
  <c r="R28" i="213"/>
  <c r="G35" i="213"/>
  <c r="P35" i="213"/>
  <c r="R53" i="199"/>
  <c r="R53" i="201"/>
  <c r="R53" i="200"/>
  <c r="R11" i="202"/>
  <c r="R37" i="202" s="1"/>
  <c r="V35" i="202"/>
  <c r="V37" i="202" s="1"/>
  <c r="L37" i="205"/>
  <c r="R11" i="207"/>
  <c r="R37" i="207" s="1"/>
  <c r="V35" i="207"/>
  <c r="V37" i="207" s="1"/>
  <c r="R50" i="208"/>
  <c r="R58" i="208" s="1"/>
  <c r="R61" i="208" s="1"/>
  <c r="L37" i="196"/>
  <c r="T55" i="211"/>
  <c r="T58" i="211" s="1"/>
  <c r="T61" i="211" s="1"/>
  <c r="N35" i="212"/>
  <c r="V35" i="212"/>
  <c r="T56" i="212"/>
  <c r="T58" i="212" s="1"/>
  <c r="T61" i="212" s="1"/>
  <c r="T58" i="213"/>
  <c r="T61" i="213" s="1"/>
  <c r="I35" i="213"/>
  <c r="V37" i="203"/>
  <c r="N37" i="199"/>
  <c r="N37" i="201"/>
  <c r="N37" i="200"/>
  <c r="R11" i="204"/>
  <c r="R37" i="204" s="1"/>
  <c r="V35" i="204"/>
  <c r="V37" i="204" s="1"/>
  <c r="L37" i="206"/>
  <c r="X33" i="208"/>
  <c r="X35" i="208" s="1"/>
  <c r="V33" i="209"/>
  <c r="V35" i="209" s="1"/>
  <c r="L35" i="209"/>
  <c r="N35" i="210"/>
  <c r="V35" i="210"/>
  <c r="I35" i="211"/>
  <c r="N35" i="213"/>
  <c r="V35" i="213"/>
  <c r="L35" i="213"/>
  <c r="N61" i="203"/>
  <c r="N64" i="203" s="1"/>
  <c r="R33" i="214"/>
  <c r="R35" i="214" s="1"/>
  <c r="T33" i="214"/>
  <c r="T35" i="214" s="1"/>
  <c r="N37" i="203"/>
  <c r="T33" i="213"/>
  <c r="T35" i="213" s="1"/>
  <c r="M57" i="216"/>
  <c r="M60" i="216" s="1"/>
  <c r="E35" i="216"/>
  <c r="U35" i="216"/>
  <c r="I35" i="216"/>
  <c r="G35" i="216"/>
  <c r="K35" i="216"/>
  <c r="S35" i="216"/>
  <c r="M35" i="216"/>
  <c r="O35" i="216"/>
  <c r="K57" i="216"/>
  <c r="K60" i="216" s="1"/>
  <c r="Q35" i="216"/>
  <c r="O57" i="216"/>
  <c r="O60" i="216" s="1"/>
  <c r="Q57" i="216"/>
  <c r="Q60" i="216" s="1"/>
  <c r="R56" i="203" l="1"/>
  <c r="R61" i="203" s="1"/>
  <c r="R64" i="203" s="1"/>
  <c r="R37" i="205"/>
  <c r="R56" i="199"/>
  <c r="R61" i="199" s="1"/>
  <c r="R64" i="199" s="1"/>
  <c r="R61" i="200"/>
  <c r="R64" i="200" s="1"/>
  <c r="R56" i="201"/>
  <c r="R61" i="201" s="1"/>
  <c r="R64" i="201" s="1"/>
  <c r="R37" i="201"/>
  <c r="R53" i="213"/>
  <c r="R58" i="213" s="1"/>
  <c r="R61" i="213" s="1"/>
  <c r="R33" i="213"/>
  <c r="R35" i="21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0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0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0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0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0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0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0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0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8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2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2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2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3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3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3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3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3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3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4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4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4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4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4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4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5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5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5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5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5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5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5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6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6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6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6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6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6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6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7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7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7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7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7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7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7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8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8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8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8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8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8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8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9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9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9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9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A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A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A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A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B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B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B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B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9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C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C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C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C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D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D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D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D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E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E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E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E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F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F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F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F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8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8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8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8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8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8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8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80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80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 xr:uid="{00000000-0006-0000-8000-00001F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8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80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80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0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8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8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8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8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8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8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8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81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81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 xr:uid="{00000000-0006-0000-8100-00001F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8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81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81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1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8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8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2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2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2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82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8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3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3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3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3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3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3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4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4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4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4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4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4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5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5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5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5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5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5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 xr:uid="{00000000-0006-0000-1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R8" authorId="0" shapeId="0" xr:uid="{00000000-0006-0000-1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 xr:uid="{00000000-0006-0000-1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R10" authorId="0" shapeId="0" xr:uid="{00000000-0006-0000-1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 xr:uid="{00000000-0006-0000-1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 xr:uid="{00000000-0006-0000-1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 xr:uid="{00000000-0006-0000-1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P24" authorId="1" shapeId="0" xr:uid="{00000000-0006-0000-1A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G25" authorId="0" shapeId="0" xr:uid="{00000000-0006-0000-1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7" authorId="1" shapeId="0" xr:uid="{00000000-0006-0000-1A00-00001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P27" authorId="1" shapeId="0" xr:uid="{00000000-0006-0000-1A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</commentList>
</comments>
</file>

<file path=xl/comments1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6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6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6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6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6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6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7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7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7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7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8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8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8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8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8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8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9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9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9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9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9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9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A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A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A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A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A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A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A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B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B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B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B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B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B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C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C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C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C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C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D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D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D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D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D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D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E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E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E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E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E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E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8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8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F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F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F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F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8F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8F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F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B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M8" authorId="0" shapeId="0" xr:uid="{00000000-0006-0000-1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M10" authorId="0" shapeId="0" xr:uid="{00000000-0006-0000-1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M11" authorId="0" shapeId="0" xr:uid="{00000000-0006-0000-1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M18" authorId="0" shapeId="0" xr:uid="{00000000-0006-0000-1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O24" authorId="1" shapeId="0" xr:uid="{00000000-0006-0000-1B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Correcting book adjustment
</t>
        </r>
      </text>
    </comment>
    <comment ref="S24" authorId="1" shapeId="0" xr:uid="{00000000-0006-0000-1B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$1309 Correcting book adjustment</t>
        </r>
      </text>
    </comment>
    <comment ref="G25" authorId="0" shapeId="0" xr:uid="{00000000-0006-0000-1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0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0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0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0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0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0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0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1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1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1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1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1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1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1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2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2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2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2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2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3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3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3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3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3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3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3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4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4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4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4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4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4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4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5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5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5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5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5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6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6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6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6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6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6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6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7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7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7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7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7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7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7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8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8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8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8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8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8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8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9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9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9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9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9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9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I39" authorId="0" shapeId="0" xr:uid="{00000000-0006-0000-99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C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 xr:uid="{00000000-0006-0000-1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8" authorId="0" shapeId="0" xr:uid="{00000000-0006-0000-1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8" authorId="0" shapeId="0" xr:uid="{00000000-0006-0000-1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 xr:uid="{00000000-0006-0000-1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0" authorId="0" shapeId="0" xr:uid="{00000000-0006-0000-1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0" authorId="0" shapeId="0" xr:uid="{00000000-0006-0000-1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1" authorId="0" shapeId="0" xr:uid="{00000000-0006-0000-1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 xr:uid="{00000000-0006-0000-1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 xr:uid="{00000000-0006-0000-1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 xr:uid="{00000000-0006-0000-1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5" authorId="0" shapeId="0" xr:uid="{00000000-0006-0000-1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9" authorId="1" shapeId="0" xr:uid="{00000000-0006-0000-1C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A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A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A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A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A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A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A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A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A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B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B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B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B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B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B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B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B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C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C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C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C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C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C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D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D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D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D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D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D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D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D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E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E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E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E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E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E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E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E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E0479FFC-56C8-478C-BF7F-52CA849BEA4D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51DEB819-E334-4741-8795-99477E850B0E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7F1BD536-8942-4A32-B888-30AECA05B24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4DEC6C5E-EE92-4F35-A3FD-E85338A193C4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D2FD274-34E1-4D86-ADDE-C622881D14D7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D23E19E-08AF-47F9-A3A9-C4BCC67AC97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709C9E73-634C-4041-8D23-7F9FD0A92C3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572DACCC-6778-49CC-9D98-C01864D0A32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5602D2A9-F54C-4AAD-B548-ADD05366A54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CA730779-BC39-4BBD-98FB-4BDEF2447857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C1359AC5-05DD-4BF2-90A5-DC27EF0ACE6C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542C6DC9-4E17-478C-9062-65E286B31F98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9CB95441-5F06-4550-BD9A-A17C5A67357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1D985A2D-6C71-4125-B654-3EA00AA506A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5E419A9F-930F-4D80-8C69-BE0C0482ECF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C6193CB7-36E7-4FF6-AD7F-6A97DDB69D8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412E94-DA9A-4622-9E6B-03A476916C54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7F219E04-309B-4828-8D05-76D4B4198458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2AC7101D-B630-47AE-9452-DB0321668BDF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3D32DDD8-49A7-4DAF-869F-76B8E532B23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6477D8DD-CDAB-4FA8-99C5-B8743D8F362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8E7915F6-7ECA-4AF5-BFA4-F396B90495B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A95162B0-11C0-4CAE-AF6F-0D9A03FC548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BFF0A1A7-2A31-4C24-9FEE-6AEAA8E52DDC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88825216-EB01-4885-9DCB-697004931957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76B0ADFF-1B8D-4B02-9287-8F2C2489F21B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6F2DA47B-B946-4EFE-8FD6-2E1DE1BC9DF1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B0A1AE28-1FCA-4A48-9708-5CB5A7BFBD6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1FFC3CF7-E1C5-41D2-A752-5D5666809C43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6E90CBA5-A03E-4014-A42A-8A6D7E0BF26B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54820E14-A7D4-4746-9057-090025EA0AA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A060791A-8E84-4A25-AB12-9C7F3650073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15D69437-27FC-4C16-B723-D2F016FD90F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7540EBE8-4ACF-4AB6-B2F1-CB45D66C07C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5DE1C026-BAAE-4012-850F-73CA0CE6AD2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FFA7F8E0-CAC1-412D-B7F5-CF4FB73D37D4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A07942AA-BDF8-4B89-B3D4-1FD088247CAC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F8E1F09D-8604-435C-92A3-E3D8FF8E14C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4971039A-1F22-4EA9-AFF1-EC14CBCBBF91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D845FD82-705F-4873-886D-2DF8E6F1CBB9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6D4FC6F-E8FE-47A3-BFAF-6A5C4917C145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9AF6EBF2-3F0A-4FC1-A327-DC3B8A9553B8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CDF1204E-4112-4F28-8F9D-1F9EF65624D2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761C5740-1F1B-4ED3-A769-B71DE08F587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B10451C0-B0FF-4DCD-BFFA-ED43A8E4651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AD248BA8-488F-4847-972A-46EFBB21713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E9300A5A-892F-4F0D-A6DE-64B83C529D7C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92B9D0D3-370F-4402-ACCD-3143F2D1AAA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40F4FD4C-649E-41AA-A4E6-A9EC366A3A2E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4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4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4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4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4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4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4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4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1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 xr:uid="{00000000-0006-0000-1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 xr:uid="{00000000-0006-0000-1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 xr:uid="{00000000-0006-0000-1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 xr:uid="{00000000-0006-0000-1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 xr:uid="{00000000-0006-0000-1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 xr:uid="{00000000-0006-0000-1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 xr:uid="{00000000-0006-0000-1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 xr:uid="{00000000-0006-0000-1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 xr:uid="{00000000-0006-0000-1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 xr:uid="{00000000-0006-0000-1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 xr:uid="{00000000-0006-0000-1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 xr:uid="{00000000-0006-0000-1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 xr:uid="{00000000-0006-0000-1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 xr:uid="{00000000-0006-0000-1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 xr:uid="{00000000-0006-0000-1D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BDC7E2C2-2E81-473D-9862-B230DA2E6B1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C55067F2-6A9F-45BE-84EA-67C66BBF9B5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85A1097-527C-4EFB-8F2D-4D2FDE493E9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3A8231F5-FDC0-4502-A164-779FED9F0D8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9D751268-65D8-48BB-A0E4-FD609B8700FE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68E1A3A3-B5B3-4195-8AC2-73944ECADBFC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F717AD9C-5027-4006-AA7F-3815405FBED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A864008D-6DFE-4E8B-A68C-37DFB51E1E8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4B08FF0E-E1EE-43E7-B763-A8EA31F32D5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3B0A4728-63A1-4DE3-BB5A-2FDD50560735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ED735319-355A-4EAF-A985-0976C58B216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8C55AD7B-7129-4962-8F12-C736418EDBF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6E18207-8D0F-4398-847F-9C7E31E3828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6371201B-220E-4B74-BA26-53FD3757A41D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331CA3DC-E0AE-4410-A088-76297883DD13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ABF3581-A8B7-41F3-BD1E-DEC87FEB04E9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B02179C5-42E8-4BEB-99AC-10F829A67105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B1FEA14A-7047-4BD3-8F26-7B25B6AE5E1B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2DBF821-7498-49A1-9C23-ED5D2665C78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B8DF5E47-99AB-41D7-A6CA-80E5CE1D8D6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9E27E718-6337-48D4-B47B-4049F244B8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U28" authorId="2" shapeId="0" xr:uid="{78CBB9C4-94D0-43C4-99E0-B7A280B29DF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F517D473-88A3-4B17-8525-8A83EE57C0D7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250B173E-1AEC-487E-8323-242F729674D7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E4A08152-9CEF-41FD-A0B1-643AB756AFD4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6A83045D-2E87-4BB7-9E68-44AF2B1B819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B64F9608-16A6-4091-99D7-9303DC2F1DD3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239BCA0E-1FA7-4466-8BFE-C85D67F607B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D8E80D9D-90D5-4FDC-9142-B7A7FADB5BA3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FEC565A9-E627-4A43-8FAE-A910570C304B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D8C77A80-BBB2-48D5-B951-91E84E38827D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E7E71F02-EBB2-49EB-BB2A-1FE20E9B64CF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871EFD88-1915-404B-8FD2-1C7B9461178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1AE1191F-68E3-49BA-AE12-6FB7C38709A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772D2974-EE01-4CFA-8B49-033B8026FA9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C3699AAA-5720-44B7-8ECA-92622CD97043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C23159B4-75C4-45C9-B909-F117156E992E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581C2831-1D74-4777-9C86-6DA794411708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1EABCAA0-891E-42B8-922D-1BF2CD62E03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7673D06E-6ADD-4104-9753-51C42C304A7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A330FA5E-F566-4A9F-A403-71C7A732F60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E97792B0-7836-4645-97FD-3EBEE2B158D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1D1B6108-E64C-4FA0-9B72-F6E5257D1BED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DDF8A7E7-BD87-424E-AAC6-72481775A107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C6BEAD6B-91C9-4D24-9738-8F6DA4F0186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2E4CE1B6-DB70-4A56-B14D-92147709273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B053F756-EBF1-47B3-83CC-0C2287ABDA5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B5E78042-0A0B-4A2C-B70A-AFFB8F43E9D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CABCB59A-19A6-4924-9B5E-ED1EA225D2CB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4371D0BF-89DC-4C0A-9CA6-B3E9C3F28064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F5EF1F72-6950-47B4-BC72-772957CE866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71392850-13F8-491B-A95D-A888832160D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4D50D050-0048-4FEA-B74D-FC4328FA93D1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1BA6A271-380B-4074-8859-04B18339D5EC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2E2C62C7-6297-4F0B-970E-0A2105869F67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5AB1CD35-BE59-4730-B748-99C30F78265E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D85114E3-85A1-4103-B930-AC8B302CD60D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D56476B0-2DD1-4595-9E17-ADD7D9141E3E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14D2441-E6F5-4C5B-A0E9-59ABB87CCA9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90C37552-03E2-4342-9B1A-F5C3F84FB50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7B3A7B4E-812E-4181-AC1E-52DE1EA523C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49C7C763-07B0-4244-892E-5AFADC242015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EF1202D4-B21A-42A9-AD26-DF0A0C4CAE35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C52DB2E-F213-441C-8A1D-0AD736530C0E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85F3B283-F93C-4FB8-972B-1F951EAF3A2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EAFC7FCA-65D2-45EC-868C-35F871E51544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22D08745-043D-42DD-9FE2-2A19F5C9F4ED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8F0C82BF-0542-4400-9ECE-CED989FCF21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CCFACECC-07DC-41F9-B0A2-2874CFEE90C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808674A0-F1B4-49D8-940D-F40C8E5A57E8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E8EB729F-460C-4553-ACC3-DC215C655A0D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4FE053DB-32D1-48FF-8087-E67CEB5CE01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D1A99969-C6F4-42BD-8B2A-6F89AA74A09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E5DD0B56-66F6-4628-BB3E-DBFCCEAE95B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449F9028-BAAA-4581-AADB-584EA72B2CCA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3AFFDB22-C326-4AB5-8342-AF3B7D1ECE8C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4FE8E936-CCD9-4009-97AF-CAEA8D041F7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E1DA7180-A0EA-47FC-A55C-C98FE2E826F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9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9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9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9F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9F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9F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9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9F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9F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9F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9F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9F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9F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0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0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0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0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0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0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0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0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0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1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1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1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1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1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1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1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1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1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2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2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2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2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2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2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2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2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2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1" authorId="0" shapeId="0" xr:uid="{00000000-0006-0000-1E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 xr:uid="{00000000-0006-0000-1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 xr:uid="{00000000-0006-0000-1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 xr:uid="{00000000-0006-0000-1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 xr:uid="{00000000-0006-0000-1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 xr:uid="{00000000-0006-0000-1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 xr:uid="{00000000-0006-0000-1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 xr:uid="{00000000-0006-0000-1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 xr:uid="{00000000-0006-0000-1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 xr:uid="{00000000-0006-0000-1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 xr:uid="{00000000-0006-0000-1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 xr:uid="{00000000-0006-0000-1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 xr:uid="{00000000-0006-0000-1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 xr:uid="{00000000-0006-0000-1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 xr:uid="{00000000-0006-0000-1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 xr:uid="{00000000-0006-0000-1E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46" authorId="0" shapeId="0" xr:uid="{00000000-0006-0000-1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47" authorId="0" shapeId="0" xr:uid="{00000000-0006-0000-1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3" authorId="0" shapeId="0" xr:uid="{00000000-0006-0000-1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57" authorId="0" shapeId="0" xr:uid="{00000000-0006-0000-1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58" authorId="0" shapeId="0" xr:uid="{00000000-0006-0000-1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3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3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3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3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3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3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3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3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3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5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5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5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5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5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5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6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6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6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6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6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6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7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7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7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7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Q30" authorId="2" shapeId="0" xr:uid="{00000000-0006-0000-A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Q31" authorId="2" shapeId="0" xr:uid="{00000000-0006-0000-A7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7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7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8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8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8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8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8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8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9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9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9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9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9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9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A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A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A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A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A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A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B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B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B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B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B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B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C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C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C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C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C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C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C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D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D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D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D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D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D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5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 xr:uid="{00000000-0006-0000-1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 xr:uid="{00000000-0006-0000-1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 xr:uid="{00000000-0006-0000-1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 xr:uid="{00000000-0006-0000-1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 xr:uid="{00000000-0006-0000-1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 xr:uid="{00000000-0006-0000-1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 xr:uid="{00000000-0006-0000-1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 xr:uid="{00000000-0006-0000-1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 xr:uid="{00000000-0006-0000-1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 xr:uid="{00000000-0006-0000-1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 xr:uid="{00000000-0006-0000-1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 xr:uid="{00000000-0006-0000-1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 xr:uid="{00000000-0006-0000-1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 xr:uid="{00000000-0006-0000-1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 xr:uid="{00000000-0006-0000-1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 xr:uid="{00000000-0006-0000-1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 xr:uid="{00000000-0006-0000-1F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 xr:uid="{00000000-0006-0000-1F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 xr:uid="{00000000-0006-0000-1F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 xr:uid="{00000000-0006-0000-1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 xr:uid="{00000000-0006-0000-1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 xr:uid="{00000000-0006-0000-1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 xr:uid="{00000000-0006-0000-1F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 xr:uid="{00000000-0006-0000-1F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 xr:uid="{00000000-0006-0000-1F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E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E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E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E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E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E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F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F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F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F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F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F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B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B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B0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B0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0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B0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B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B0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B0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1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1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1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1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1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1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1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2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2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2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2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2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2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3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3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3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3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3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3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3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4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4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4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4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4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4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4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5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5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5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5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5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59" authorId="0" shapeId="0" xr:uid="{00000000-0006-0000-B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7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6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6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6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6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6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6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6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7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7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7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7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7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7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7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5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 xr:uid="{00000000-0006-0000-2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 xr:uid="{00000000-0006-0000-2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 xr:uid="{00000000-0006-0000-2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 xr:uid="{00000000-0006-0000-2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 xr:uid="{00000000-0006-0000-2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 xr:uid="{00000000-0006-0000-2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 xr:uid="{00000000-0006-0000-20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 xr:uid="{00000000-0006-0000-20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 xr:uid="{00000000-0006-0000-20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 xr:uid="{00000000-0006-0000-2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 xr:uid="{00000000-0006-0000-2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 xr:uid="{00000000-0006-0000-2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 xr:uid="{00000000-0006-0000-20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 xr:uid="{00000000-0006-0000-20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 xr:uid="{00000000-0006-0000-20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8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8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8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8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8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8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8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8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9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9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9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9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9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9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9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9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B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A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A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A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A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A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A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A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BA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B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B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BB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BB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B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BB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B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BB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BB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C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C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C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C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C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C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B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D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D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D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D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D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D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BD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B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E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E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E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E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E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E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E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E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BE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F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F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F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F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F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F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F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F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1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1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 xr:uid="{00000000-0006-0000-2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 xr:uid="{00000000-0006-0000-21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 xr:uid="{00000000-0006-0000-21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 xr:uid="{00000000-0006-0000-21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 xr:uid="{00000000-0006-0000-21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2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 xr:uid="{00000000-0006-0000-2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51" authorId="1" shapeId="0" xr:uid="{00000000-0006-0000-22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 xr:uid="{00000000-0006-0000-22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52" authorId="1" shapeId="0" xr:uid="{00000000-0006-0000-22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 xr:uid="{00000000-0006-0000-22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 xr:uid="{00000000-0006-0000-22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 xr:uid="{00000000-0006-0000-22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63" authorId="1" shapeId="0" xr:uid="{00000000-0006-0000-22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71" authorId="1" shapeId="0" xr:uid="{00000000-0006-0000-22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N72" authorId="1" shapeId="0" xr:uid="{00000000-0006-0000-2200-00002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3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3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4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4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4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5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6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6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6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7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8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8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8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9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9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9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Z11" authorId="1" shapeId="0" xr:uid="{00000000-0006-0000-2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Z13" authorId="1" shapeId="0" xr:uid="{00000000-0006-0000-2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14" authorId="1" shapeId="0" xr:uid="{00000000-0006-0000-2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5" authorId="1" shapeId="0" xr:uid="{00000000-0006-0000-2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20" authorId="1" shapeId="0" xr:uid="{00000000-0006-0000-2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1" shapeId="0" xr:uid="{00000000-0006-0000-2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A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B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B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B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4" authorId="1" shapeId="0" xr:uid="{00000000-0006-0000-2B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5" authorId="1" shapeId="0" xr:uid="{00000000-0006-0000-2B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3" authorId="1" shapeId="0" xr:uid="{00000000-0006-0000-2B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8" authorId="1" shapeId="0" xr:uid="{00000000-0006-0000-2B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9" authorId="1" shapeId="0" xr:uid="{00000000-0006-0000-2B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C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C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C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C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C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C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C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D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D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D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D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D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D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D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D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E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E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E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2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E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E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E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E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E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F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F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F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F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2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0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0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0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0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0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0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0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0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0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1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1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1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1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1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1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1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1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2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2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2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2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2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2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2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2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3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3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3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3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3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3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3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4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4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4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5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5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5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6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6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6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7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3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7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8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8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Y15" authorId="1" shapeId="0" xr:uid="{00000000-0006-0000-3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7" authorId="1" shapeId="0" xr:uid="{00000000-0006-0000-3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8" authorId="1" shapeId="0" xr:uid="{00000000-0006-0000-3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9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Y24" authorId="1" shapeId="0" xr:uid="{00000000-0006-0000-39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900-00001C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9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Y33" authorId="0" shapeId="0" xr:uid="{00000000-0006-0000-3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9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9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A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A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A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B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B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B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B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C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C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C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D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D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D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E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E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E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F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F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F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F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0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0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0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0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1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1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1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1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2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2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2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2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3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3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3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4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4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5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5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6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6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7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7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8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9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9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9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9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A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A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B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B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B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C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C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D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D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4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E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4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F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0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1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2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3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4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5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6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7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9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9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9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6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8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2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3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3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4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4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5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5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5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6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6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6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7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7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7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9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8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8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8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8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8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9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9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A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A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B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B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C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C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D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D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E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E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F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F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0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0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1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1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sharedStrings.xml><?xml version="1.0" encoding="utf-8"?>
<sst xmlns="http://schemas.openxmlformats.org/spreadsheetml/2006/main" count="14131" uniqueCount="582">
  <si>
    <t>FORTY-NINER SHOPS, INC.</t>
  </si>
  <si>
    <t>INVESTMENT REPORT</t>
  </si>
  <si>
    <t>08/05/06</t>
  </si>
  <si>
    <t>**INVESTMENTS**</t>
  </si>
  <si>
    <t>**INTEREST**</t>
  </si>
  <si>
    <t>TYPE</t>
  </si>
  <si>
    <t>INVESTED</t>
  </si>
  <si>
    <t>MATURES</t>
  </si>
  <si>
    <t>RATE</t>
  </si>
  <si>
    <t>CUR. MO.</t>
  </si>
  <si>
    <t>LAST MO.</t>
  </si>
  <si>
    <t>LAST YR.</t>
  </si>
  <si>
    <t>INTEREST</t>
  </si>
  <si>
    <t>YTD INT.</t>
  </si>
  <si>
    <t>PRIOR YTD</t>
  </si>
  <si>
    <t>NOTES</t>
  </si>
  <si>
    <t>*DESIGNATED FUNDS</t>
  </si>
  <si>
    <t>Common Fund (Res.Hall)</t>
  </si>
  <si>
    <t>Common Fund</t>
  </si>
  <si>
    <t>Smith Barney Citigroup</t>
  </si>
  <si>
    <t>GNMA</t>
  </si>
  <si>
    <t>Gov.Inv.</t>
  </si>
  <si>
    <t>stmt.not recd-estimated int.</t>
  </si>
  <si>
    <t>Money Mkt.</t>
  </si>
  <si>
    <t xml:space="preserve">    TOTAL DESIGNATED FUNDS        </t>
  </si>
  <si>
    <t>DESIGNATED CONSTRUCTION FUNDS:</t>
  </si>
  <si>
    <t>Revenue Reserve</t>
  </si>
  <si>
    <t>Debt Service Reserve Fund</t>
  </si>
  <si>
    <t>TOTAL DESIGNATED CONSTRUCTION FUNDS</t>
  </si>
  <si>
    <t>**AUXILIARY FUNDS:</t>
  </si>
  <si>
    <t>Scudder Investments</t>
  </si>
  <si>
    <t xml:space="preserve"> </t>
  </si>
  <si>
    <t>interest added</t>
  </si>
  <si>
    <t>Merrill Lynch</t>
  </si>
  <si>
    <t>Ready Assets</t>
  </si>
  <si>
    <t>int.added</t>
  </si>
  <si>
    <t>TOTAL AUXILIARY FUNDS</t>
  </si>
  <si>
    <t>*Res.Hall</t>
  </si>
  <si>
    <t>*Sick Leave</t>
  </si>
  <si>
    <t>**Operating Fund</t>
  </si>
  <si>
    <t>Note: Brokerage accounts balances reflect adjustments per 6/30/05 audit.</t>
  </si>
  <si>
    <t>09/02/06</t>
  </si>
  <si>
    <t>int.added, funds trsf.from ckg.</t>
  </si>
  <si>
    <t>09/30/06</t>
  </si>
  <si>
    <t>int.added, funds trsf.to ckg.</t>
  </si>
  <si>
    <t>Note: Brokerage accounts balances reflect adjustments per 6/30/06 audit.</t>
  </si>
  <si>
    <t>11/04/06</t>
  </si>
  <si>
    <t>12/02/06</t>
  </si>
  <si>
    <t>12/30/06</t>
  </si>
  <si>
    <t>int.added/funds trsf.to ckg.</t>
  </si>
  <si>
    <t>2/03/07</t>
  </si>
  <si>
    <t>int.added/funds trsf.from ckg.</t>
  </si>
  <si>
    <t>3/03/07</t>
  </si>
  <si>
    <t>3/31/07</t>
  </si>
  <si>
    <t>5/05/07</t>
  </si>
  <si>
    <t>6/02/07</t>
  </si>
  <si>
    <t>6/30/07</t>
  </si>
  <si>
    <t>POST AUDIT</t>
  </si>
  <si>
    <t>Note: Brokerage accounts balances reflect adjustments per 6/30/07 audit.</t>
  </si>
  <si>
    <t>8/4/07</t>
  </si>
  <si>
    <t>int.added,funds trsf.to ckg.</t>
  </si>
  <si>
    <t>9/1/07</t>
  </si>
  <si>
    <t>9/29/07</t>
  </si>
  <si>
    <t>int.added,funds trsf.to/from ckg.</t>
  </si>
  <si>
    <t>11-3-07</t>
  </si>
  <si>
    <t>stmt not recd-estimated int.</t>
  </si>
  <si>
    <t>12-1-07</t>
  </si>
  <si>
    <t>12-29-07</t>
  </si>
  <si>
    <t>2-2-08</t>
  </si>
  <si>
    <t>stmt not recd-est.interest</t>
  </si>
  <si>
    <t>3-1-08</t>
  </si>
  <si>
    <t>3-29-08</t>
  </si>
  <si>
    <t>5-3-08</t>
  </si>
  <si>
    <t>stmnt not recd-est.interest</t>
  </si>
  <si>
    <t>5-31-08</t>
  </si>
  <si>
    <t>6-30-08</t>
  </si>
  <si>
    <t>PRIOR TO AUDIT</t>
  </si>
  <si>
    <t>Note: Brokerage accounts balances reflect adjustments per 6/30/08 audit.</t>
  </si>
  <si>
    <t>FY2008/2009 INVESTMENT REPORT</t>
  </si>
  <si>
    <t>**INVESTMENT BALANCE**</t>
  </si>
  <si>
    <t>**INCOME/VALUATION ADJUSTMENTS**</t>
  </si>
  <si>
    <t>CURRENT MONTH</t>
  </si>
  <si>
    <t>YEAR TO DATE</t>
  </si>
  <si>
    <t>Assigned Accounts</t>
  </si>
  <si>
    <t xml:space="preserve">LAST MO JUNE- 6/30/08 </t>
  </si>
  <si>
    <t>CUR. MO.      JULY -8/2/08</t>
  </si>
  <si>
    <t>FMV ADJ.</t>
  </si>
  <si>
    <t>100-3540</t>
  </si>
  <si>
    <t>Treasury Notes</t>
  </si>
  <si>
    <t>100-3520</t>
  </si>
  <si>
    <t>100-3510</t>
  </si>
  <si>
    <t>100-3545</t>
  </si>
  <si>
    <t>801-1282</t>
  </si>
  <si>
    <t>Debt Service Reserve Fund  -  US Bank</t>
  </si>
  <si>
    <t xml:space="preserve">   DESIGNATED CONSTRUCTION FUNDS:</t>
  </si>
  <si>
    <t>100-1108</t>
  </si>
  <si>
    <t>Smith Barney Citigroup - Bal</t>
  </si>
  <si>
    <t>New Investment</t>
  </si>
  <si>
    <t>100-1118/100-9006</t>
  </si>
  <si>
    <t xml:space="preserve">Fair Market Value </t>
  </si>
  <si>
    <t>100-1109</t>
  </si>
  <si>
    <t>Common Fund - Balance</t>
  </si>
  <si>
    <t>Money Mkt</t>
  </si>
  <si>
    <t>Note: Brokerage accounts balances reflect monthly Fair Market Value  adjustments</t>
  </si>
  <si>
    <t xml:space="preserve">         :  Fair Market Value entries not posted to GL for July</t>
  </si>
  <si>
    <t>DO NOT PRINT BELOW</t>
  </si>
  <si>
    <t>Investment Account Recaps</t>
  </si>
  <si>
    <t>Interest</t>
  </si>
  <si>
    <t>Common Fund Recap</t>
  </si>
  <si>
    <t>July</t>
  </si>
  <si>
    <t>August</t>
  </si>
  <si>
    <t>September</t>
  </si>
  <si>
    <t>July SB Summary</t>
  </si>
  <si>
    <t>LAST MO.   JULY 2008</t>
  </si>
  <si>
    <t xml:space="preserve">CUR. MO.   AUG 2008 </t>
  </si>
  <si>
    <t>Equities</t>
  </si>
  <si>
    <t xml:space="preserve">FMV Adj. Designated </t>
  </si>
  <si>
    <t>Fair Market Value Account</t>
  </si>
  <si>
    <t>Treasurey Notes</t>
  </si>
  <si>
    <t>July/Aug JE</t>
  </si>
  <si>
    <t>Dr</t>
  </si>
  <si>
    <t>Cr</t>
  </si>
  <si>
    <t>100-9006</t>
  </si>
  <si>
    <t>100-1118</t>
  </si>
  <si>
    <t>SB Interest</t>
  </si>
  <si>
    <t>433-9002</t>
  </si>
  <si>
    <t>100-9001</t>
  </si>
  <si>
    <t>**INVESTMENTS BALANCE**</t>
  </si>
  <si>
    <t>LAST MO. AUG '08 -8/30/08</t>
  </si>
  <si>
    <t>CUR. MO. SEPT '08 -9/27/08</t>
  </si>
  <si>
    <t>Scudder Investments (terminated)</t>
  </si>
  <si>
    <t>Merrill Lynch (terminated)</t>
  </si>
  <si>
    <t>LAST MO. SEPT '08 -9/27/08</t>
  </si>
  <si>
    <t>CUR. MO. OCT '08 -11/01/08</t>
  </si>
  <si>
    <t>CASH</t>
  </si>
  <si>
    <t xml:space="preserve">  SUB-TOTAL DESIGNATED FUNDS        </t>
  </si>
  <si>
    <t xml:space="preserve"> SUB-TOTAL DESIGNATED CONSTRUCTION FUNDS:</t>
  </si>
  <si>
    <t xml:space="preserve"> SUB-TOTAL AUXILIARY FUNDS</t>
  </si>
  <si>
    <t>TOTAL CASH/INVESTMENTS</t>
  </si>
  <si>
    <t>LAST MO. OCT'08 -11/01/08</t>
  </si>
  <si>
    <t>CUR. MO. NOV '08 -11/29/08</t>
  </si>
  <si>
    <t>-</t>
  </si>
  <si>
    <t>LAST MO. OCT'08 -11/29/08</t>
  </si>
  <si>
    <t>CUR. MO. DEC '08 -12/27/08</t>
  </si>
  <si>
    <t>Cash/Payroll Accounts</t>
  </si>
  <si>
    <t>NBC Business Ladder</t>
  </si>
  <si>
    <t>CASH (includes Bussiness Ladder)</t>
  </si>
  <si>
    <t>801-1282/100-9002</t>
  </si>
  <si>
    <t>100-1108/100-9004</t>
  </si>
  <si>
    <t>100-1109/100-9002</t>
  </si>
  <si>
    <t>Common Fund Transfer/Loss</t>
  </si>
  <si>
    <t>100-1109/100-9001</t>
  </si>
  <si>
    <t>LAST MO. DEC'08 -12/27/08</t>
  </si>
  <si>
    <t>CUR. MO. JAN '09 -1/31/09</t>
  </si>
  <si>
    <t>LAST  MO. JAN '09 -1/31/09</t>
  </si>
  <si>
    <t>CUR. MO. FEB '09 -2/28/09</t>
  </si>
  <si>
    <t>LAST MO. FEB '09 -2/28/09</t>
  </si>
  <si>
    <t>CUR. MO. MAR '09 -3/28/09</t>
  </si>
  <si>
    <t>LAST MO. MAR '09 -3/28/09</t>
  </si>
  <si>
    <t>CUR. MO. APR '09 -5/2/09</t>
  </si>
  <si>
    <t>LAST MO. APR '09 -5/2/09</t>
  </si>
  <si>
    <t>CUR. MO. MAY '09 -5/30/09</t>
  </si>
  <si>
    <t>LAST MO. MAY '09 -5/30/09</t>
  </si>
  <si>
    <t>CUR. MO. JUNE'09 -6/30/09</t>
  </si>
  <si>
    <t>Common Fund - Balance net of des</t>
  </si>
  <si>
    <t>FY2009/2010 INVESTMENT REPORT</t>
  </si>
  <si>
    <t>PRIOR YEAR TO DATE</t>
  </si>
  <si>
    <t>LAST MO. JUNE'09 -6/30/09</t>
  </si>
  <si>
    <t>CUR. MO. JULY'09 -8/01/09</t>
  </si>
  <si>
    <t>LAST MO. JULY'09 -8/01/09</t>
  </si>
  <si>
    <t>CUR. MO. AUG'09 -8/29/09</t>
  </si>
  <si>
    <t>LAST MO. AUG'09 -8/29/09</t>
  </si>
  <si>
    <t>CUR. MO. SEP'09 -9/26/09</t>
  </si>
  <si>
    <t>LAST MO. SEP'09 -9/26/09</t>
  </si>
  <si>
    <t>CUR. MO. OCT'09 -10/31/09</t>
  </si>
  <si>
    <t>LAST MO. OCT'09 -10/31/09</t>
  </si>
  <si>
    <t>CUR. MO. NOV'09 -11/28/09</t>
  </si>
  <si>
    <t>LAST MO. NOV'09 -11/28/09</t>
  </si>
  <si>
    <t>CUR. MO. DEC'09 -12/26/09</t>
  </si>
  <si>
    <t>LAST MO. DEC'09 -12/26/09</t>
  </si>
  <si>
    <t>CUR. MO. JAN'10 -1/30/10</t>
  </si>
  <si>
    <t>Smith Barney Citi - Sick Leave</t>
  </si>
  <si>
    <t>LAST MO. JAN'10 -1/30/10</t>
  </si>
  <si>
    <t>CUR. MO. FEB'10 -2/27/10</t>
  </si>
  <si>
    <t>LAST MO. FEB'10 -2/27/10</t>
  </si>
  <si>
    <t>CUR. MO. MAR'27 -2/27/10</t>
  </si>
  <si>
    <t>LAST MO. MAR'10 -3/27/10</t>
  </si>
  <si>
    <t>CUR. MO. Apr'10 -5/1/10</t>
  </si>
  <si>
    <t>LAST MO. Apr'10 -5/1/10</t>
  </si>
  <si>
    <t>CUR. MO. Mayr'10 -5/29/10</t>
  </si>
  <si>
    <t>LAST MO.   May'10-5/29/10</t>
  </si>
  <si>
    <t>CUR. MO. June'10 -6/30/10</t>
  </si>
  <si>
    <t xml:space="preserve">Excludes Gain on Sale, Bond Contingency and </t>
  </si>
  <si>
    <t>FY2010/2011 INVESTMENT REPORT</t>
  </si>
  <si>
    <t>LAST MO.   Jun'10-6/30/10</t>
  </si>
  <si>
    <t>CUR. MO. July'10 -7/31/10</t>
  </si>
  <si>
    <t>LAST MO.   Jul'10-7/31/10</t>
  </si>
  <si>
    <t>CUR. MO. Augy'10 -8/28/10</t>
  </si>
  <si>
    <t>LAST. MO. Augy'10 -8/28/10</t>
  </si>
  <si>
    <t>CUR. MO. Sept'10 -9/25/10</t>
  </si>
  <si>
    <t>LAST MO. Sept'10 -9/25/10</t>
  </si>
  <si>
    <t>CUR. MO. Oct'10 -10/30/10</t>
  </si>
  <si>
    <t>100-1112</t>
  </si>
  <si>
    <t>SMIF - Well Fargo</t>
  </si>
  <si>
    <t>Investment</t>
  </si>
  <si>
    <t>LAST MO. Oct'10 -10/30/10</t>
  </si>
  <si>
    <t>CUR. MO. Nov'10 -11/27/10</t>
  </si>
  <si>
    <t>LAST MO. Nov'10 -11/27/10</t>
  </si>
  <si>
    <t>CUR. MO. Dec'10 -12/25/10</t>
  </si>
  <si>
    <t>FY2010/2011 CASH/INVESTMENT DESIGNATION</t>
  </si>
  <si>
    <t>** BALANCE**</t>
  </si>
  <si>
    <t>LAST MO. Ded'10 -12/25/10</t>
  </si>
  <si>
    <t>CUR. MO. Jan'11 -1/29/11</t>
  </si>
  <si>
    <t>LAST MO. Jan'11 -1/29/11</t>
  </si>
  <si>
    <t>CUR. MO. Feb '11 -2/26/11</t>
  </si>
  <si>
    <t>LAST MO. Feb'11 -2/26/11</t>
  </si>
  <si>
    <t>CUR. MO. Mar '11 -3/26/11</t>
  </si>
  <si>
    <t>LAST MO. Mar'11 -3/26/11</t>
  </si>
  <si>
    <t>CUR. MO. Apr '11 -4/30/11</t>
  </si>
  <si>
    <t>LAST MO. Apr'11 -4/30/11</t>
  </si>
  <si>
    <t>CUR. MO. May '11 -5/28/11</t>
  </si>
  <si>
    <t>LAST MO. May'11 -5/28/11</t>
  </si>
  <si>
    <t>CUR. MO. June'11 -6/30/11</t>
  </si>
  <si>
    <t>LAST MO. June'11 -6/30/11</t>
  </si>
  <si>
    <t>CUR. MO. July'11 -6/30/11</t>
  </si>
  <si>
    <t>CNB Business Ladder</t>
  </si>
  <si>
    <t>CASH (includes Business Ladder)</t>
  </si>
  <si>
    <t>FY2011/2012 CASH/INVESTMENT DESIGNATION</t>
  </si>
  <si>
    <t>LAST MO. July'11 -7/30/11</t>
  </si>
  <si>
    <t>CUR. MO. Aug'11 -8/27/11</t>
  </si>
  <si>
    <t>LAST MO. Aug'11 -8/27/11</t>
  </si>
  <si>
    <t>CUR. MO. Sep'11 -9/24/11</t>
  </si>
  <si>
    <t>S/B just  $5,073.04</t>
  </si>
  <si>
    <t>LAST. MO. Sep'11 -9/24/11</t>
  </si>
  <si>
    <t>CUR. MO. Oct'11 -10/29/11</t>
  </si>
  <si>
    <t>LAST. MO. Oct'11 -10/29/11</t>
  </si>
  <si>
    <t>CUR. MO. Nov'11 -11/26/11</t>
  </si>
  <si>
    <t>LAST. MO. Nov'11 -11/26/11</t>
  </si>
  <si>
    <t>CUR. MO. Dec'11 -12/24/11</t>
  </si>
  <si>
    <t>LAST. MO. Dec'11 -12/24/11</t>
  </si>
  <si>
    <t>CUR. MO. Jan'12 -1/28/12</t>
  </si>
  <si>
    <t>LAST. MO. Jan'12 -1/28/12</t>
  </si>
  <si>
    <t>CUR. MO. Feb'12 -2/25/12</t>
  </si>
  <si>
    <t>LAST. MO. Feb'12 -2/25/12</t>
  </si>
  <si>
    <t>CUR. MO. Mar'12 -3/24/12</t>
  </si>
  <si>
    <t>LAST. MO. Mar'12 -3/24/12</t>
  </si>
  <si>
    <t>CUR. MO. Apr'12 -4/26/12</t>
  </si>
  <si>
    <t>LAST. MO. April'12 -4/284/12</t>
  </si>
  <si>
    <t>CUR. MO. May'12 -5/26/12</t>
  </si>
  <si>
    <t>LAST. MO. May'12 -5/26/12</t>
  </si>
  <si>
    <t>CUR. MO. June'12 -6/30/12</t>
  </si>
  <si>
    <t>Exclude Audit Adjustment of 12,500 and 39,266</t>
  </si>
  <si>
    <t>FY2012/2013 CASH/INVESTMENT DESIGNATION</t>
  </si>
  <si>
    <t>LAST. MO. Jun'12 -6/30/12</t>
  </si>
  <si>
    <t>CUR. MO. July'12 -8/4/12</t>
  </si>
  <si>
    <t>LAST. MO. Jul'12 -8/4/12</t>
  </si>
  <si>
    <t>CUR. MO. Augy'12 -9/1/12</t>
  </si>
  <si>
    <t>LAST. MO. Aug'12 -9/1/12</t>
  </si>
  <si>
    <t>CUR. MO. Sep'12 -9/29/12</t>
  </si>
  <si>
    <t>Done</t>
  </si>
  <si>
    <t>LAST. MO. Sep'12 -9/29/12</t>
  </si>
  <si>
    <t>CUR. MO. Oct'12 -11/03/12</t>
  </si>
  <si>
    <t>LAST. MO. Oct'12 -11/3/12</t>
  </si>
  <si>
    <t>CUR. MO. Nov'12 -12/01/12</t>
  </si>
  <si>
    <t>done</t>
  </si>
  <si>
    <t>LAST. MO. Nov'12 -12/1/12</t>
  </si>
  <si>
    <t>CUR. MO. Dec'12 -12/29/12</t>
  </si>
  <si>
    <t>VEBA  -Off-Balance Sheet</t>
  </si>
  <si>
    <t>LAST. MO. Dec'12 -12/29/12</t>
  </si>
  <si>
    <t>CUR. MO. Jan'13 -2/2/13</t>
  </si>
  <si>
    <t>LAST. MO. Jan'13 -2/2/13</t>
  </si>
  <si>
    <t>CUR. MO. Feb'13 -3/2/13</t>
  </si>
  <si>
    <t>Res.Hall Reserves</t>
  </si>
  <si>
    <t>Sick Leave Reserves</t>
  </si>
  <si>
    <t>Accrued Sick Leave Reserves</t>
  </si>
  <si>
    <t>Investments-Offset/Interest Income</t>
  </si>
  <si>
    <t>Investments-Offset/Other Income</t>
  </si>
  <si>
    <t>LAST. MO. Feb'13 -3/2/13</t>
  </si>
  <si>
    <t>CUR. MO. Mar'13 -3/30/13</t>
  </si>
  <si>
    <t>LAST. MO. Mar'13 -3/30/13</t>
  </si>
  <si>
    <t>LAST. MO. Apr'13 -5/04/13</t>
  </si>
  <si>
    <t>CUR. MO. May'13 -6/01/13</t>
  </si>
  <si>
    <t>LAST. MO. May'13 -6/01/13</t>
  </si>
  <si>
    <t>CUR. MO. June'13 -6/30/13</t>
  </si>
  <si>
    <t>FY2013/2014 CASH/INVESTMENT DESIGNATION</t>
  </si>
  <si>
    <t>LAST. MO. June'13 -6/30/13</t>
  </si>
  <si>
    <t>CUR. MO. July'13 -8/02/13</t>
  </si>
  <si>
    <t>Post Audit</t>
  </si>
  <si>
    <t>LAST. MO. July'13 -8/2/13</t>
  </si>
  <si>
    <t>CUR. MO. Aug'13 -8/31/13</t>
  </si>
  <si>
    <t>LAST. MO. Aug'13 -8/31/13</t>
  </si>
  <si>
    <t>CUR. MO. Sep'13 -9/28/13</t>
  </si>
  <si>
    <t>LAST. MO. Sep'13 -9/28/13</t>
  </si>
  <si>
    <t>CUR. MO. Oct'13 -11/02/13</t>
  </si>
  <si>
    <t>LAST. MO. Oct'13 -11/02/13</t>
  </si>
  <si>
    <t>CUR. MO. Nov'13 -11/30/13</t>
  </si>
  <si>
    <t>LAST. MO. Nov'13 -11/30/13</t>
  </si>
  <si>
    <t>CUR. MO. Dec'13 -12/28/13</t>
  </si>
  <si>
    <t>Funded amount</t>
  </si>
  <si>
    <t>LAST. MO. Dec'13 -12/28/13</t>
  </si>
  <si>
    <t>CUR. MO. Jan'14 -2/1/14</t>
  </si>
  <si>
    <t>LAST. MO. Jan'14 -2/01/14</t>
  </si>
  <si>
    <t>LAST. MO. Feb'14 -3/01/14</t>
  </si>
  <si>
    <t>CUR. MO. Mar'14 -3/29/14</t>
  </si>
  <si>
    <t>LAST. MO. Mar'14 -3/29/14</t>
  </si>
  <si>
    <t>CUR. MO. Apr'14 -5/3/14</t>
  </si>
  <si>
    <t>LAST MO. Apr'14 -5/3/14</t>
  </si>
  <si>
    <t>CUR. MO. May'14 -5/31/14</t>
  </si>
  <si>
    <t>LAST MO. May'14 -5/31/14</t>
  </si>
  <si>
    <t>CUR. MO. June'14 -6/30/14</t>
  </si>
  <si>
    <t>FY2014/2015 CASH/INVESTMENT DESIGNATION</t>
  </si>
  <si>
    <t>LAST MO. June'14 -6/30/14</t>
  </si>
  <si>
    <t>CUR. MO. July'14 -7/31/14</t>
  </si>
  <si>
    <t>LAST MO. July'14 -7/31/14</t>
  </si>
  <si>
    <t>CUR. MO. Aug'14 -8/30/14</t>
  </si>
  <si>
    <t>LAST MO. Aug'14 -8/30/14</t>
  </si>
  <si>
    <t>CUR. MO. Sept'14 -9/27/14</t>
  </si>
  <si>
    <t>LAST MO. Sep'14 -9/27/14</t>
  </si>
  <si>
    <t>CUR. MO. Sept'14 -11/01/14</t>
  </si>
  <si>
    <t>LAST MO. Oct'14 -11/01/14</t>
  </si>
  <si>
    <t>CUR. MO. Nov'14 -11/29/14</t>
  </si>
  <si>
    <t>LAST MO. Nov'14 -11/29/14</t>
  </si>
  <si>
    <t>CUR. MO. Dec'14 -12/27/14</t>
  </si>
  <si>
    <t>LAST MO. Dec'14 -12/27/14</t>
  </si>
  <si>
    <t>CUR. MO. Jan'15 -1/31/15</t>
  </si>
  <si>
    <t>LAST MO. Jan'15 -1/31/15</t>
  </si>
  <si>
    <t>CUR. MO. Feb'15 -2/28/15</t>
  </si>
  <si>
    <t>LAST MO. Feb'15 -2/28/15</t>
  </si>
  <si>
    <t>CUR. MO. Mar'15 -3/28/15</t>
  </si>
  <si>
    <t>LAST MO. Mar'15 -3/28/15</t>
  </si>
  <si>
    <t xml:space="preserve">LAST MO.    Apr 2015 </t>
  </si>
  <si>
    <t>CUR. MO. May 2015</t>
  </si>
  <si>
    <t xml:space="preserve">LAST MO.    May 2015 </t>
  </si>
  <si>
    <t>CUR. MO.  June 2015</t>
  </si>
  <si>
    <t>FY2015/2016 CASH/INVESTMENT DESIGNATION</t>
  </si>
  <si>
    <t xml:space="preserve">LAST MO.    June 2015 </t>
  </si>
  <si>
    <t>CUR. MO.    July 2015</t>
  </si>
  <si>
    <t xml:space="preserve">LAST MO.    July 2015 </t>
  </si>
  <si>
    <t>CUR. MO.    Aug 2015</t>
  </si>
  <si>
    <t xml:space="preserve">LAST MO.    Aug 2015 </t>
  </si>
  <si>
    <t>CUR. MO.    Sep 2015</t>
  </si>
  <si>
    <t xml:space="preserve">LAST MO.    Sep 2015 </t>
  </si>
  <si>
    <t xml:space="preserve">LAST MO.       Oct 2015  </t>
  </si>
  <si>
    <t>CUR. MO.      Nov 2015</t>
  </si>
  <si>
    <t xml:space="preserve">LAST MO.       Nov 2015  </t>
  </si>
  <si>
    <t>CUR. MO.      Dec 2015</t>
  </si>
  <si>
    <t xml:space="preserve">LAST MO.       Dec 2015  </t>
  </si>
  <si>
    <t>CUR. MO.      JAN 2016</t>
  </si>
  <si>
    <t xml:space="preserve">LAST MO.       JAN 2016  </t>
  </si>
  <si>
    <t>CUR. MO.      FEB 2016</t>
  </si>
  <si>
    <t xml:space="preserve">LAST MO.       FEB 2016 </t>
  </si>
  <si>
    <t>CUR. MO.      MAR 2016</t>
  </si>
  <si>
    <t xml:space="preserve">LAST MO.       MAR 2016 </t>
  </si>
  <si>
    <t>CUR. MO.      APR 2016</t>
  </si>
  <si>
    <t xml:space="preserve">LAST MO.       APR 2016 </t>
  </si>
  <si>
    <t>CUR. MO.      MAY 2016</t>
  </si>
  <si>
    <t xml:space="preserve">LAST MO.       MAY 2016 </t>
  </si>
  <si>
    <t>CUR. MO.      JUNE 2016</t>
  </si>
  <si>
    <t>FY2016/2017 CASH/INVESTMENT DESIGNATION</t>
  </si>
  <si>
    <t xml:space="preserve">LAST MO.       JUNE 2016 </t>
  </si>
  <si>
    <t>CUR. MO.      JULY 2016</t>
  </si>
  <si>
    <t>LAST. MO.      JULY 2016</t>
  </si>
  <si>
    <t>CUR. MO.      AUG 2016</t>
  </si>
  <si>
    <t>LAST. MO.      AUG 2016</t>
  </si>
  <si>
    <t>CUR. MO.      SEPT 2016</t>
  </si>
  <si>
    <t>LAST. MO.      SEPT 2016</t>
  </si>
  <si>
    <t>CUR. MO.      OCT 2016</t>
  </si>
  <si>
    <t>LAST. MO.      OCT 2016</t>
  </si>
  <si>
    <t>CUR. MO.      NOV 2016</t>
  </si>
  <si>
    <t>LAST. MO.      NOV 2016</t>
  </si>
  <si>
    <t>CUR. MO.      DEC 2016</t>
  </si>
  <si>
    <t>LAST. MO.      Dec 2016</t>
  </si>
  <si>
    <t>CUR. MO.      Jan 2017</t>
  </si>
  <si>
    <t>891332\</t>
  </si>
  <si>
    <t>LAST. MO.      JAN 2017</t>
  </si>
  <si>
    <t>CUR. MO.     FEB 2017</t>
  </si>
  <si>
    <t>LAST. MO.      FEB 2017</t>
  </si>
  <si>
    <t>CUR. MO.     MAR 2017</t>
  </si>
  <si>
    <t>LAST. MO.      MAR 2017</t>
  </si>
  <si>
    <t>LAST. MO.      APR 2017</t>
  </si>
  <si>
    <t>CUR. MO.     MAY 2017</t>
  </si>
  <si>
    <t>6/30/2017 Pre-Audit</t>
  </si>
  <si>
    <t>LAST. MO.      MAY 2017</t>
  </si>
  <si>
    <t>CUR. MO.     JUNE 2017</t>
  </si>
  <si>
    <t>6/30/2017 Post-Audit</t>
  </si>
  <si>
    <t>Adjusting Entry</t>
  </si>
  <si>
    <t>100-1109/100-9007</t>
  </si>
  <si>
    <t>Investments-Offset/Fees</t>
  </si>
  <si>
    <t>Other</t>
  </si>
  <si>
    <t>F/A Gain</t>
  </si>
  <si>
    <t>9003-100</t>
  </si>
  <si>
    <t>9004-100</t>
  </si>
  <si>
    <t>9005-100</t>
  </si>
  <si>
    <t>9002-100</t>
  </si>
  <si>
    <t>9001-100</t>
  </si>
  <si>
    <t>9006-100</t>
  </si>
  <si>
    <t>FMV</t>
  </si>
  <si>
    <t>Interest Income</t>
  </si>
  <si>
    <t>FY2017/2018 CASH/INVESTMENT DESIGNATION</t>
  </si>
  <si>
    <t>LAST. MO.      JUNE 2017</t>
  </si>
  <si>
    <t>CUR. MO.     JULY 2017</t>
  </si>
  <si>
    <t>11xx</t>
  </si>
  <si>
    <t>1110-000/ 100-9001</t>
  </si>
  <si>
    <t>1123-00 / old 100-3540</t>
  </si>
  <si>
    <t>1122-000/  100-3520</t>
  </si>
  <si>
    <t>1121-000/  100-3510</t>
  </si>
  <si>
    <t>1124-000/  100-3545</t>
  </si>
  <si>
    <r>
      <t xml:space="preserve">1112-000/ </t>
    </r>
    <r>
      <rPr>
        <sz val="9"/>
        <color rgb="FF0070C0"/>
        <rFont val="Geneva"/>
      </rPr>
      <t>9004/9006</t>
    </r>
  </si>
  <si>
    <r>
      <t xml:space="preserve">1108-000 / </t>
    </r>
    <r>
      <rPr>
        <sz val="9"/>
        <color rgb="FF0070C0"/>
        <rFont val="Geneva"/>
      </rPr>
      <t>9004/9006</t>
    </r>
  </si>
  <si>
    <t>1118-000  /100-9006</t>
  </si>
  <si>
    <t>Allowance for Fair Market Value</t>
  </si>
  <si>
    <t xml:space="preserve">         /9007-100 Fees</t>
  </si>
  <si>
    <t>1109-000  /</t>
  </si>
  <si>
    <t>9002-100 N/A</t>
  </si>
  <si>
    <t>9003-100 Other</t>
  </si>
  <si>
    <t>9005-100 F/A</t>
  </si>
  <si>
    <t>LAST. MO.      JULY 2017</t>
  </si>
  <si>
    <t>CUR. MO.     AUG 2017</t>
  </si>
  <si>
    <t>LAST. MO.      Aug 2017</t>
  </si>
  <si>
    <t>CUR. MO.     Sept 2017</t>
  </si>
  <si>
    <t>LAST. MO.      SEPT 2017</t>
  </si>
  <si>
    <t>CUR. MO.     OCT 2017</t>
  </si>
  <si>
    <t>LAST. MO.      OCT 2017</t>
  </si>
  <si>
    <t>CUR. MO.     NOV 2017</t>
  </si>
  <si>
    <t>LAST. MO.      NOV 2017</t>
  </si>
  <si>
    <t>LAST. MO.      DEC 2017</t>
  </si>
  <si>
    <t>CUR. MO.     JAN 2018</t>
  </si>
  <si>
    <t>LAST. MO.      JAN 2018</t>
  </si>
  <si>
    <t>CUR. MO.     FEB 2018</t>
  </si>
  <si>
    <t>LAST. MO.      FEB 2018</t>
  </si>
  <si>
    <t>CUR. MO.     MAR 2018</t>
  </si>
  <si>
    <t>LAST. MO.      MAR 2018</t>
  </si>
  <si>
    <t>CUR. MO.     APR 2018</t>
  </si>
  <si>
    <t>LAST. MO.      APR 2018</t>
  </si>
  <si>
    <t>CUR. MO.     MAY 2018</t>
  </si>
  <si>
    <t>LAST. MO.      MAY 2018</t>
  </si>
  <si>
    <t>CUR. MO.     JUNE 2018</t>
  </si>
  <si>
    <t>9006-100 FMV</t>
  </si>
  <si>
    <t>P&amp;L Total</t>
  </si>
  <si>
    <t>9001-100 Int Ops</t>
  </si>
  <si>
    <t>9004-100 Other Interest</t>
  </si>
  <si>
    <t>9005-100 Gain on Sale</t>
  </si>
  <si>
    <t>9007-100 Fees</t>
  </si>
  <si>
    <t>FY2018/2019 CASH/INVESTMENT DESIGNATION</t>
  </si>
  <si>
    <t>LAST. MO.      JUN  2018</t>
  </si>
  <si>
    <t>CUR. MO.     JULY  2018</t>
  </si>
  <si>
    <t>P&amp;L</t>
  </si>
  <si>
    <t>LAST. MO.      JULY  2018</t>
  </si>
  <si>
    <t>CUR. MO.     AUG  2018</t>
  </si>
  <si>
    <t>LAST. MO.      Aug  2018</t>
  </si>
  <si>
    <t>CUR. MO.     SEP  2018</t>
  </si>
  <si>
    <t>LAST. MO.      Sep  2018</t>
  </si>
  <si>
    <t>CUR. MO.     Oct  2018</t>
  </si>
  <si>
    <t>LAST. MO.      Oct  2018</t>
  </si>
  <si>
    <t>CUR. MO.     Nov  2018</t>
  </si>
  <si>
    <t>LAST. MO.      Nov  2018</t>
  </si>
  <si>
    <t>CUR. MO.     Dec  2018</t>
  </si>
  <si>
    <t>LAST. MO.      Dec  2018</t>
  </si>
  <si>
    <t>CUR. MO.     Jan  2019</t>
  </si>
  <si>
    <t>LAST. MO.      Jan  2019</t>
  </si>
  <si>
    <t>CUR. MO.     Feb  2019</t>
  </si>
  <si>
    <t>LAST. MO.      Feb  2019</t>
  </si>
  <si>
    <t>CUR. MO.     Mar  2019</t>
  </si>
  <si>
    <t>LAST. MO.      Mar  2019</t>
  </si>
  <si>
    <t>CUR. MO.     Apr  2019</t>
  </si>
  <si>
    <t>LAST. MO.      Apr  2019</t>
  </si>
  <si>
    <t>CUR. MO.     May  2019</t>
  </si>
  <si>
    <t>LAST. MO.      May  2019</t>
  </si>
  <si>
    <t>CUR. MO.     June  2019</t>
  </si>
  <si>
    <t>CASH - WORKING CAPITAL</t>
  </si>
  <si>
    <t>Beach Investment Group WELLS FARGO</t>
  </si>
  <si>
    <t>INTEREST INVESTED-BROKERS A/C")</t>
  </si>
  <si>
    <t>SICK LEAVE RESERVES")</t>
  </si>
  <si>
    <t>ALLOWANCE FOR FMV OF INVESTMEN")</t>
  </si>
  <si>
    <t>1125</t>
  </si>
  <si>
    <t>BEACH CLUB DEPOSITS")</t>
  </si>
  <si>
    <t>PERS UNFUNDED LIABILITY")</t>
  </si>
  <si>
    <t>SRB FUNDING- OUTPOST")</t>
  </si>
  <si>
    <t>VEBA/POST RETIREMENT MEDICAL")</t>
  </si>
  <si>
    <t>UDP REPAIR/REPLACEMENT")</t>
  </si>
  <si>
    <t>*Funds Designated by BODl</t>
  </si>
  <si>
    <t>**Residual holdings beyond Cash/Designation</t>
  </si>
  <si>
    <t>CUR. MO.     July  2019</t>
  </si>
  <si>
    <t>Investment Brokers</t>
  </si>
  <si>
    <t xml:space="preserve">                                                                                                                                      </t>
  </si>
  <si>
    <t>FY2019/2020 CASH/INVESTMENT DESIGNATION</t>
  </si>
  <si>
    <t>CUR. MO.     Aug  2019</t>
  </si>
  <si>
    <t>LAST. MO.       June 2019</t>
  </si>
  <si>
    <t>LAST. MO.      July  2019</t>
  </si>
  <si>
    <t>LAST. MO.      Aug  2019</t>
  </si>
  <si>
    <t>CUR. MO.     Sept  2019</t>
  </si>
  <si>
    <t>LAST. MO.       Sept  2019</t>
  </si>
  <si>
    <t>CUR. MO.   Oct  2019</t>
  </si>
  <si>
    <t>LAST. MO.       Oct  2019</t>
  </si>
  <si>
    <t>CUR. MO.  Nov 2019</t>
  </si>
  <si>
    <t>LAST. MO.       Nov 2019</t>
  </si>
  <si>
    <t>CUR. MO.  Dec 2019</t>
  </si>
  <si>
    <t>1118-000 / 100-9006</t>
  </si>
  <si>
    <t>1110-000/ 9001-100</t>
  </si>
  <si>
    <t>**Residual holdings beyond Cash / Designation</t>
  </si>
  <si>
    <t xml:space="preserve">         / 9007-100 Fees</t>
  </si>
  <si>
    <r>
      <t xml:space="preserve">1112-000 / </t>
    </r>
    <r>
      <rPr>
        <i/>
        <sz val="9"/>
        <color rgb="FF0070C0"/>
        <rFont val="Calibri"/>
        <family val="2"/>
        <scheme val="minor"/>
      </rPr>
      <t>9004/9006</t>
    </r>
  </si>
  <si>
    <r>
      <t xml:space="preserve">1108-000 / </t>
    </r>
    <r>
      <rPr>
        <i/>
        <sz val="9"/>
        <color rgb="FF0070C0"/>
        <rFont val="Calibri"/>
        <family val="2"/>
        <scheme val="minor"/>
      </rPr>
      <t>9004/9006</t>
    </r>
  </si>
  <si>
    <t xml:space="preserve">  SUB-TOTAL CASH</t>
  </si>
  <si>
    <t xml:space="preserve">  SUB-TOTAL AUXILIARY FUNDS</t>
  </si>
  <si>
    <t xml:space="preserve">     TOTAL CASH/INVESTMENTS</t>
  </si>
  <si>
    <t>*Funds Designated by BoD</t>
  </si>
  <si>
    <t>Beach Investments Group - Wells Fargo</t>
  </si>
  <si>
    <t>Interest Invested - Brokers</t>
  </si>
  <si>
    <t>Allowance for FMV of Investments</t>
  </si>
  <si>
    <t>Beach Club Deposits</t>
  </si>
  <si>
    <t>PERS Unfunded Liability</t>
  </si>
  <si>
    <t>SRB Funding - Outpost</t>
  </si>
  <si>
    <t>VEBA / Post Retirement Medical</t>
  </si>
  <si>
    <t>UDP Repair / Replacement</t>
  </si>
  <si>
    <t>Investments - Offset / Fees</t>
  </si>
  <si>
    <t>Investments - Offset / Other Income</t>
  </si>
  <si>
    <t>VEBA (Off-Balance Sheet)</t>
  </si>
  <si>
    <t>Funded Amount</t>
  </si>
  <si>
    <t>Note: Brokerage accounts balances reflect monthly fair market value adjustments</t>
  </si>
  <si>
    <t>CURR. MO.  JAN 2020</t>
  </si>
  <si>
    <t>LAST. MO.       DEC 2019</t>
  </si>
  <si>
    <t>**BALANCE**</t>
  </si>
  <si>
    <t>FY19/20 CASH &amp; INVESTMENT DESIGNATION</t>
  </si>
  <si>
    <t>LAST. MO.       JAN 2020</t>
  </si>
  <si>
    <t>CURR. MO.  FEB 2020</t>
  </si>
  <si>
    <t>LAST. MO.       FEB 2020</t>
  </si>
  <si>
    <t>CURR. MO.  MAR 2020</t>
  </si>
  <si>
    <t>LAST. MO.       MAR 2020</t>
  </si>
  <si>
    <t>CURR. MO.  APR 2020</t>
  </si>
  <si>
    <t>LAST. MO.       APR 2020</t>
  </si>
  <si>
    <t>CURR. MO.  MAY 2020</t>
  </si>
  <si>
    <t>LAST. MO.       MAY 2020</t>
  </si>
  <si>
    <t>CURR. MO.  JUNE 2020</t>
  </si>
  <si>
    <t>1131</t>
  </si>
  <si>
    <t>SBA Loan</t>
  </si>
  <si>
    <t>FY20/21 CASH &amp; INVESTMENT DESIGNATION</t>
  </si>
  <si>
    <t>LAST. MO.       JUN 2020</t>
  </si>
  <si>
    <t>CURR. MO.  JUL 2020</t>
  </si>
  <si>
    <t>CURR. MO.  AUG 2020</t>
  </si>
  <si>
    <t>LAST MO.       JUL 2020</t>
  </si>
  <si>
    <t>LAST MO.       AUG 2020</t>
  </si>
  <si>
    <t>CURR. MO.  SEP 2020</t>
  </si>
  <si>
    <t>LAST MO.       SEP 2020</t>
  </si>
  <si>
    <t>CURR. MO.  OCT 2020</t>
  </si>
  <si>
    <t>LAST MO.       OCT 2020</t>
  </si>
  <si>
    <t>CURR. MO.  NOV 2020</t>
  </si>
  <si>
    <t>CURR. MO.  DEC 2020</t>
  </si>
  <si>
    <t>LAST MO.       NOV 2020</t>
  </si>
  <si>
    <t>LAST MO.       DEC 2020</t>
  </si>
  <si>
    <t>CURR. MO.  JAN 2021</t>
  </si>
  <si>
    <t>LAST MO.       JAN 2021</t>
  </si>
  <si>
    <t>CURR. MO.  FEB 2021</t>
  </si>
  <si>
    <t>CURR. MO.  MAR 2021</t>
  </si>
  <si>
    <t>LAST MO.       FEB 2021</t>
  </si>
  <si>
    <t>LAST MO.       MAR 2021</t>
  </si>
  <si>
    <t>CURR. MO.  APR 2021</t>
  </si>
  <si>
    <t>CURR. MO.  MAY 2021</t>
  </si>
  <si>
    <t>LAST MO.       APR 2021</t>
  </si>
  <si>
    <t>BIG (SMIF) - Well Fargo</t>
  </si>
  <si>
    <t>LAST MO.       MAY 2021</t>
  </si>
  <si>
    <t>CURR. MO.  JUNE 2021</t>
  </si>
  <si>
    <t>Unemployment Insurance</t>
  </si>
  <si>
    <t>LAST MO.       JUNE 2021</t>
  </si>
  <si>
    <t>CURR. MO.  JULY 2021</t>
  </si>
  <si>
    <t>LAST MO.       JULY 2021</t>
  </si>
  <si>
    <t>CURR. MO.  AUGUST 2021</t>
  </si>
  <si>
    <t>LAST MO.       AUG 2021</t>
  </si>
  <si>
    <t>CURR. MO.  SEP 2021</t>
  </si>
  <si>
    <t>FY21/22 CASH &amp; INVESTMENT DESIGNATION</t>
  </si>
  <si>
    <t>LAST MO.       SEP 2021</t>
  </si>
  <si>
    <t>CURR. MO.  OCT 2021</t>
  </si>
  <si>
    <t>LAST MO.       OCT 2021</t>
  </si>
  <si>
    <t>CURR. MO.  NOV 2021</t>
  </si>
  <si>
    <t>CURR. MO.  DEC 2021</t>
  </si>
  <si>
    <t>LAST MO.       NOV 2021</t>
  </si>
  <si>
    <t>CURR. MO.  JAN  2022</t>
  </si>
  <si>
    <t>LAST MO.       DEC 2021</t>
  </si>
  <si>
    <t>LAST MO.       JAN 2022</t>
  </si>
  <si>
    <t>CURR. MO.  FEB  2022</t>
  </si>
  <si>
    <t>LAST MO.       FEB 2022</t>
  </si>
  <si>
    <t>CURR. MO.  MAR 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</si>
</sst>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"/>
    <numFmt numFmtId="165" formatCode="0.000"/>
    <numFmt numFmtId="166" formatCode="_(* #,##0_);_(* \(#,##0\);_(* &quot;-&quot;??_);_(@_)"/>
    <numFmt numFmtId="167" formatCode="#,###,##0;\(#,###,##0\)"/>
    <numFmt numFmtId="168" formatCode="0.0%"/>
    <numFmt numFmtId="169" formatCode="[$-409]mmmm\-yy;@"/>
    <numFmt numFmtId="170" formatCode="#,##0.0"/>
    <numFmt numFmtId="171" formatCode="0_);\(0\)"/>
    <numFmt numFmtId="172" formatCode="_(&quot;$&quot;* #,##0.0_);_(&quot;$&quot;* \(#,##0.0\);_(&quot;$&quot;* &quot;-&quot;??_);_(@_)"/>
    <numFmt numFmtId="173" formatCode="_(&quot;$&quot;* #,##0_);_(&quot;$&quot;* \(#,##0\);_(&quot;$&quot;* &quot;-&quot;??_);_(@_)"/>
    <numFmt numFmtId="174" formatCode="&quot;$&quot;#,###,##0;\(&quot;$&quot;#,###,##0\)"/>
    <numFmt numFmtId="175" formatCode="[$-409]mmmm\,\ yyyy;@"/>
  </numFmts>
  <fonts count="44">
    <font>
      <sz val="9"/>
      <name val="Genev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Geneva"/>
      <family val="2"/>
    </font>
    <font>
      <sz val="9"/>
      <name val="Genev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Geneva"/>
    </font>
    <font>
      <u/>
      <sz val="9"/>
      <name val="Geneva"/>
    </font>
    <font>
      <sz val="9"/>
      <color rgb="FF0070C0"/>
      <name val="Geneva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9"/>
      <name val="Geneva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i/>
      <u/>
      <sz val="9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3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4" fillId="0" borderId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9" fontId="4" fillId="0" borderId="0" applyFont="0" applyFill="0" applyBorder="0" applyAlignment="0" applyProtection="0"/>
    <xf numFmtId="0" fontId="21" fillId="0" borderId="0" applyNumberFormat="0" applyBorder="0" applyAlignment="0"/>
    <xf numFmtId="0" fontId="26" fillId="0" borderId="0" applyNumberFormat="0" applyBorder="0" applyAlignment="0"/>
    <xf numFmtId="0" fontId="22" fillId="0" borderId="0" applyNumberFormat="0" applyBorder="0" applyAlignment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442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14" fontId="4" fillId="0" borderId="0" xfId="0" applyNumberFormat="1" applyFont="1" applyBorder="1"/>
    <xf numFmtId="14" fontId="3" fillId="0" borderId="0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center"/>
    </xf>
    <xf numFmtId="0" fontId="4" fillId="0" borderId="0" xfId="0" applyFont="1"/>
    <xf numFmtId="0" fontId="4" fillId="0" borderId="0" xfId="0" applyFont="1" applyBorder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165" fontId="4" fillId="0" borderId="0" xfId="0" applyNumberFormat="1" applyFont="1"/>
    <xf numFmtId="3" fontId="4" fillId="0" borderId="0" xfId="0" applyNumberFormat="1" applyFont="1"/>
    <xf numFmtId="3" fontId="4" fillId="0" borderId="0" xfId="0" applyNumberFormat="1" applyFont="1" applyBorder="1"/>
    <xf numFmtId="164" fontId="4" fillId="0" borderId="0" xfId="0" applyNumberFormat="1" applyFont="1"/>
    <xf numFmtId="3" fontId="4" fillId="0" borderId="10" xfId="0" applyNumberFormat="1" applyFont="1" applyBorder="1"/>
    <xf numFmtId="3" fontId="4" fillId="0" borderId="11" xfId="0" applyNumberFormat="1" applyFont="1" applyBorder="1"/>
    <xf numFmtId="2" fontId="4" fillId="0" borderId="0" xfId="0" applyNumberFormat="1" applyFont="1"/>
    <xf numFmtId="14" fontId="4" fillId="0" borderId="0" xfId="0" applyNumberFormat="1" applyFont="1" applyAlignment="1">
      <alignment horizontal="center"/>
    </xf>
    <xf numFmtId="0" fontId="4" fillId="0" borderId="0" xfId="0" applyNumberFormat="1" applyFont="1"/>
    <xf numFmtId="166" fontId="4" fillId="0" borderId="0" xfId="28" applyNumberFormat="1" applyFont="1"/>
    <xf numFmtId="14" fontId="0" fillId="0" borderId="0" xfId="0" applyNumberFormat="1"/>
    <xf numFmtId="0" fontId="4" fillId="0" borderId="0" xfId="39"/>
    <xf numFmtId="0" fontId="4" fillId="0" borderId="0" xfId="39" applyFont="1"/>
    <xf numFmtId="0" fontId="4" fillId="0" borderId="0" xfId="39" applyFont="1" applyBorder="1"/>
    <xf numFmtId="0" fontId="4" fillId="0" borderId="0" xfId="39" applyFont="1" applyAlignment="1">
      <alignment horizontal="center"/>
    </xf>
    <xf numFmtId="0" fontId="4" fillId="0" borderId="0" xfId="39" applyFont="1" applyBorder="1" applyAlignment="1">
      <alignment horizontal="center"/>
    </xf>
    <xf numFmtId="0" fontId="4" fillId="0" borderId="0" xfId="39" applyFont="1" applyAlignment="1">
      <alignment wrapText="1"/>
    </xf>
    <xf numFmtId="0" fontId="3" fillId="0" borderId="0" xfId="39" applyFont="1"/>
    <xf numFmtId="0" fontId="4" fillId="0" borderId="0" xfId="39" applyFont="1" applyFill="1"/>
    <xf numFmtId="2" fontId="4" fillId="0" borderId="0" xfId="39" applyNumberFormat="1" applyFont="1"/>
    <xf numFmtId="165" fontId="4" fillId="0" borderId="0" xfId="39" applyNumberFormat="1" applyFont="1"/>
    <xf numFmtId="3" fontId="4" fillId="0" borderId="0" xfId="39" applyNumberFormat="1" applyFont="1" applyBorder="1"/>
    <xf numFmtId="3" fontId="4" fillId="0" borderId="0" xfId="39" applyNumberFormat="1" applyFont="1"/>
    <xf numFmtId="3" fontId="4" fillId="0" borderId="10" xfId="39" applyNumberFormat="1" applyFont="1" applyBorder="1"/>
    <xf numFmtId="0" fontId="3" fillId="0" borderId="0" xfId="39" applyFont="1" applyAlignment="1">
      <alignment horizontal="left"/>
    </xf>
    <xf numFmtId="3" fontId="4" fillId="0" borderId="11" xfId="39" applyNumberFormat="1" applyFont="1" applyBorder="1"/>
    <xf numFmtId="3" fontId="4" fillId="0" borderId="0" xfId="39" applyNumberFormat="1" applyFont="1" applyFill="1"/>
    <xf numFmtId="166" fontId="4" fillId="0" borderId="0" xfId="28" applyNumberFormat="1" applyFont="1" applyFill="1"/>
    <xf numFmtId="43" fontId="4" fillId="0" borderId="0" xfId="28" applyFont="1"/>
    <xf numFmtId="3" fontId="4" fillId="0" borderId="0" xfId="39" applyNumberFormat="1" applyFont="1" applyFill="1" applyBorder="1"/>
    <xf numFmtId="3" fontId="4" fillId="0" borderId="10" xfId="39" applyNumberFormat="1" applyFont="1" applyFill="1" applyBorder="1"/>
    <xf numFmtId="0" fontId="4" fillId="0" borderId="0" xfId="39" applyFont="1" applyFill="1" applyAlignment="1">
      <alignment horizontal="center"/>
    </xf>
    <xf numFmtId="0" fontId="4" fillId="0" borderId="0" xfId="39" applyFill="1"/>
    <xf numFmtId="3" fontId="4" fillId="0" borderId="11" xfId="39" applyNumberFormat="1" applyFont="1" applyFill="1" applyBorder="1"/>
    <xf numFmtId="37" fontId="4" fillId="0" borderId="0" xfId="39" applyNumberFormat="1" applyFont="1" applyFill="1"/>
    <xf numFmtId="37" fontId="4" fillId="0" borderId="11" xfId="39" applyNumberFormat="1" applyFont="1" applyBorder="1"/>
    <xf numFmtId="171" fontId="4" fillId="0" borderId="0" xfId="39" applyNumberFormat="1" applyFont="1"/>
    <xf numFmtId="171" fontId="4" fillId="0" borderId="10" xfId="39" applyNumberFormat="1" applyFont="1" applyBorder="1"/>
    <xf numFmtId="171" fontId="4" fillId="0" borderId="11" xfId="39" applyNumberFormat="1" applyFont="1" applyBorder="1"/>
    <xf numFmtId="43" fontId="4" fillId="24" borderId="0" xfId="28" applyFont="1" applyFill="1"/>
    <xf numFmtId="170" fontId="4" fillId="0" borderId="0" xfId="39" applyNumberFormat="1" applyFill="1"/>
    <xf numFmtId="43" fontId="4" fillId="0" borderId="0" xfId="28" applyFont="1" applyFill="1"/>
    <xf numFmtId="0" fontId="4" fillId="25" borderId="0" xfId="39" applyFill="1"/>
    <xf numFmtId="0" fontId="4" fillId="0" borderId="0" xfId="39" applyFont="1" applyAlignment="1"/>
    <xf numFmtId="171" fontId="4" fillId="0" borderId="0" xfId="39" applyNumberFormat="1" applyFont="1" applyFill="1"/>
    <xf numFmtId="166" fontId="4" fillId="0" borderId="10" xfId="28" applyNumberFormat="1" applyFont="1" applyFill="1" applyBorder="1"/>
    <xf numFmtId="166" fontId="4" fillId="0" borderId="11" xfId="28" applyNumberFormat="1" applyFont="1" applyFill="1" applyBorder="1"/>
    <xf numFmtId="170" fontId="4" fillId="0" borderId="0" xfId="39" applyNumberFormat="1" applyFont="1"/>
    <xf numFmtId="0" fontId="4" fillId="0" borderId="10" xfId="39" applyBorder="1"/>
    <xf numFmtId="3" fontId="4" fillId="0" borderId="0" xfId="39" applyNumberFormat="1"/>
    <xf numFmtId="166" fontId="4" fillId="0" borderId="0" xfId="28" applyNumberFormat="1"/>
    <xf numFmtId="0" fontId="4" fillId="26" borderId="0" xfId="39" applyFont="1" applyFill="1"/>
    <xf numFmtId="0" fontId="4" fillId="26" borderId="0" xfId="39" applyFont="1" applyFill="1" applyBorder="1"/>
    <xf numFmtId="0" fontId="4" fillId="26" borderId="0" xfId="39" applyFill="1"/>
    <xf numFmtId="166" fontId="4" fillId="0" borderId="0" xfId="28" applyNumberFormat="1" applyFont="1" applyBorder="1"/>
    <xf numFmtId="0" fontId="3" fillId="0" borderId="0" xfId="39" applyFont="1" applyFill="1" applyAlignment="1">
      <alignment horizontal="center" wrapText="1"/>
    </xf>
    <xf numFmtId="0" fontId="3" fillId="0" borderId="0" xfId="39" applyFont="1" applyFill="1" applyAlignment="1">
      <alignment horizontal="left"/>
    </xf>
    <xf numFmtId="166" fontId="4" fillId="0" borderId="12" xfId="39" applyNumberFormat="1" applyFont="1" applyFill="1" applyBorder="1"/>
    <xf numFmtId="0" fontId="4" fillId="0" borderId="10" xfId="39" applyFont="1" applyFill="1" applyBorder="1" applyAlignment="1">
      <alignment horizontal="center" wrapText="1"/>
    </xf>
    <xf numFmtId="0" fontId="4" fillId="0" borderId="10" xfId="39" applyFont="1" applyBorder="1" applyAlignment="1">
      <alignment horizontal="center" wrapText="1"/>
    </xf>
    <xf numFmtId="0" fontId="4" fillId="0" borderId="13" xfId="39" applyFont="1" applyBorder="1" applyAlignment="1">
      <alignment horizontal="center"/>
    </xf>
    <xf numFmtId="0" fontId="4" fillId="0" borderId="10" xfId="39" applyFont="1" applyFill="1" applyBorder="1" applyAlignment="1">
      <alignment horizontal="center"/>
    </xf>
    <xf numFmtId="171" fontId="4" fillId="0" borderId="13" xfId="39" applyNumberFormat="1" applyFont="1" applyBorder="1" applyAlignment="1">
      <alignment horizontal="center"/>
    </xf>
    <xf numFmtId="166" fontId="4" fillId="0" borderId="0" xfId="39" applyNumberFormat="1" applyFont="1"/>
    <xf numFmtId="37" fontId="4" fillId="0" borderId="0" xfId="39" applyNumberFormat="1" applyFont="1"/>
    <xf numFmtId="0" fontId="0" fillId="0" borderId="0" xfId="39" applyFont="1" applyFill="1"/>
    <xf numFmtId="0" fontId="4" fillId="0" borderId="13" xfId="39" applyFont="1" applyFill="1" applyBorder="1" applyAlignment="1">
      <alignment horizontal="center"/>
    </xf>
    <xf numFmtId="171" fontId="4" fillId="0" borderId="13" xfId="39" applyNumberFormat="1" applyFont="1" applyFill="1" applyBorder="1" applyAlignment="1">
      <alignment horizontal="center"/>
    </xf>
    <xf numFmtId="0" fontId="0" fillId="0" borderId="10" xfId="39" applyFont="1" applyBorder="1" applyAlignment="1">
      <alignment horizontal="center" wrapText="1"/>
    </xf>
    <xf numFmtId="0" fontId="0" fillId="0" borderId="10" xfId="39" applyFont="1" applyFill="1" applyBorder="1" applyAlignment="1">
      <alignment horizontal="center" wrapText="1"/>
    </xf>
    <xf numFmtId="2" fontId="4" fillId="27" borderId="0" xfId="39" applyNumberFormat="1" applyFont="1" applyFill="1"/>
    <xf numFmtId="3" fontId="4" fillId="0" borderId="0" xfId="39" applyNumberFormat="1" applyFill="1"/>
    <xf numFmtId="0" fontId="4" fillId="0" borderId="0" xfId="39" applyFont="1" applyFill="1" applyBorder="1" applyAlignment="1">
      <alignment horizontal="center" wrapText="1"/>
    </xf>
    <xf numFmtId="0" fontId="4" fillId="0" borderId="0" xfId="39" applyFont="1" applyBorder="1" applyAlignment="1">
      <alignment horizontal="center" wrapText="1"/>
    </xf>
    <xf numFmtId="0" fontId="4" fillId="0" borderId="0" xfId="39" applyFont="1" applyFill="1" applyBorder="1" applyAlignment="1">
      <alignment horizontal="center"/>
    </xf>
    <xf numFmtId="171" fontId="4" fillId="0" borderId="0" xfId="39" applyNumberFormat="1" applyFont="1" applyFill="1" applyBorder="1" applyAlignment="1">
      <alignment horizontal="center"/>
    </xf>
    <xf numFmtId="173" fontId="4" fillId="0" borderId="0" xfId="29" applyNumberFormat="1" applyFont="1" applyFill="1" applyBorder="1" applyAlignment="1">
      <alignment horizontal="center" wrapText="1"/>
    </xf>
    <xf numFmtId="3" fontId="4" fillId="0" borderId="14" xfId="39" applyNumberFormat="1" applyFont="1" applyFill="1" applyBorder="1"/>
    <xf numFmtId="3" fontId="4" fillId="0" borderId="14" xfId="39" applyNumberFormat="1" applyFont="1" applyBorder="1"/>
    <xf numFmtId="166" fontId="4" fillId="0" borderId="14" xfId="28" applyNumberFormat="1" applyFont="1" applyFill="1" applyBorder="1"/>
    <xf numFmtId="37" fontId="4" fillId="0" borderId="14" xfId="39" applyNumberFormat="1" applyFont="1" applyBorder="1"/>
    <xf numFmtId="0" fontId="4" fillId="0" borderId="0" xfId="39" applyFont="1" applyFill="1" applyBorder="1"/>
    <xf numFmtId="166" fontId="4" fillId="0" borderId="0" xfId="28" applyNumberFormat="1" applyFont="1" applyFill="1" applyBorder="1"/>
    <xf numFmtId="166" fontId="4" fillId="0" borderId="15" xfId="39" applyNumberFormat="1" applyFont="1" applyFill="1" applyBorder="1"/>
    <xf numFmtId="166" fontId="4" fillId="0" borderId="0" xfId="28" applyNumberFormat="1" applyFont="1" applyBorder="1" applyAlignment="1">
      <alignment horizontal="right" wrapText="1"/>
    </xf>
    <xf numFmtId="4" fontId="4" fillId="0" borderId="0" xfId="39" applyNumberFormat="1" applyFont="1"/>
    <xf numFmtId="2" fontId="4" fillId="0" borderId="0" xfId="39" applyNumberFormat="1" applyFont="1" applyFill="1"/>
    <xf numFmtId="166" fontId="4" fillId="0" borderId="0" xfId="28" applyNumberFormat="1" applyFont="1" applyFill="1" applyBorder="1" applyAlignment="1">
      <alignment horizontal="center"/>
    </xf>
    <xf numFmtId="174" fontId="21" fillId="0" borderId="0" xfId="43" applyNumberFormat="1"/>
    <xf numFmtId="167" fontId="21" fillId="0" borderId="0" xfId="43" applyNumberFormat="1"/>
    <xf numFmtId="167" fontId="21" fillId="0" borderId="0" xfId="43" quotePrefix="1" applyNumberFormat="1" applyAlignment="1">
      <alignment horizontal="fill"/>
    </xf>
    <xf numFmtId="0" fontId="4" fillId="0" borderId="0" xfId="39" applyFont="1" applyFill="1" applyAlignment="1">
      <alignment wrapText="1"/>
    </xf>
    <xf numFmtId="173" fontId="4" fillId="0" borderId="0" xfId="29" applyNumberFormat="1" applyFont="1" applyFill="1" applyBorder="1" applyAlignment="1">
      <alignment horizontal="right" wrapText="1"/>
    </xf>
    <xf numFmtId="166" fontId="4" fillId="0" borderId="0" xfId="28" applyNumberFormat="1" applyFont="1" applyFill="1" applyBorder="1" applyAlignment="1">
      <alignment horizontal="right" wrapText="1"/>
    </xf>
    <xf numFmtId="165" fontId="4" fillId="0" borderId="0" xfId="39" applyNumberFormat="1" applyFont="1" applyFill="1"/>
    <xf numFmtId="37" fontId="4" fillId="0" borderId="14" xfId="39" applyNumberFormat="1" applyFont="1" applyFill="1" applyBorder="1"/>
    <xf numFmtId="173" fontId="4" fillId="0" borderId="15" xfId="29" applyNumberFormat="1" applyFont="1" applyFill="1" applyBorder="1"/>
    <xf numFmtId="171" fontId="4" fillId="0" borderId="10" xfId="39" applyNumberFormat="1" applyFont="1" applyFill="1" applyBorder="1" applyAlignment="1">
      <alignment horizontal="center"/>
    </xf>
    <xf numFmtId="38" fontId="4" fillId="0" borderId="10" xfId="39" applyNumberFormat="1" applyFont="1" applyFill="1" applyBorder="1"/>
    <xf numFmtId="38" fontId="4" fillId="0" borderId="0" xfId="39" applyNumberFormat="1" applyFont="1" applyFill="1"/>
    <xf numFmtId="166" fontId="4" fillId="0" borderId="10" xfId="28" applyNumberFormat="1" applyFont="1" applyFill="1" applyBorder="1" applyAlignment="1">
      <alignment horizontal="right" wrapText="1"/>
    </xf>
    <xf numFmtId="173" fontId="4" fillId="0" borderId="0" xfId="29" applyNumberFormat="1" applyFont="1" applyFill="1" applyBorder="1" applyAlignment="1">
      <alignment horizontal="center"/>
    </xf>
    <xf numFmtId="44" fontId="4" fillId="0" borderId="0" xfId="29" applyFont="1" applyFill="1"/>
    <xf numFmtId="172" fontId="4" fillId="0" borderId="0" xfId="29" applyNumberFormat="1" applyFont="1" applyFill="1"/>
    <xf numFmtId="173" fontId="4" fillId="0" borderId="0" xfId="29" applyNumberFormat="1" applyFont="1" applyFill="1"/>
    <xf numFmtId="173" fontId="4" fillId="0" borderId="14" xfId="29" applyNumberFormat="1" applyFont="1" applyFill="1" applyBorder="1"/>
    <xf numFmtId="173" fontId="4" fillId="0" borderId="0" xfId="39" applyNumberFormat="1" applyFont="1" applyFill="1"/>
    <xf numFmtId="173" fontId="4" fillId="0" borderId="0" xfId="39" applyNumberFormat="1" applyFont="1" applyFill="1" applyBorder="1"/>
    <xf numFmtId="37" fontId="4" fillId="0" borderId="0" xfId="39" applyNumberFormat="1" applyFont="1" applyFill="1" applyBorder="1"/>
    <xf numFmtId="173" fontId="4" fillId="0" borderId="0" xfId="29" applyNumberFormat="1" applyFont="1" applyFill="1" applyBorder="1"/>
    <xf numFmtId="6" fontId="4" fillId="0" borderId="0" xfId="39" applyNumberFormat="1"/>
    <xf numFmtId="16" fontId="4" fillId="0" borderId="0" xfId="39" applyNumberFormat="1"/>
    <xf numFmtId="166" fontId="4" fillId="0" borderId="10" xfId="28" applyNumberFormat="1" applyFont="1" applyFill="1" applyBorder="1" applyAlignment="1">
      <alignment horizontal="right"/>
    </xf>
    <xf numFmtId="43" fontId="4" fillId="0" borderId="0" xfId="39" applyNumberFormat="1" applyFont="1"/>
    <xf numFmtId="166" fontId="4" fillId="0" borderId="0" xfId="39" applyNumberFormat="1" applyFont="1" applyFill="1" applyBorder="1" applyAlignment="1">
      <alignment horizontal="center" wrapText="1"/>
    </xf>
    <xf numFmtId="173" fontId="4" fillId="0" borderId="0" xfId="39" applyNumberFormat="1" applyFont="1"/>
    <xf numFmtId="43" fontId="4" fillId="0" borderId="0" xfId="28"/>
    <xf numFmtId="174" fontId="21" fillId="0" borderId="0" xfId="43" applyNumberFormat="1" applyFill="1"/>
    <xf numFmtId="3" fontId="4" fillId="0" borderId="0" xfId="0" applyNumberFormat="1" applyFont="1" applyFill="1" applyBorder="1"/>
    <xf numFmtId="173" fontId="4" fillId="28" borderId="0" xfId="29" applyNumberFormat="1" applyFont="1" applyFill="1" applyBorder="1" applyAlignment="1">
      <alignment horizontal="right" wrapText="1"/>
    </xf>
    <xf numFmtId="3" fontId="4" fillId="28" borderId="0" xfId="39" applyNumberFormat="1" applyFill="1"/>
    <xf numFmtId="37" fontId="4" fillId="28" borderId="0" xfId="39" applyNumberFormat="1" applyFont="1" applyFill="1" applyBorder="1"/>
    <xf numFmtId="3" fontId="4" fillId="28" borderId="0" xfId="39" applyNumberFormat="1" applyFont="1" applyFill="1" applyBorder="1"/>
    <xf numFmtId="37" fontId="4" fillId="28" borderId="0" xfId="39" applyNumberFormat="1" applyFont="1" applyFill="1"/>
    <xf numFmtId="3" fontId="4" fillId="28" borderId="10" xfId="39" applyNumberFormat="1" applyFont="1" applyFill="1" applyBorder="1"/>
    <xf numFmtId="44" fontId="4" fillId="0" borderId="0" xfId="29" applyFont="1" applyFill="1" applyBorder="1"/>
    <xf numFmtId="171" fontId="4" fillId="0" borderId="0" xfId="39" applyNumberFormat="1" applyFont="1" applyFill="1" applyBorder="1"/>
    <xf numFmtId="3" fontId="4" fillId="0" borderId="0" xfId="39" applyNumberFormat="1" applyFill="1" applyBorder="1"/>
    <xf numFmtId="166" fontId="4" fillId="0" borderId="0" xfId="39" applyNumberFormat="1" applyFont="1" applyFill="1" applyBorder="1"/>
    <xf numFmtId="166" fontId="4" fillId="0" borderId="10" xfId="28" applyNumberFormat="1" applyFont="1" applyFill="1" applyBorder="1" applyAlignment="1">
      <alignment horizontal="center"/>
    </xf>
    <xf numFmtId="39" fontId="0" fillId="0" borderId="0" xfId="0" applyNumberFormat="1" applyFill="1"/>
    <xf numFmtId="166" fontId="4" fillId="0" borderId="0" xfId="39" applyNumberFormat="1"/>
    <xf numFmtId="168" fontId="4" fillId="0" borderId="0" xfId="42" applyNumberFormat="1"/>
    <xf numFmtId="37" fontId="0" fillId="0" borderId="0" xfId="0" applyNumberFormat="1" applyFill="1"/>
    <xf numFmtId="10" fontId="4" fillId="0" borderId="0" xfId="42" applyNumberFormat="1" applyFont="1" applyAlignment="1">
      <alignment horizontal="center"/>
    </xf>
    <xf numFmtId="166" fontId="4" fillId="29" borderId="10" xfId="28" applyNumberFormat="1" applyFont="1" applyFill="1" applyBorder="1" applyAlignment="1">
      <alignment horizontal="right" wrapText="1"/>
    </xf>
    <xf numFmtId="37" fontId="4" fillId="29" borderId="0" xfId="39" applyNumberFormat="1" applyFont="1" applyFill="1"/>
    <xf numFmtId="166" fontId="4" fillId="29" borderId="0" xfId="28" applyNumberFormat="1" applyFont="1" applyFill="1"/>
    <xf numFmtId="0" fontId="0" fillId="0" borderId="0" xfId="39" applyFont="1"/>
    <xf numFmtId="169" fontId="3" fillId="0" borderId="10" xfId="39" applyNumberFormat="1" applyFont="1" applyBorder="1" applyAlignment="1">
      <alignment horizontal="left"/>
    </xf>
    <xf numFmtId="166" fontId="4" fillId="0" borderId="0" xfId="39" applyNumberFormat="1" applyFill="1"/>
    <xf numFmtId="3" fontId="0" fillId="0" borderId="0" xfId="39" applyNumberFormat="1" applyFont="1" applyFill="1"/>
    <xf numFmtId="166" fontId="4" fillId="30" borderId="0" xfId="28" applyNumberFormat="1" applyFont="1" applyFill="1"/>
    <xf numFmtId="166" fontId="4" fillId="31" borderId="10" xfId="28" applyNumberFormat="1" applyFont="1" applyFill="1" applyBorder="1" applyAlignment="1">
      <alignment horizontal="right" wrapText="1"/>
    </xf>
    <xf numFmtId="37" fontId="0" fillId="31" borderId="0" xfId="0" applyNumberFormat="1" applyFill="1"/>
    <xf numFmtId="3" fontId="4" fillId="31" borderId="10" xfId="39" applyNumberFormat="1" applyFont="1" applyFill="1" applyBorder="1"/>
    <xf numFmtId="38" fontId="4" fillId="31" borderId="10" xfId="39" applyNumberFormat="1" applyFont="1" applyFill="1" applyBorder="1"/>
    <xf numFmtId="166" fontId="4" fillId="31" borderId="0" xfId="28" applyNumberFormat="1" applyFont="1" applyFill="1"/>
    <xf numFmtId="39" fontId="0" fillId="31" borderId="0" xfId="0" applyNumberFormat="1" applyFill="1"/>
    <xf numFmtId="3" fontId="4" fillId="30" borderId="0" xfId="0" applyNumberFormat="1" applyFont="1" applyFill="1" applyBorder="1"/>
    <xf numFmtId="0" fontId="3" fillId="32" borderId="0" xfId="39" applyFont="1" applyFill="1"/>
    <xf numFmtId="0" fontId="4" fillId="32" borderId="0" xfId="39" applyFont="1" applyFill="1"/>
    <xf numFmtId="166" fontId="4" fillId="32" borderId="0" xfId="39" applyNumberFormat="1" applyFont="1" applyFill="1" applyBorder="1"/>
    <xf numFmtId="173" fontId="4" fillId="32" borderId="0" xfId="29" applyNumberFormat="1" applyFont="1" applyFill="1" applyBorder="1"/>
    <xf numFmtId="0" fontId="4" fillId="32" borderId="0" xfId="39" applyFont="1" applyFill="1" applyBorder="1"/>
    <xf numFmtId="0" fontId="3" fillId="30" borderId="0" xfId="39" applyFont="1" applyFill="1"/>
    <xf numFmtId="0" fontId="4" fillId="30" borderId="0" xfId="39" applyFont="1" applyFill="1"/>
    <xf numFmtId="166" fontId="4" fillId="30" borderId="0" xfId="39" applyNumberFormat="1" applyFont="1" applyFill="1" applyBorder="1"/>
    <xf numFmtId="173" fontId="4" fillId="30" borderId="0" xfId="29" applyNumberFormat="1" applyFont="1" applyFill="1" applyBorder="1"/>
    <xf numFmtId="0" fontId="4" fillId="30" borderId="0" xfId="39" applyFont="1" applyFill="1" applyBorder="1"/>
    <xf numFmtId="0" fontId="3" fillId="0" borderId="0" xfId="39" applyFont="1" applyFill="1"/>
    <xf numFmtId="173" fontId="4" fillId="33" borderId="0" xfId="29" applyNumberFormat="1" applyFont="1" applyFill="1" applyBorder="1" applyAlignment="1">
      <alignment horizontal="right" wrapText="1"/>
    </xf>
    <xf numFmtId="166" fontId="4" fillId="33" borderId="10" xfId="28" applyNumberFormat="1" applyFont="1" applyFill="1" applyBorder="1" applyAlignment="1">
      <alignment horizontal="right" wrapText="1"/>
    </xf>
    <xf numFmtId="17" fontId="4" fillId="0" borderId="0" xfId="39" applyNumberFormat="1" applyFont="1" applyFill="1"/>
    <xf numFmtId="173" fontId="0" fillId="0" borderId="0" xfId="29" applyNumberFormat="1" applyFont="1" applyFill="1"/>
    <xf numFmtId="173" fontId="0" fillId="30" borderId="0" xfId="29" applyNumberFormat="1" applyFont="1" applyFill="1"/>
    <xf numFmtId="44" fontId="0" fillId="0" borderId="0" xfId="0" applyNumberFormat="1" applyFont="1" applyFill="1"/>
    <xf numFmtId="0" fontId="0" fillId="0" borderId="0" xfId="0" applyFont="1" applyFill="1"/>
    <xf numFmtId="44" fontId="7" fillId="0" borderId="0" xfId="29" applyFont="1" applyFill="1"/>
    <xf numFmtId="1" fontId="0" fillId="0" borderId="0" xfId="0" applyNumberFormat="1" applyFill="1"/>
    <xf numFmtId="1" fontId="4" fillId="0" borderId="0" xfId="39" applyNumberFormat="1" applyFont="1" applyFill="1" applyBorder="1"/>
    <xf numFmtId="1" fontId="4" fillId="0" borderId="0" xfId="28" applyNumberFormat="1" applyFont="1" applyFill="1" applyBorder="1"/>
    <xf numFmtId="41" fontId="0" fillId="0" borderId="0" xfId="0" applyNumberFormat="1" applyFill="1"/>
    <xf numFmtId="166" fontId="0" fillId="0" borderId="10" xfId="28" applyNumberFormat="1" applyFont="1" applyFill="1" applyBorder="1"/>
    <xf numFmtId="0" fontId="4" fillId="33" borderId="0" xfId="39" applyFill="1"/>
    <xf numFmtId="39" fontId="0" fillId="0" borderId="0" xfId="0" applyNumberFormat="1" applyFill="1" applyBorder="1"/>
    <xf numFmtId="38" fontId="4" fillId="0" borderId="0" xfId="39" applyNumberFormat="1" applyFont="1" applyFill="1" applyBorder="1"/>
    <xf numFmtId="0" fontId="4" fillId="0" borderId="0" xfId="39" applyFill="1" applyBorder="1"/>
    <xf numFmtId="38" fontId="4" fillId="0" borderId="0" xfId="39" applyNumberFormat="1"/>
    <xf numFmtId="38" fontId="4" fillId="33" borderId="0" xfId="39" applyNumberFormat="1" applyFill="1"/>
    <xf numFmtId="0" fontId="29" fillId="0" borderId="0" xfId="39" applyFont="1" applyFill="1" applyAlignment="1">
      <alignment horizontal="left" wrapText="1"/>
    </xf>
    <xf numFmtId="0" fontId="30" fillId="0" borderId="0" xfId="39" applyFont="1" applyFill="1" applyAlignment="1">
      <alignment horizontal="left" wrapText="1"/>
    </xf>
    <xf numFmtId="0" fontId="0" fillId="0" borderId="0" xfId="39" applyFont="1" applyFill="1" applyAlignment="1">
      <alignment horizontal="left" wrapText="1"/>
    </xf>
    <xf numFmtId="166" fontId="0" fillId="0" borderId="0" xfId="28" applyNumberFormat="1" applyFont="1" applyFill="1"/>
    <xf numFmtId="0" fontId="4" fillId="0" borderId="14" xfId="39" applyFont="1" applyFill="1" applyBorder="1"/>
    <xf numFmtId="0" fontId="4" fillId="33" borderId="0" xfId="39" applyFont="1" applyFill="1"/>
    <xf numFmtId="44" fontId="4" fillId="0" borderId="0" xfId="29"/>
    <xf numFmtId="44" fontId="4" fillId="0" borderId="14" xfId="29" applyBorder="1"/>
    <xf numFmtId="44" fontId="4" fillId="34" borderId="0" xfId="29" applyFont="1" applyFill="1"/>
    <xf numFmtId="44" fontId="4" fillId="0" borderId="0" xfId="39" applyNumberFormat="1"/>
    <xf numFmtId="44" fontId="0" fillId="0" borderId="0" xfId="29" applyFont="1" applyFill="1"/>
    <xf numFmtId="44" fontId="4" fillId="34" borderId="0" xfId="29" applyFill="1"/>
    <xf numFmtId="44" fontId="4" fillId="0" borderId="0" xfId="39" applyNumberFormat="1" applyFont="1"/>
    <xf numFmtId="173" fontId="4" fillId="0" borderId="0" xfId="29" applyNumberFormat="1"/>
    <xf numFmtId="173" fontId="4" fillId="0" borderId="0" xfId="39" applyNumberFormat="1"/>
    <xf numFmtId="173" fontId="4" fillId="0" borderId="0" xfId="29" applyNumberFormat="1" applyFill="1"/>
    <xf numFmtId="173" fontId="4" fillId="0" borderId="0" xfId="39" applyNumberFormat="1" applyFill="1"/>
    <xf numFmtId="173" fontId="4" fillId="0" borderId="14" xfId="29" applyNumberFormat="1" applyBorder="1"/>
    <xf numFmtId="173" fontId="4" fillId="0" borderId="14" xfId="39" applyNumberFormat="1" applyBorder="1"/>
    <xf numFmtId="41" fontId="0" fillId="0" borderId="0" xfId="0" applyNumberFormat="1" applyFill="1" applyBorder="1"/>
    <xf numFmtId="166" fontId="0" fillId="0" borderId="0" xfId="28" applyNumberFormat="1" applyFont="1" applyFill="1" applyBorder="1"/>
    <xf numFmtId="166" fontId="4" fillId="0" borderId="0" xfId="39" applyNumberFormat="1" applyFont="1" applyBorder="1"/>
    <xf numFmtId="44" fontId="4" fillId="0" borderId="0" xfId="39" applyNumberFormat="1" applyFont="1" applyBorder="1"/>
    <xf numFmtId="43" fontId="4" fillId="0" borderId="0" xfId="39" applyNumberFormat="1" applyFont="1" applyBorder="1"/>
    <xf numFmtId="0" fontId="32" fillId="0" borderId="0" xfId="0" applyFont="1" applyFill="1" applyBorder="1"/>
    <xf numFmtId="49" fontId="32" fillId="0" borderId="0" xfId="0" applyNumberFormat="1" applyFont="1" applyFill="1" applyBorder="1"/>
    <xf numFmtId="165" fontId="4" fillId="0" borderId="0" xfId="39" applyNumberFormat="1" applyFont="1" applyFill="1" applyBorder="1"/>
    <xf numFmtId="166" fontId="32" fillId="0" borderId="0" xfId="28" applyNumberFormat="1" applyFont="1" applyFill="1" applyBorder="1"/>
    <xf numFmtId="0" fontId="33" fillId="0" borderId="0" xfId="0" applyFont="1" applyFill="1" applyBorder="1"/>
    <xf numFmtId="0" fontId="34" fillId="0" borderId="0" xfId="39" applyFont="1"/>
    <xf numFmtId="0" fontId="3" fillId="0" borderId="0" xfId="39" applyFont="1" applyFill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166" fontId="0" fillId="33" borderId="0" xfId="28" applyNumberFormat="1" applyFont="1" applyFill="1"/>
    <xf numFmtId="173" fontId="4" fillId="33" borderId="0" xfId="29" applyNumberFormat="1" applyFill="1"/>
    <xf numFmtId="0" fontId="4" fillId="31" borderId="0" xfId="39" applyFill="1"/>
    <xf numFmtId="166" fontId="4" fillId="31" borderId="0" xfId="28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66" fontId="4" fillId="33" borderId="10" xfId="28" applyNumberFormat="1" applyFont="1" applyFill="1" applyBorder="1"/>
    <xf numFmtId="166" fontId="4" fillId="33" borderId="0" xfId="28" applyNumberFormat="1" applyFill="1"/>
    <xf numFmtId="173" fontId="4" fillId="33" borderId="0" xfId="39" applyNumberFormat="1" applyFill="1"/>
    <xf numFmtId="166" fontId="4" fillId="33" borderId="0" xfId="39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73" fontId="4" fillId="31" borderId="14" xfId="39" applyNumberFormat="1" applyFill="1" applyBorder="1"/>
    <xf numFmtId="173" fontId="4" fillId="35" borderId="0" xfId="39" applyNumberFormat="1" applyFill="1"/>
    <xf numFmtId="173" fontId="4" fillId="35" borderId="14" xfId="29" applyNumberFormat="1" applyFill="1" applyBorder="1"/>
    <xf numFmtId="0" fontId="29" fillId="0" borderId="0" xfId="39" applyFont="1"/>
    <xf numFmtId="166" fontId="33" fillId="0" borderId="0" xfId="28" applyNumberFormat="1" applyFont="1" applyFill="1" applyBorder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5" fillId="0" borderId="0" xfId="39" applyFont="1"/>
    <xf numFmtId="0" fontId="35" fillId="0" borderId="0" xfId="39" applyFont="1" applyFill="1"/>
    <xf numFmtId="0" fontId="35" fillId="0" borderId="0" xfId="39" applyFont="1" applyBorder="1"/>
    <xf numFmtId="0" fontId="35" fillId="0" borderId="0" xfId="39" applyFont="1" applyFill="1" applyBorder="1"/>
    <xf numFmtId="0" fontId="36" fillId="0" borderId="0" xfId="39" applyFont="1" applyFill="1" applyAlignment="1">
      <alignment horizontal="center" wrapText="1"/>
    </xf>
    <xf numFmtId="0" fontId="37" fillId="0" borderId="0" xfId="39" applyFont="1" applyFill="1" applyAlignment="1">
      <alignment horizontal="left" wrapText="1"/>
    </xf>
    <xf numFmtId="44" fontId="35" fillId="0" borderId="0" xfId="29" applyFont="1" applyFill="1"/>
    <xf numFmtId="0" fontId="38" fillId="0" borderId="0" xfId="39" applyFont="1" applyFill="1" applyAlignment="1">
      <alignment horizontal="left" wrapText="1"/>
    </xf>
    <xf numFmtId="0" fontId="39" fillId="0" borderId="0" xfId="39" applyFont="1" applyFill="1" applyAlignment="1">
      <alignment horizontal="center" wrapText="1"/>
    </xf>
    <xf numFmtId="0" fontId="36" fillId="0" borderId="0" xfId="39" applyFont="1"/>
    <xf numFmtId="166" fontId="35" fillId="0" borderId="0" xfId="28" applyNumberFormat="1" applyFont="1" applyFill="1"/>
    <xf numFmtId="0" fontId="37" fillId="0" borderId="0" xfId="39" applyFont="1"/>
    <xf numFmtId="166" fontId="35" fillId="0" borderId="0" xfId="28" applyNumberFormat="1" applyFont="1" applyFill="1" applyBorder="1"/>
    <xf numFmtId="0" fontId="37" fillId="0" borderId="0" xfId="39" applyFont="1" applyFill="1"/>
    <xf numFmtId="17" fontId="35" fillId="0" borderId="0" xfId="39" applyNumberFormat="1" applyFont="1" applyFill="1"/>
    <xf numFmtId="3" fontId="35" fillId="0" borderId="0" xfId="0" applyNumberFormat="1" applyFont="1" applyFill="1" applyBorder="1"/>
    <xf numFmtId="43" fontId="35" fillId="0" borderId="0" xfId="28" applyFont="1"/>
    <xf numFmtId="166" fontId="35" fillId="0" borderId="0" xfId="39" applyNumberFormat="1" applyFont="1" applyBorder="1"/>
    <xf numFmtId="173" fontId="35" fillId="0" borderId="0" xfId="39" applyNumberFormat="1" applyFont="1"/>
    <xf numFmtId="0" fontId="35" fillId="26" borderId="0" xfId="39" applyFont="1" applyFill="1"/>
    <xf numFmtId="0" fontId="41" fillId="0" borderId="0" xfId="39" applyFont="1"/>
    <xf numFmtId="0" fontId="42" fillId="0" borderId="0" xfId="39" applyFont="1"/>
    <xf numFmtId="0" fontId="41" fillId="0" borderId="0" xfId="39" applyFont="1" applyAlignment="1">
      <alignment horizontal="center"/>
    </xf>
    <xf numFmtId="0" fontId="41" fillId="0" borderId="0" xfId="39" applyFont="1" applyFill="1"/>
    <xf numFmtId="0" fontId="41" fillId="0" borderId="0" xfId="39" applyFont="1" applyBorder="1"/>
    <xf numFmtId="0" fontId="41" fillId="0" borderId="0" xfId="39" applyFont="1" applyFill="1" applyBorder="1"/>
    <xf numFmtId="0" fontId="41" fillId="0" borderId="0" xfId="39" applyFont="1" applyFill="1" applyBorder="1" applyAlignment="1">
      <alignment horizontal="center"/>
    </xf>
    <xf numFmtId="0" fontId="41" fillId="0" borderId="10" xfId="39" applyFont="1" applyFill="1" applyBorder="1" applyAlignment="1">
      <alignment horizontal="center" wrapText="1"/>
    </xf>
    <xf numFmtId="0" fontId="41" fillId="0" borderId="0" xfId="39" applyFont="1" applyFill="1" applyAlignment="1">
      <alignment wrapText="1"/>
    </xf>
    <xf numFmtId="0" fontId="41" fillId="0" borderId="10" xfId="39" applyFont="1" applyFill="1" applyBorder="1" applyAlignment="1">
      <alignment horizontal="center"/>
    </xf>
    <xf numFmtId="0" fontId="41" fillId="0" borderId="13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171" fontId="41" fillId="0" borderId="13" xfId="39" applyNumberFormat="1" applyFont="1" applyFill="1" applyBorder="1" applyAlignment="1">
      <alignment horizontal="center"/>
    </xf>
    <xf numFmtId="171" fontId="41" fillId="0" borderId="0" xfId="39" applyNumberFormat="1" applyFont="1" applyFill="1" applyBorder="1" applyAlignment="1">
      <alignment horizontal="center"/>
    </xf>
    <xf numFmtId="0" fontId="42" fillId="0" borderId="0" xfId="39" applyFont="1" applyAlignment="1">
      <alignment horizontal="center"/>
    </xf>
    <xf numFmtId="0" fontId="42" fillId="0" borderId="0" xfId="39" applyFont="1" applyFill="1" applyBorder="1" applyAlignment="1">
      <alignment horizontal="center" wrapText="1"/>
    </xf>
    <xf numFmtId="0" fontId="42" fillId="0" borderId="0" xfId="39" applyFont="1" applyFill="1" applyAlignment="1">
      <alignment wrapText="1"/>
    </xf>
    <xf numFmtId="0" fontId="42" fillId="0" borderId="0" xfId="39" applyFont="1" applyFill="1" applyBorder="1"/>
    <xf numFmtId="0" fontId="42" fillId="0" borderId="0" xfId="39" applyFont="1" applyFill="1" applyBorder="1" applyAlignment="1">
      <alignment horizontal="center"/>
    </xf>
    <xf numFmtId="0" fontId="42" fillId="0" borderId="0" xfId="39" applyFont="1" applyFill="1" applyAlignment="1">
      <alignment horizontal="center"/>
    </xf>
    <xf numFmtId="171" fontId="42" fillId="0" borderId="0" xfId="39" applyNumberFormat="1" applyFont="1" applyFill="1" applyBorder="1" applyAlignment="1">
      <alignment horizontal="center"/>
    </xf>
    <xf numFmtId="0" fontId="43" fillId="0" borderId="0" xfId="39" applyFont="1"/>
    <xf numFmtId="173" fontId="42" fillId="0" borderId="0" xfId="29" applyNumberFormat="1" applyFont="1" applyFill="1" applyBorder="1" applyAlignment="1">
      <alignment horizontal="right" wrapText="1"/>
    </xf>
    <xf numFmtId="44" fontId="42" fillId="0" borderId="0" xfId="29" applyFont="1" applyFill="1"/>
    <xf numFmtId="44" fontId="42" fillId="0" borderId="0" xfId="29" applyFont="1" applyFill="1" applyBorder="1"/>
    <xf numFmtId="10" fontId="42" fillId="0" borderId="0" xfId="42" applyNumberFormat="1" applyFont="1" applyAlignment="1">
      <alignment horizontal="center"/>
    </xf>
    <xf numFmtId="166" fontId="42" fillId="0" borderId="10" xfId="28" applyNumberFormat="1" applyFont="1" applyFill="1" applyBorder="1" applyAlignment="1">
      <alignment horizontal="right" wrapText="1"/>
    </xf>
    <xf numFmtId="0" fontId="42" fillId="0" borderId="10" xfId="39" applyFont="1" applyFill="1" applyBorder="1" applyAlignment="1">
      <alignment horizontal="center"/>
    </xf>
    <xf numFmtId="0" fontId="41" fillId="0" borderId="0" xfId="39" applyFont="1" applyAlignment="1">
      <alignment horizontal="left"/>
    </xf>
    <xf numFmtId="166" fontId="41" fillId="0" borderId="0" xfId="28" applyNumberFormat="1" applyFont="1" applyFill="1"/>
    <xf numFmtId="173" fontId="41" fillId="0" borderId="0" xfId="29" applyNumberFormat="1" applyFont="1" applyFill="1" applyBorder="1" applyAlignment="1">
      <alignment horizontal="right" wrapText="1"/>
    </xf>
    <xf numFmtId="173" fontId="41" fillId="0" borderId="0" xfId="29" applyNumberFormat="1" applyFont="1" applyFill="1" applyBorder="1"/>
    <xf numFmtId="166" fontId="42" fillId="0" borderId="0" xfId="28" applyNumberFormat="1" applyFont="1" applyFill="1"/>
    <xf numFmtId="166" fontId="42" fillId="0" borderId="0" xfId="28" applyNumberFormat="1" applyFont="1" applyFill="1" applyBorder="1"/>
    <xf numFmtId="0" fontId="42" fillId="0" borderId="0" xfId="39" applyFont="1" applyFill="1"/>
    <xf numFmtId="171" fontId="42" fillId="0" borderId="0" xfId="39" applyNumberFormat="1" applyFont="1" applyFill="1" applyBorder="1"/>
    <xf numFmtId="2" fontId="42" fillId="0" borderId="0" xfId="39" applyNumberFormat="1" applyFont="1"/>
    <xf numFmtId="173" fontId="2" fillId="0" borderId="0" xfId="29" applyNumberFormat="1" applyFont="1" applyFill="1" applyBorder="1"/>
    <xf numFmtId="165" fontId="42" fillId="0" borderId="0" xfId="39" applyNumberFormat="1" applyFont="1" applyFill="1" applyBorder="1"/>
    <xf numFmtId="3" fontId="42" fillId="0" borderId="0" xfId="39" applyNumberFormat="1" applyFont="1" applyFill="1" applyBorder="1"/>
    <xf numFmtId="166" fontId="2" fillId="0" borderId="0" xfId="28" applyNumberFormat="1" applyFont="1" applyFill="1" applyBorder="1"/>
    <xf numFmtId="3" fontId="42" fillId="0" borderId="10" xfId="39" applyNumberFormat="1" applyFont="1" applyFill="1" applyBorder="1"/>
    <xf numFmtId="165" fontId="42" fillId="0" borderId="0" xfId="39" applyNumberFormat="1" applyFont="1" applyFill="1"/>
    <xf numFmtId="43" fontId="42" fillId="0" borderId="0" xfId="28" applyFont="1" applyFill="1"/>
    <xf numFmtId="165" fontId="41" fillId="0" borderId="0" xfId="39" applyNumberFormat="1" applyFont="1"/>
    <xf numFmtId="173" fontId="41" fillId="0" borderId="14" xfId="29" applyNumberFormat="1" applyFont="1" applyFill="1" applyBorder="1"/>
    <xf numFmtId="173" fontId="41" fillId="0" borderId="0" xfId="39" applyNumberFormat="1" applyFont="1" applyFill="1"/>
    <xf numFmtId="173" fontId="41" fillId="0" borderId="0" xfId="39" applyNumberFormat="1" applyFont="1" applyFill="1" applyBorder="1"/>
    <xf numFmtId="3" fontId="42" fillId="0" borderId="0" xfId="39" applyNumberFormat="1" applyFont="1" applyFill="1"/>
    <xf numFmtId="173" fontId="42" fillId="0" borderId="0" xfId="29" applyNumberFormat="1" applyFont="1" applyFill="1"/>
    <xf numFmtId="173" fontId="42" fillId="0" borderId="0" xfId="29" applyNumberFormat="1" applyFont="1" applyFill="1" applyBorder="1"/>
    <xf numFmtId="37" fontId="42" fillId="0" borderId="0" xfId="39" applyNumberFormat="1" applyFont="1" applyFill="1"/>
    <xf numFmtId="37" fontId="42" fillId="0" borderId="0" xfId="39" applyNumberFormat="1" applyFont="1" applyFill="1" applyBorder="1"/>
    <xf numFmtId="1" fontId="42" fillId="0" borderId="0" xfId="39" applyNumberFormat="1" applyFont="1" applyFill="1" applyBorder="1"/>
    <xf numFmtId="3" fontId="41" fillId="0" borderId="0" xfId="39" applyNumberFormat="1" applyFont="1" applyFill="1" applyBorder="1"/>
    <xf numFmtId="173" fontId="41" fillId="0" borderId="15" xfId="29" applyNumberFormat="1" applyFont="1" applyFill="1" applyBorder="1"/>
    <xf numFmtId="0" fontId="42" fillId="0" borderId="0" xfId="39" applyFont="1" applyBorder="1"/>
    <xf numFmtId="173" fontId="42" fillId="0" borderId="0" xfId="39" applyNumberFormat="1" applyFont="1"/>
    <xf numFmtId="3" fontId="42" fillId="0" borderId="0" xfId="39" applyNumberFormat="1" applyFont="1"/>
    <xf numFmtId="0" fontId="42" fillId="26" borderId="0" xfId="39" applyFont="1" applyFill="1"/>
    <xf numFmtId="0" fontId="42" fillId="26" borderId="0" xfId="39" applyFont="1" applyFill="1" applyBorder="1"/>
    <xf numFmtId="173" fontId="42" fillId="0" borderId="0" xfId="29" applyNumberFormat="1" applyFont="1"/>
    <xf numFmtId="166" fontId="42" fillId="33" borderId="0" xfId="28" applyNumberFormat="1" applyFont="1" applyFill="1"/>
    <xf numFmtId="166" fontId="42" fillId="0" borderId="0" xfId="28" applyNumberFormat="1" applyFont="1"/>
    <xf numFmtId="173" fontId="42" fillId="0" borderId="0" xfId="39" applyNumberFormat="1" applyFont="1" applyFill="1"/>
    <xf numFmtId="166" fontId="42" fillId="31" borderId="0" xfId="28" applyNumberFormat="1" applyFont="1" applyFill="1"/>
    <xf numFmtId="173" fontId="42" fillId="0" borderId="14" xfId="29" applyNumberFormat="1" applyFont="1" applyBorder="1"/>
    <xf numFmtId="173" fontId="42" fillId="35" borderId="14" xfId="29" applyNumberFormat="1" applyFont="1" applyFill="1" applyBorder="1"/>
    <xf numFmtId="173" fontId="42" fillId="35" borderId="0" xfId="39" applyNumberFormat="1" applyFont="1" applyFill="1"/>
    <xf numFmtId="173" fontId="42" fillId="31" borderId="14" xfId="39" applyNumberFormat="1" applyFont="1" applyFill="1" applyBorder="1"/>
    <xf numFmtId="173" fontId="42" fillId="0" borderId="14" xfId="39" applyNumberFormat="1" applyFont="1" applyBorder="1"/>
    <xf numFmtId="166" fontId="42" fillId="0" borderId="0" xfId="39" applyNumberFormat="1" applyFont="1" applyFill="1"/>
    <xf numFmtId="44" fontId="42" fillId="0" borderId="0" xfId="39" applyNumberFormat="1" applyFont="1"/>
    <xf numFmtId="0" fontId="39" fillId="0" borderId="0" xfId="39" applyFont="1"/>
    <xf numFmtId="175" fontId="41" fillId="0" borderId="10" xfId="39" applyNumberFormat="1" applyFont="1" applyBorder="1" applyAlignment="1">
      <alignment horizontal="left"/>
    </xf>
    <xf numFmtId="166" fontId="42" fillId="0" borderId="10" xfId="28" applyNumberFormat="1" applyFont="1" applyFill="1" applyBorder="1"/>
    <xf numFmtId="166" fontId="42" fillId="0" borderId="10" xfId="28" applyNumberFormat="1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6" fillId="0" borderId="0" xfId="39" applyFont="1" applyAlignment="1">
      <alignment horizontal="center" wrapText="1"/>
    </xf>
    <xf numFmtId="0" fontId="41" fillId="0" borderId="10" xfId="39" applyFont="1" applyBorder="1" applyAlignment="1">
      <alignment horizontal="center" wrapText="1"/>
    </xf>
    <xf numFmtId="0" fontId="41" fillId="0" borderId="0" xfId="39" applyFont="1" applyAlignment="1">
      <alignment wrapText="1"/>
    </xf>
    <xf numFmtId="0" fontId="41" fillId="0" borderId="10" xfId="39" applyFont="1" applyBorder="1" applyAlignment="1">
      <alignment horizontal="center"/>
    </xf>
    <xf numFmtId="0" fontId="41" fillId="0" borderId="13" xfId="39" applyFont="1" applyBorder="1" applyAlignment="1">
      <alignment horizontal="center"/>
    </xf>
    <xf numFmtId="171" fontId="41" fillId="0" borderId="13" xfId="39" applyNumberFormat="1" applyFont="1" applyBorder="1" applyAlignment="1">
      <alignment horizontal="center"/>
    </xf>
    <xf numFmtId="171" fontId="41" fillId="0" borderId="0" xfId="39" applyNumberFormat="1" applyFont="1" applyAlignment="1">
      <alignment horizontal="center"/>
    </xf>
    <xf numFmtId="0" fontId="42" fillId="0" borderId="0" xfId="39" applyFont="1" applyAlignment="1">
      <alignment horizontal="center" wrapText="1"/>
    </xf>
    <xf numFmtId="0" fontId="42" fillId="0" borderId="0" xfId="39" applyFont="1" applyAlignment="1">
      <alignment wrapText="1"/>
    </xf>
    <xf numFmtId="171" fontId="42" fillId="0" borderId="0" xfId="39" applyNumberFormat="1" applyFont="1" applyAlignment="1">
      <alignment horizontal="center"/>
    </xf>
    <xf numFmtId="0" fontId="37" fillId="0" borderId="0" xfId="39" applyFont="1" applyAlignment="1">
      <alignment horizontal="left" wrapText="1"/>
    </xf>
    <xf numFmtId="0" fontId="38" fillId="0" borderId="0" xfId="39" applyFont="1" applyAlignment="1">
      <alignment horizontal="left" wrapText="1"/>
    </xf>
    <xf numFmtId="0" fontId="39" fillId="0" borderId="0" xfId="39" applyFont="1" applyAlignment="1">
      <alignment horizontal="center" wrapText="1"/>
    </xf>
    <xf numFmtId="171" fontId="42" fillId="0" borderId="0" xfId="39" applyNumberFormat="1" applyFont="1"/>
    <xf numFmtId="49" fontId="32" fillId="0" borderId="0" xfId="0" applyNumberFormat="1" applyFont="1"/>
    <xf numFmtId="173" fontId="1" fillId="0" borderId="0" xfId="29" applyNumberFormat="1" applyFont="1" applyFill="1" applyBorder="1"/>
    <xf numFmtId="165" fontId="42" fillId="0" borderId="0" xfId="39" applyNumberFormat="1" applyFont="1"/>
    <xf numFmtId="166" fontId="1" fillId="0" borderId="0" xfId="28" applyNumberFormat="1" applyFont="1" applyFill="1" applyBorder="1"/>
    <xf numFmtId="3" fontId="42" fillId="0" borderId="10" xfId="39" applyNumberFormat="1" applyFont="1" applyBorder="1"/>
    <xf numFmtId="173" fontId="41" fillId="0" borderId="0" xfId="39" applyNumberFormat="1" applyFont="1"/>
    <xf numFmtId="37" fontId="42" fillId="0" borderId="0" xfId="39" applyNumberFormat="1" applyFont="1"/>
    <xf numFmtId="3" fontId="41" fillId="0" borderId="0" xfId="39" applyNumberFormat="1" applyFont="1"/>
    <xf numFmtId="17" fontId="35" fillId="0" borderId="0" xfId="39" applyNumberFormat="1" applyFont="1"/>
    <xf numFmtId="3" fontId="35" fillId="0" borderId="0" xfId="0" applyNumberFormat="1" applyFont="1"/>
    <xf numFmtId="166" fontId="35" fillId="0" borderId="0" xfId="39" applyNumberFormat="1" applyFont="1"/>
    <xf numFmtId="166" fontId="42" fillId="0" borderId="0" xfId="39" applyNumberFormat="1" applyFont="1"/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43" fontId="42" fillId="0" borderId="10" xfId="28" applyFont="1" applyFill="1" applyBorder="1"/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" fillId="0" borderId="16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10" xfId="39" applyFont="1" applyBorder="1" applyAlignment="1">
      <alignment horizontal="center"/>
    </xf>
    <xf numFmtId="0" fontId="4" fillId="0" borderId="16" xfId="39" applyFont="1" applyBorder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0" fontId="4" fillId="0" borderId="16" xfId="39" applyFont="1" applyFill="1" applyBorder="1" applyAlignment="1">
      <alignment horizontal="center"/>
    </xf>
    <xf numFmtId="0" fontId="3" fillId="0" borderId="16" xfId="39" applyFont="1" applyFill="1" applyBorder="1" applyAlignment="1">
      <alignment horizontal="center"/>
    </xf>
    <xf numFmtId="0" fontId="0" fillId="0" borderId="16" xfId="39" applyFont="1" applyBorder="1" applyAlignment="1">
      <alignment horizontal="center"/>
    </xf>
    <xf numFmtId="0" fontId="3" fillId="30" borderId="16" xfId="39" applyFont="1" applyFill="1" applyBorder="1" applyAlignment="1">
      <alignment horizontal="center"/>
    </xf>
    <xf numFmtId="0" fontId="3" fillId="30" borderId="0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30" borderId="16" xfId="39" applyFont="1" applyFill="1" applyBorder="1" applyAlignment="1">
      <alignment horizontal="center"/>
    </xf>
    <xf numFmtId="0" fontId="41" fillId="0" borderId="16" xfId="39" applyFont="1" applyBorder="1" applyAlignment="1">
      <alignment horizontal="center"/>
    </xf>
    <xf numFmtId="0" fontId="41" fillId="0" borderId="16" xfId="39" applyFont="1" applyFill="1" applyBorder="1" applyAlignment="1">
      <alignment horizontal="center"/>
    </xf>
    <xf numFmtId="0" fontId="41" fillId="0" borderId="0" xfId="39" applyFont="1" applyAlignment="1">
      <alignment horizontal="center"/>
    </xf>
  </cellXfs>
  <cellStyles count="5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50" xr:uid="{00000000-0005-0000-0000-00001C000000}"/>
    <cellStyle name="Currency" xfId="29" builtinId="4"/>
    <cellStyle name="Currency 2" xfId="51" xr:uid="{00000000-0005-0000-0000-00001E000000}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9" xr:uid="{00000000-0005-0000-0000-000029000000}"/>
    <cellStyle name="Normal_INVESTMENT REPORT June 2008 Post Audit 91208" xfId="39" xr:uid="{00000000-0005-0000-0000-00002A000000}"/>
    <cellStyle name="Note" xfId="40" builtinId="10" customBuiltin="1"/>
    <cellStyle name="Output" xfId="41" builtinId="21" customBuiltin="1"/>
    <cellStyle name="Percent" xfId="42" builtinId="5"/>
    <cellStyle name="Percent 2" xfId="52" xr:uid="{00000000-0005-0000-0000-00002E000000}"/>
    <cellStyle name="STYLE1" xfId="43" xr:uid="{00000000-0005-0000-0000-00002F000000}"/>
    <cellStyle name="STYLE1 2" xfId="44" xr:uid="{00000000-0005-0000-0000-000030000000}"/>
    <cellStyle name="STYLE2" xfId="45" xr:uid="{00000000-0005-0000-0000-000031000000}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sharedStrings" Target="sharedStrings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calcChain" Target="calcChain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customXml" Target="../customXml/item1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theme" Target="theme/theme1.xml"/><Relationship Id="rId208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customXml" Target="../customXml/item3.xml"/><Relationship Id="rId190" Type="http://schemas.openxmlformats.org/officeDocument/2006/relationships/worksheet" Target="worksheets/sheet190.xml"/><Relationship Id="rId204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customXml" Target="../customXml/item4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2.xml"/><Relationship Id="rId2" Type="http://schemas.openxmlformats.org/officeDocument/2006/relationships/vmlDrawing" Target="../drawings/vmlDrawing132.v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3.xml"/><Relationship Id="rId2" Type="http://schemas.openxmlformats.org/officeDocument/2006/relationships/vmlDrawing" Target="../drawings/vmlDrawing133.v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4.xml"/><Relationship Id="rId2" Type="http://schemas.openxmlformats.org/officeDocument/2006/relationships/vmlDrawing" Target="../drawings/vmlDrawing134.v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5.xml"/><Relationship Id="rId2" Type="http://schemas.openxmlformats.org/officeDocument/2006/relationships/vmlDrawing" Target="../drawings/vmlDrawing135.v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6.xml"/><Relationship Id="rId2" Type="http://schemas.openxmlformats.org/officeDocument/2006/relationships/vmlDrawing" Target="../drawings/vmlDrawing136.v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7.xml"/><Relationship Id="rId2" Type="http://schemas.openxmlformats.org/officeDocument/2006/relationships/vmlDrawing" Target="../drawings/vmlDrawing137.v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8.xml"/><Relationship Id="rId2" Type="http://schemas.openxmlformats.org/officeDocument/2006/relationships/vmlDrawing" Target="../drawings/vmlDrawing138.v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9.xml"/><Relationship Id="rId2" Type="http://schemas.openxmlformats.org/officeDocument/2006/relationships/vmlDrawing" Target="../drawings/vmlDrawing139.v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0.xml"/><Relationship Id="rId2" Type="http://schemas.openxmlformats.org/officeDocument/2006/relationships/vmlDrawing" Target="../drawings/vmlDrawing140.v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1.xml"/><Relationship Id="rId2" Type="http://schemas.openxmlformats.org/officeDocument/2006/relationships/vmlDrawing" Target="../drawings/vmlDrawing141.v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2.xml"/><Relationship Id="rId2" Type="http://schemas.openxmlformats.org/officeDocument/2006/relationships/vmlDrawing" Target="../drawings/vmlDrawing142.v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3.xml"/><Relationship Id="rId2" Type="http://schemas.openxmlformats.org/officeDocument/2006/relationships/vmlDrawing" Target="../drawings/vmlDrawing143.v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4.xml"/><Relationship Id="rId2" Type="http://schemas.openxmlformats.org/officeDocument/2006/relationships/vmlDrawing" Target="../drawings/vmlDrawing144.v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5.xml"/><Relationship Id="rId2" Type="http://schemas.openxmlformats.org/officeDocument/2006/relationships/vmlDrawing" Target="../drawings/vmlDrawing145.v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6.xml"/><Relationship Id="rId2" Type="http://schemas.openxmlformats.org/officeDocument/2006/relationships/vmlDrawing" Target="../drawings/vmlDrawing146.v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7.xml"/><Relationship Id="rId2" Type="http://schemas.openxmlformats.org/officeDocument/2006/relationships/vmlDrawing" Target="../drawings/vmlDrawing147.v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8.xml"/><Relationship Id="rId2" Type="http://schemas.openxmlformats.org/officeDocument/2006/relationships/vmlDrawing" Target="../drawings/vmlDrawing148.v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9.xml"/><Relationship Id="rId2" Type="http://schemas.openxmlformats.org/officeDocument/2006/relationships/vmlDrawing" Target="../drawings/vmlDrawing149.v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0.xml"/><Relationship Id="rId2" Type="http://schemas.openxmlformats.org/officeDocument/2006/relationships/vmlDrawing" Target="../drawings/vmlDrawing150.v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1.xml"/><Relationship Id="rId2" Type="http://schemas.openxmlformats.org/officeDocument/2006/relationships/vmlDrawing" Target="../drawings/vmlDrawing151.v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2.xml"/><Relationship Id="rId2" Type="http://schemas.openxmlformats.org/officeDocument/2006/relationships/vmlDrawing" Target="../drawings/vmlDrawing152.v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3.xml"/><Relationship Id="rId2" Type="http://schemas.openxmlformats.org/officeDocument/2006/relationships/vmlDrawing" Target="../drawings/vmlDrawing153.v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4.xml"/><Relationship Id="rId2" Type="http://schemas.openxmlformats.org/officeDocument/2006/relationships/vmlDrawing" Target="../drawings/vmlDrawing154.v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5.xml"/><Relationship Id="rId2" Type="http://schemas.openxmlformats.org/officeDocument/2006/relationships/vmlDrawing" Target="../drawings/vmlDrawing155.v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6.xml"/><Relationship Id="rId2" Type="http://schemas.openxmlformats.org/officeDocument/2006/relationships/vmlDrawing" Target="../drawings/vmlDrawing156.v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7.xml"/><Relationship Id="rId2" Type="http://schemas.openxmlformats.org/officeDocument/2006/relationships/vmlDrawing" Target="../drawings/vmlDrawing157.v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8.xml"/><Relationship Id="rId2" Type="http://schemas.openxmlformats.org/officeDocument/2006/relationships/vmlDrawing" Target="../drawings/vmlDrawing158.v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9.xml"/><Relationship Id="rId2" Type="http://schemas.openxmlformats.org/officeDocument/2006/relationships/vmlDrawing" Target="../drawings/vmlDrawing159.v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0.xml"/><Relationship Id="rId2" Type="http://schemas.openxmlformats.org/officeDocument/2006/relationships/vmlDrawing" Target="../drawings/vmlDrawing160.v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1.xml"/><Relationship Id="rId2" Type="http://schemas.openxmlformats.org/officeDocument/2006/relationships/vmlDrawing" Target="../drawings/vmlDrawing161.v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2.xml"/><Relationship Id="rId2" Type="http://schemas.openxmlformats.org/officeDocument/2006/relationships/vmlDrawing" Target="../drawings/vmlDrawing162.v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3.xml"/><Relationship Id="rId2" Type="http://schemas.openxmlformats.org/officeDocument/2006/relationships/vmlDrawing" Target="../drawings/vmlDrawing163.v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4.xml"/><Relationship Id="rId2" Type="http://schemas.openxmlformats.org/officeDocument/2006/relationships/vmlDrawing" Target="../drawings/vmlDrawing164.v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5.xml"/><Relationship Id="rId2" Type="http://schemas.openxmlformats.org/officeDocument/2006/relationships/vmlDrawing" Target="../drawings/vmlDrawing165.v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6.xml"/><Relationship Id="rId2" Type="http://schemas.openxmlformats.org/officeDocument/2006/relationships/vmlDrawing" Target="../drawings/vmlDrawing166.v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7.xml"/><Relationship Id="rId2" Type="http://schemas.openxmlformats.org/officeDocument/2006/relationships/vmlDrawing" Target="../drawings/vmlDrawing167.v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8.xml"/><Relationship Id="rId2" Type="http://schemas.openxmlformats.org/officeDocument/2006/relationships/vmlDrawing" Target="../drawings/vmlDrawing168.v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9.xml"/><Relationship Id="rId2" Type="http://schemas.openxmlformats.org/officeDocument/2006/relationships/vmlDrawing" Target="../drawings/vmlDrawing169.v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0.xml"/><Relationship Id="rId2" Type="http://schemas.openxmlformats.org/officeDocument/2006/relationships/vmlDrawing" Target="../drawings/vmlDrawing170.v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1.xml"/><Relationship Id="rId2" Type="http://schemas.openxmlformats.org/officeDocument/2006/relationships/vmlDrawing" Target="../drawings/vmlDrawing171.v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2.xml"/><Relationship Id="rId2" Type="http://schemas.openxmlformats.org/officeDocument/2006/relationships/vmlDrawing" Target="../drawings/vmlDrawing172.v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3.xml"/><Relationship Id="rId2" Type="http://schemas.openxmlformats.org/officeDocument/2006/relationships/vmlDrawing" Target="../drawings/vmlDrawing173.v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4.xml"/><Relationship Id="rId2" Type="http://schemas.openxmlformats.org/officeDocument/2006/relationships/vmlDrawing" Target="../drawings/vmlDrawing174.v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5.xml"/><Relationship Id="rId2" Type="http://schemas.openxmlformats.org/officeDocument/2006/relationships/vmlDrawing" Target="../drawings/vmlDrawing175.v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6.xml"/><Relationship Id="rId2" Type="http://schemas.openxmlformats.org/officeDocument/2006/relationships/vmlDrawing" Target="../drawings/vmlDrawing176.v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7.xml"/><Relationship Id="rId2" Type="http://schemas.openxmlformats.org/officeDocument/2006/relationships/vmlDrawing" Target="../drawings/vmlDrawing177.v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8.xml"/><Relationship Id="rId2" Type="http://schemas.openxmlformats.org/officeDocument/2006/relationships/vmlDrawing" Target="../drawings/vmlDrawing178.v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9.xml"/><Relationship Id="rId2" Type="http://schemas.openxmlformats.org/officeDocument/2006/relationships/vmlDrawing" Target="../drawings/vmlDrawing179.v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0.xml"/><Relationship Id="rId2" Type="http://schemas.openxmlformats.org/officeDocument/2006/relationships/vmlDrawing" Target="../drawings/vmlDrawing180.v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1.xml"/><Relationship Id="rId2" Type="http://schemas.openxmlformats.org/officeDocument/2006/relationships/vmlDrawing" Target="../drawings/vmlDrawing181.v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2.xml"/><Relationship Id="rId2" Type="http://schemas.openxmlformats.org/officeDocument/2006/relationships/vmlDrawing" Target="../drawings/vmlDrawing182.v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3.xml"/><Relationship Id="rId2" Type="http://schemas.openxmlformats.org/officeDocument/2006/relationships/vmlDrawing" Target="../drawings/vmlDrawing183.v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4.xml"/><Relationship Id="rId2" Type="http://schemas.openxmlformats.org/officeDocument/2006/relationships/vmlDrawing" Target="../drawings/vmlDrawing184.v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5.xml"/><Relationship Id="rId2" Type="http://schemas.openxmlformats.org/officeDocument/2006/relationships/vmlDrawing" Target="../drawings/vmlDrawing185.v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6.xml"/><Relationship Id="rId2" Type="http://schemas.openxmlformats.org/officeDocument/2006/relationships/vmlDrawing" Target="../drawings/vmlDrawing186.v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7.xml"/><Relationship Id="rId2" Type="http://schemas.openxmlformats.org/officeDocument/2006/relationships/vmlDrawing" Target="../drawings/vmlDrawing187.vml"/><Relationship Id="rId1" Type="http://schemas.openxmlformats.org/officeDocument/2006/relationships/printerSettings" Target="../printerSettings/printerSettings202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C2" sqref="C2"/>
      <selection pane="bottomLeft" activeCell="A9" sqref="A9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37472</v>
      </c>
      <c r="I7" s="4"/>
      <c r="J7" s="18">
        <v>37436</v>
      </c>
      <c r="K7" s="4"/>
      <c r="L7" s="18">
        <v>37101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450</v>
      </c>
      <c r="O11" s="13"/>
      <c r="P11" s="12">
        <v>450</v>
      </c>
      <c r="Q11" s="13"/>
      <c r="R11" s="12">
        <v>279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128738</v>
      </c>
      <c r="I14" s="13"/>
      <c r="J14" s="12">
        <v>128338</v>
      </c>
      <c r="K14" s="13"/>
      <c r="L14" s="12">
        <v>121732</v>
      </c>
      <c r="M14" s="13"/>
      <c r="N14" s="12">
        <v>400</v>
      </c>
      <c r="O14" s="13"/>
      <c r="P14" s="12">
        <v>400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70654</v>
      </c>
      <c r="I15" s="13"/>
      <c r="J15" s="15">
        <v>70454</v>
      </c>
      <c r="K15" s="13"/>
      <c r="L15" s="15">
        <v>67870</v>
      </c>
      <c r="M15" s="13"/>
      <c r="N15" s="15">
        <v>200</v>
      </c>
      <c r="O15" s="13"/>
      <c r="P15" s="15">
        <v>200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762469</v>
      </c>
      <c r="I17" s="13"/>
      <c r="J17" s="16">
        <f>SUM(J11:J15)</f>
        <v>761869</v>
      </c>
      <c r="K17" s="13"/>
      <c r="L17" s="16">
        <f>SUM(L11:L15)</f>
        <v>752812</v>
      </c>
      <c r="M17" s="13"/>
      <c r="N17" s="16">
        <f>SUM(N11:N15)</f>
        <v>1050</v>
      </c>
      <c r="O17" s="13"/>
      <c r="P17" s="16">
        <f>SUM(P11:P15)</f>
        <v>1050</v>
      </c>
      <c r="Q17" s="13"/>
      <c r="R17" s="16">
        <f>SUM(R11:R15)</f>
        <v>779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4.67</v>
      </c>
      <c r="G24" s="7"/>
      <c r="H24" s="15">
        <v>448681</v>
      </c>
      <c r="I24" s="13"/>
      <c r="J24" s="15">
        <v>447546</v>
      </c>
      <c r="K24" s="15">
        <v>425705</v>
      </c>
      <c r="L24" s="15">
        <v>433118</v>
      </c>
      <c r="M24" s="13"/>
      <c r="N24" s="15">
        <v>1698</v>
      </c>
      <c r="O24" s="13"/>
      <c r="P24" s="15">
        <v>1698</v>
      </c>
      <c r="Q24" s="13"/>
      <c r="R24" s="15">
        <v>889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448681</v>
      </c>
      <c r="I26" s="13"/>
      <c r="J26" s="16">
        <f>SUM(J23:J24)</f>
        <v>447546</v>
      </c>
      <c r="K26" s="13"/>
      <c r="L26" s="16">
        <f>SUM(L23:L24)</f>
        <v>433118</v>
      </c>
      <c r="M26" s="13"/>
      <c r="N26" s="16">
        <f>SUM(N23:N24)</f>
        <v>1698</v>
      </c>
      <c r="O26" s="13"/>
      <c r="P26" s="16">
        <f>SUM(P23:P24)</f>
        <v>1698</v>
      </c>
      <c r="Q26" s="13"/>
      <c r="R26" s="16">
        <f>SUM(R23:R24)</f>
        <v>889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4.51</v>
      </c>
      <c r="G32" s="7"/>
      <c r="H32" s="12">
        <v>1322909</v>
      </c>
      <c r="I32" s="13"/>
      <c r="J32" s="12">
        <v>1317536</v>
      </c>
      <c r="K32" s="13"/>
      <c r="L32" s="12">
        <v>1257373</v>
      </c>
      <c r="M32" s="13"/>
      <c r="N32" s="12">
        <v>5374</v>
      </c>
      <c r="O32" s="13" t="s">
        <v>31</v>
      </c>
      <c r="P32" s="12">
        <v>5374</v>
      </c>
      <c r="Q32" s="13"/>
      <c r="R32" s="12">
        <v>4405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4858</v>
      </c>
      <c r="I34" s="13"/>
      <c r="J34" s="12">
        <v>4841</v>
      </c>
      <c r="K34" s="13"/>
      <c r="L34" s="12">
        <v>4684</v>
      </c>
      <c r="M34" s="13"/>
      <c r="N34" s="12">
        <v>17</v>
      </c>
      <c r="O34" s="13"/>
      <c r="P34" s="12">
        <v>17</v>
      </c>
      <c r="Q34" s="13"/>
      <c r="R34" s="12">
        <v>12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</v>
      </c>
      <c r="G35" s="7"/>
      <c r="H35" s="15">
        <v>6166549</v>
      </c>
      <c r="I35" s="13"/>
      <c r="J35" s="15">
        <v>6136396</v>
      </c>
      <c r="K35" s="13"/>
      <c r="L35" s="15">
        <v>4859876</v>
      </c>
      <c r="M35" s="13"/>
      <c r="N35" s="15">
        <v>29702</v>
      </c>
      <c r="O35" s="13"/>
      <c r="P35" s="15">
        <v>29702</v>
      </c>
      <c r="Q35" s="13"/>
      <c r="R35" s="15">
        <v>14792</v>
      </c>
      <c r="S35" s="7" t="s">
        <v>35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7502940</v>
      </c>
      <c r="I37" s="13"/>
      <c r="J37" s="16">
        <f>SUM(J32:J35)</f>
        <v>7467397</v>
      </c>
      <c r="K37" s="13"/>
      <c r="L37" s="16">
        <f>SUM(L32:L35)</f>
        <v>6130686</v>
      </c>
      <c r="M37" s="13"/>
      <c r="N37" s="16">
        <f>SUM(N32:N35)</f>
        <v>35093</v>
      </c>
      <c r="O37" s="13"/>
      <c r="P37" s="16">
        <f>SUM(P32:P35)</f>
        <v>35093</v>
      </c>
      <c r="Q37" s="13"/>
      <c r="R37" s="16">
        <f>SUM(R32:R35)</f>
        <v>19209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37745</v>
      </c>
      <c r="I7" s="4"/>
      <c r="J7" s="18">
        <v>37710</v>
      </c>
      <c r="K7" s="4"/>
      <c r="L7" s="18">
        <v>37374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5.0599999999999996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4298</v>
      </c>
      <c r="Q11" s="13"/>
      <c r="R11" s="12">
        <v>3378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5.0599999999999996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126282</v>
      </c>
      <c r="I14" s="13"/>
      <c r="J14" s="12">
        <v>125782</v>
      </c>
      <c r="K14" s="13"/>
      <c r="L14" s="12">
        <v>127179</v>
      </c>
      <c r="M14" s="13"/>
      <c r="N14" s="12">
        <v>500</v>
      </c>
      <c r="O14" s="13"/>
      <c r="P14" s="12">
        <v>5159</v>
      </c>
      <c r="Q14" s="13"/>
      <c r="R14" s="12">
        <v>4159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73236</v>
      </c>
      <c r="I15" s="13"/>
      <c r="J15" s="15">
        <v>73036</v>
      </c>
      <c r="K15" s="13"/>
      <c r="L15" s="15">
        <v>69771</v>
      </c>
      <c r="M15" s="13"/>
      <c r="N15" s="15">
        <v>200</v>
      </c>
      <c r="O15" s="13"/>
      <c r="P15" s="15">
        <v>2783</v>
      </c>
      <c r="Q15" s="13"/>
      <c r="R15" s="15">
        <v>2000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762595</v>
      </c>
      <c r="I17" s="13"/>
      <c r="J17" s="16">
        <f>SUM(J11:J15)</f>
        <v>761895</v>
      </c>
      <c r="K17" s="13"/>
      <c r="L17" s="16">
        <f>SUM(L11:L15)</f>
        <v>760027</v>
      </c>
      <c r="M17" s="13"/>
      <c r="N17" s="16">
        <f>SUM(N11:N15)</f>
        <v>1116</v>
      </c>
      <c r="O17" s="13"/>
      <c r="P17" s="16">
        <f>SUM(P11:P15)</f>
        <v>12240</v>
      </c>
      <c r="Q17" s="13"/>
      <c r="R17" s="16">
        <f>SUM(R11:R15)</f>
        <v>9537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4.6100000000000003</v>
      </c>
      <c r="G24" s="7"/>
      <c r="H24" s="15">
        <v>417170</v>
      </c>
      <c r="I24" s="13"/>
      <c r="J24" s="15">
        <v>420061</v>
      </c>
      <c r="K24" s="15">
        <v>425705</v>
      </c>
      <c r="L24" s="15">
        <v>445608</v>
      </c>
      <c r="M24" s="13"/>
      <c r="N24" s="15">
        <v>2693</v>
      </c>
      <c r="O24" s="13"/>
      <c r="P24" s="15">
        <v>22203</v>
      </c>
      <c r="Q24" s="13"/>
      <c r="R24" s="15">
        <v>15317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417170</v>
      </c>
      <c r="I26" s="13"/>
      <c r="J26" s="16">
        <f>SUM(J23:J24)</f>
        <v>420061</v>
      </c>
      <c r="K26" s="13"/>
      <c r="L26" s="16">
        <f>SUM(L23:L24)</f>
        <v>445608</v>
      </c>
      <c r="M26" s="13"/>
      <c r="N26" s="16">
        <f>SUM(N23:N24)</f>
        <v>2693</v>
      </c>
      <c r="O26" s="13"/>
      <c r="P26" s="16">
        <f>SUM(P23:P24)</f>
        <v>22203</v>
      </c>
      <c r="Q26" s="13"/>
      <c r="R26" s="16">
        <f>SUM(R23:R24)</f>
        <v>15317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</v>
      </c>
      <c r="G32" s="7"/>
      <c r="H32" s="12">
        <v>1312199</v>
      </c>
      <c r="I32" s="13"/>
      <c r="J32" s="12">
        <v>1306619</v>
      </c>
      <c r="K32" s="13"/>
      <c r="L32" s="12">
        <v>1306857</v>
      </c>
      <c r="M32" s="13"/>
      <c r="N32" s="12">
        <v>5580</v>
      </c>
      <c r="O32" s="13" t="s">
        <v>31</v>
      </c>
      <c r="P32" s="12">
        <v>54764</v>
      </c>
      <c r="Q32" s="13"/>
      <c r="R32" s="12">
        <v>45517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8624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5033</v>
      </c>
      <c r="I34" s="13"/>
      <c r="J34" s="12">
        <v>5007</v>
      </c>
      <c r="K34" s="13"/>
      <c r="L34" s="12">
        <v>4800</v>
      </c>
      <c r="M34" s="13"/>
      <c r="N34" s="12">
        <v>25</v>
      </c>
      <c r="O34" s="13"/>
      <c r="P34" s="12">
        <v>191</v>
      </c>
      <c r="Q34" s="13"/>
      <c r="R34" s="12">
        <v>131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5.0599999999999996</v>
      </c>
      <c r="G35" s="7"/>
      <c r="H35" s="15">
        <v>7489576</v>
      </c>
      <c r="I35" s="13"/>
      <c r="J35" s="15">
        <v>8454886</v>
      </c>
      <c r="K35" s="13"/>
      <c r="L35" s="15">
        <v>6578542</v>
      </c>
      <c r="M35" s="13"/>
      <c r="N35" s="15">
        <v>34275</v>
      </c>
      <c r="O35" s="13"/>
      <c r="P35" s="15">
        <v>348882</v>
      </c>
      <c r="Q35" s="13"/>
      <c r="R35" s="15">
        <v>230356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8815367</v>
      </c>
      <c r="I37" s="13"/>
      <c r="J37" s="16">
        <f>SUM(J32:J35)</f>
        <v>9775136</v>
      </c>
      <c r="K37" s="13"/>
      <c r="L37" s="16">
        <f>SUM(L32:L35)</f>
        <v>7898823</v>
      </c>
      <c r="M37" s="13"/>
      <c r="N37" s="16">
        <f>SUM(N32:N35)</f>
        <v>39880</v>
      </c>
      <c r="O37" s="13"/>
      <c r="P37" s="16">
        <f>SUM(P32:P35)</f>
        <v>403837</v>
      </c>
      <c r="Q37" s="13"/>
      <c r="R37" s="16">
        <f>SUM(R32:R35)</f>
        <v>276004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35" t="s">
        <v>284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40297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304</v>
      </c>
      <c r="H6" s="102"/>
      <c r="I6" s="80" t="s">
        <v>305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1157518</v>
      </c>
      <c r="H9" s="102"/>
      <c r="I9" s="103">
        <v>705165</v>
      </c>
      <c r="J9" s="92"/>
      <c r="K9" s="92"/>
      <c r="L9" s="103">
        <v>350122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4.1027021458903175E-5</v>
      </c>
      <c r="F10" s="111"/>
      <c r="G10" s="111">
        <v>3387945</v>
      </c>
      <c r="H10" s="102"/>
      <c r="I10" s="111">
        <v>3388077</v>
      </c>
      <c r="J10" s="92"/>
      <c r="K10" s="92"/>
      <c r="L10" s="111">
        <v>2886874</v>
      </c>
      <c r="M10" s="92"/>
      <c r="N10" s="56">
        <v>139</v>
      </c>
      <c r="O10" s="92"/>
      <c r="P10" s="72"/>
      <c r="Q10" s="42"/>
      <c r="R10" s="56">
        <f>125+114.02+110.23+99.34+92.8+72+43.86+55.97+90.45+139</f>
        <v>942.67000000000007</v>
      </c>
      <c r="S10" s="42"/>
      <c r="T10" s="108"/>
      <c r="U10" s="86"/>
      <c r="V10" s="56">
        <f>147.72+333.19+263.19+172+118.54+227+269+265.4</f>
        <v>1796.04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4545463</v>
      </c>
      <c r="H11" s="102"/>
      <c r="I11" s="103">
        <f>SUM(I9:I10)</f>
        <v>4093242</v>
      </c>
      <c r="J11" s="92"/>
      <c r="K11" s="92"/>
      <c r="L11" s="103">
        <f>SUM(L9:L10)</f>
        <v>3236996</v>
      </c>
      <c r="M11" s="92"/>
      <c r="N11" s="120">
        <f>SUM(N9:N10)</f>
        <v>139</v>
      </c>
      <c r="O11" s="92"/>
      <c r="P11" s="120">
        <f>SUM(P9:P10)</f>
        <v>0</v>
      </c>
      <c r="Q11" s="85"/>
      <c r="R11" s="120">
        <f>SUM(R9:R10)</f>
        <v>942.67000000000007</v>
      </c>
      <c r="S11" s="85"/>
      <c r="T11" s="120">
        <f>SUM(T9:T10)</f>
        <v>0</v>
      </c>
      <c r="U11" s="120"/>
      <c r="V11" s="120">
        <f>SUM(V9:V10)</f>
        <v>1796.04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106940</v>
      </c>
      <c r="H29" s="29"/>
      <c r="I29" s="115">
        <v>107080</v>
      </c>
      <c r="J29" s="40"/>
      <c r="K29" s="40"/>
      <c r="L29" s="115">
        <v>104500</v>
      </c>
      <c r="M29" s="129"/>
      <c r="N29" s="115">
        <v>140.19</v>
      </c>
      <c r="O29" s="40" t="s">
        <v>31</v>
      </c>
      <c r="P29" s="115">
        <v>1547.43</v>
      </c>
      <c r="Q29" s="40"/>
      <c r="R29" s="115">
        <f>393.28+141.01+312.43+143.01+139.77+454.88+101.1+142.92+327.63+140.19</f>
        <v>2296.2200000000003</v>
      </c>
      <c r="S29" s="40" t="s">
        <v>31</v>
      </c>
      <c r="T29" s="115">
        <f>4940.69-3769.93+3977.26+3274.48+2453.59+1517.92-2689.95+4910.59-131.17+1547.43</f>
        <v>16030.910000000002</v>
      </c>
      <c r="U29" s="120"/>
      <c r="V29" s="115">
        <f>286.75+90.69+278+86.71+90.21+967.82+54+143+145.97+349.63</f>
        <v>2492.7800000000002</v>
      </c>
      <c r="W29" s="40" t="s">
        <v>31</v>
      </c>
      <c r="X29" s="115">
        <f>64.9+2026.6+1814-940.15+1011.79+944.85+4327+1514+3299.08+1563.36</f>
        <v>15625.43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5489511</v>
      </c>
      <c r="H31" s="29"/>
      <c r="I31" s="152">
        <v>5493938</v>
      </c>
      <c r="J31" s="40"/>
      <c r="K31" s="40"/>
      <c r="L31" s="152">
        <v>5316300</v>
      </c>
      <c r="M31" s="129"/>
      <c r="N31" s="38">
        <v>4427.1899999999996</v>
      </c>
      <c r="O31" s="40"/>
      <c r="P31" s="45">
        <v>0</v>
      </c>
      <c r="Q31" s="40"/>
      <c r="R31" s="38">
        <f>3557.68+3999.52+5665.66+5052.46+4252.62+106921.27+22847.89+4109.92+4436.51+4427.19</f>
        <v>165270.72000000003</v>
      </c>
      <c r="S31" s="40"/>
      <c r="T31" s="45">
        <v>0</v>
      </c>
      <c r="U31" s="93"/>
      <c r="V31" s="38">
        <f>1019.02+3879.46+5489+3868.27+4681+134447+7787+3242+4525+4031.8</f>
        <v>172969.55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754748</v>
      </c>
      <c r="H32" s="29"/>
      <c r="I32" s="45">
        <v>741725</v>
      </c>
      <c r="J32" s="40"/>
      <c r="K32" s="40"/>
      <c r="L32" s="45">
        <v>338663</v>
      </c>
      <c r="M32" s="129"/>
      <c r="N32" s="38"/>
      <c r="O32" s="40"/>
      <c r="P32" s="45">
        <v>-14570.78</v>
      </c>
      <c r="Q32" s="40"/>
      <c r="R32" s="38"/>
      <c r="S32" s="40"/>
      <c r="T32" s="45">
        <f>172367.61-120669.7+240175.23+156254.03+57897.91-19281.71-176676.8+214017.78+17143.44-14570.78</f>
        <v>526657.01</v>
      </c>
      <c r="U32" s="119"/>
      <c r="V32" s="38"/>
      <c r="W32" s="40"/>
      <c r="X32" s="45">
        <f>26852.38+106328.21+116577-33427.41+49531-20891+145114+29931+70824.39+82960.92-11494.39</f>
        <v>562306.1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5788122</v>
      </c>
      <c r="H35" s="29"/>
      <c r="I35" s="116">
        <f>SUM(I29:I34)</f>
        <v>5779666</v>
      </c>
      <c r="J35" s="40"/>
      <c r="K35" s="40"/>
      <c r="L35" s="116">
        <f>SUM(L29:L34)</f>
        <v>5196386</v>
      </c>
      <c r="M35" s="129"/>
      <c r="N35" s="116">
        <f>SUM(N29:N34)</f>
        <v>4567.3799999999992</v>
      </c>
      <c r="O35" s="40"/>
      <c r="P35" s="116">
        <f>SUM(P29:P34)</f>
        <v>-13023.35</v>
      </c>
      <c r="Q35" s="40"/>
      <c r="R35" s="116">
        <f>SUM(R29:R34)</f>
        <v>167566.94000000003</v>
      </c>
      <c r="S35" s="40"/>
      <c r="T35" s="116">
        <f>SUM(T29:T34)</f>
        <v>542687.92000000004</v>
      </c>
      <c r="U35" s="120"/>
      <c r="V35" s="116">
        <f>SUM(V29:V34)</f>
        <v>175462.33</v>
      </c>
      <c r="W35" s="40"/>
      <c r="X35" s="116">
        <f>SUM(X29:X34)</f>
        <v>577931.53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11102016.65</v>
      </c>
      <c r="H37" s="29"/>
      <c r="I37" s="107">
        <f>+I35+I25+I19+I11</f>
        <v>10641339.65</v>
      </c>
      <c r="J37" s="92"/>
      <c r="K37" s="92"/>
      <c r="L37" s="107">
        <f>+L35+L25+L19+L11</f>
        <v>9201813.6500000004</v>
      </c>
      <c r="M37" s="129"/>
      <c r="N37" s="107">
        <f>+N35+N25+N19+N11</f>
        <v>4706.3799999999992</v>
      </c>
      <c r="O37" s="92"/>
      <c r="P37" s="107">
        <f>+P35+P25+P19+P11</f>
        <v>-13023.35</v>
      </c>
      <c r="Q37" s="92"/>
      <c r="R37" s="107">
        <f>+R35+R25+R19+R11</f>
        <v>168509.61000000004</v>
      </c>
      <c r="S37" s="92"/>
      <c r="T37" s="107">
        <f>+T35+T25+T19+T11</f>
        <v>542687.92000000004</v>
      </c>
      <c r="U37" s="120"/>
      <c r="V37" s="107">
        <f>+V35+V25+V19+V11</f>
        <v>177258.37</v>
      </c>
      <c r="W37" s="92"/>
      <c r="X37" s="107">
        <f>+X35+X25+X19+X11</f>
        <v>577931.53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2738001</v>
      </c>
      <c r="H39" s="29"/>
      <c r="I39" s="175">
        <v>2802440</v>
      </c>
      <c r="J39" s="92"/>
      <c r="K39" s="92"/>
      <c r="L39" s="120">
        <v>1737729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2350000</v>
      </c>
      <c r="H40" s="29"/>
      <c r="I40" s="120">
        <v>2400000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Aprili 2014 
</oddFoot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35" t="s">
        <v>284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40327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306</v>
      </c>
      <c r="H6" s="102"/>
      <c r="I6" s="80" t="s">
        <v>307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705165</v>
      </c>
      <c r="J9" s="92"/>
      <c r="K9" s="92"/>
      <c r="L9" s="103">
        <v>736907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4.1097058892109007E-5</v>
      </c>
      <c r="F10" s="111"/>
      <c r="G10" s="111">
        <v>3388077</v>
      </c>
      <c r="H10" s="102"/>
      <c r="I10" s="111">
        <v>3388077</v>
      </c>
      <c r="J10" s="92"/>
      <c r="K10" s="92"/>
      <c r="L10" s="111">
        <v>2387071</v>
      </c>
      <c r="M10" s="92"/>
      <c r="N10" s="56">
        <v>139.24</v>
      </c>
      <c r="O10" s="92"/>
      <c r="P10" s="72"/>
      <c r="Q10" s="42"/>
      <c r="R10" s="56">
        <f>125+114.02+110.23+99.34+92.8+72+43.86+55.97+90.45+139+139.24</f>
        <v>1081.9100000000001</v>
      </c>
      <c r="S10" s="42"/>
      <c r="T10" s="108"/>
      <c r="U10" s="86"/>
      <c r="V10" s="56">
        <f>147.72+333.19+263.19+172+118.54+227+269+265.4+204</f>
        <v>2000.04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4093242</v>
      </c>
      <c r="J11" s="92"/>
      <c r="K11" s="92"/>
      <c r="L11" s="103">
        <f>SUM(L9:L10)</f>
        <v>3123978</v>
      </c>
      <c r="M11" s="92"/>
      <c r="N11" s="120">
        <f>SUM(N9:N10)</f>
        <v>139.24</v>
      </c>
      <c r="O11" s="92"/>
      <c r="P11" s="120">
        <f>SUM(P9:P10)</f>
        <v>0</v>
      </c>
      <c r="Q11" s="85"/>
      <c r="R11" s="120">
        <f>SUM(R9:R10)</f>
        <v>1081.9100000000001</v>
      </c>
      <c r="S11" s="85"/>
      <c r="T11" s="120">
        <f>SUM(T9:T10)</f>
        <v>0</v>
      </c>
      <c r="U11" s="120"/>
      <c r="V11" s="120">
        <f>SUM(V9:V10)</f>
        <v>2000.04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107080</v>
      </c>
      <c r="J29" s="40"/>
      <c r="K29" s="40"/>
      <c r="L29" s="115">
        <v>104642</v>
      </c>
      <c r="M29" s="129"/>
      <c r="N29" s="115">
        <v>137.59</v>
      </c>
      <c r="O29" s="40" t="s">
        <v>31</v>
      </c>
      <c r="P29" s="115">
        <v>1636.02</v>
      </c>
      <c r="Q29" s="40"/>
      <c r="R29" s="115">
        <f>393.28+141.01+312.43+143.01+139.77+454.88+101.1+142.92+327.63+140.19+137.59</f>
        <v>2433.8100000000004</v>
      </c>
      <c r="S29" s="40" t="s">
        <v>31</v>
      </c>
      <c r="T29" s="115">
        <f>4940.69-3769.93+3977.26+3274.48+2453.59+1517.92-2689.95+4910.59-131.17+1547.43+1636.02</f>
        <v>17666.93</v>
      </c>
      <c r="U29" s="120"/>
      <c r="V29" s="115">
        <f>286.75+90.69+278+86.71+90.21+967.82+54+143+145.97+349.63+142.38</f>
        <v>2635.1600000000003</v>
      </c>
      <c r="W29" s="40" t="s">
        <v>31</v>
      </c>
      <c r="X29" s="115">
        <f>64.9+2026.6+1814-940.15+1011.79+944.85+4327+1514+3299.08+1563.36+372.7</f>
        <v>15998.130000000001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5493938</v>
      </c>
      <c r="J31" s="40"/>
      <c r="K31" s="40"/>
      <c r="L31" s="152">
        <v>5320431</v>
      </c>
      <c r="M31" s="129"/>
      <c r="N31" s="38">
        <v>3422</v>
      </c>
      <c r="O31" s="40"/>
      <c r="P31" s="45">
        <v>0</v>
      </c>
      <c r="Q31" s="40"/>
      <c r="R31" s="38">
        <f>3557.68+3999.52+5665.66+5052.46+4252.62+106921.27+22847.89+4109.92+4436.51+4427.19+3422</f>
        <v>168692.72000000003</v>
      </c>
      <c r="S31" s="40"/>
      <c r="T31" s="45">
        <v>0</v>
      </c>
      <c r="U31" s="93"/>
      <c r="V31" s="38">
        <f>1019.02+3879.46+5489+3868.27+4681+134447+7787+3242+4525+4031.8+4131</f>
        <v>177100.55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741725</v>
      </c>
      <c r="J32" s="40"/>
      <c r="K32" s="40"/>
      <c r="L32" s="45">
        <v>342949</v>
      </c>
      <c r="M32" s="129"/>
      <c r="N32" s="38"/>
      <c r="O32" s="40"/>
      <c r="P32" s="45">
        <v>111751.06</v>
      </c>
      <c r="Q32" s="40"/>
      <c r="R32" s="38"/>
      <c r="S32" s="40"/>
      <c r="T32" s="45">
        <f>172367.61-120669.7+240175.23+156254.03+57897.91-19281.71-176676.8+214017.78+17143.44-14570.78+111751.06</f>
        <v>638408.07000000007</v>
      </c>
      <c r="U32" s="119"/>
      <c r="V32" s="38"/>
      <c r="W32" s="40"/>
      <c r="X32" s="45">
        <f>26852.38+106328.21+116577-33427.41+49531-20891+145114+29931+70824.39+82960.92-11494.39+3893</f>
        <v>566199.1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5779666</v>
      </c>
      <c r="J35" s="40"/>
      <c r="K35" s="40"/>
      <c r="L35" s="116">
        <f>SUM(L29:L34)</f>
        <v>5204945</v>
      </c>
      <c r="M35" s="129"/>
      <c r="N35" s="116">
        <f>SUM(N29:N34)</f>
        <v>3559.59</v>
      </c>
      <c r="O35" s="40"/>
      <c r="P35" s="116">
        <f>SUM(P29:P34)</f>
        <v>113387.08</v>
      </c>
      <c r="Q35" s="40"/>
      <c r="R35" s="116">
        <f>SUM(R29:R34)</f>
        <v>171126.53000000003</v>
      </c>
      <c r="S35" s="40"/>
      <c r="T35" s="116">
        <f>SUM(T29:T34)</f>
        <v>656075.00000000012</v>
      </c>
      <c r="U35" s="120"/>
      <c r="V35" s="116">
        <f>SUM(V29:V34)</f>
        <v>179735.71</v>
      </c>
      <c r="W35" s="40"/>
      <c r="X35" s="116">
        <f>SUM(X29:X34)</f>
        <v>582197.23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10641339.65</v>
      </c>
      <c r="J37" s="92"/>
      <c r="K37" s="92"/>
      <c r="L37" s="107">
        <f>+L35+L25+L19+L11</f>
        <v>9097354.6500000004</v>
      </c>
      <c r="M37" s="129"/>
      <c r="N37" s="107">
        <f>+N35+N25+N19+N11</f>
        <v>3698.83</v>
      </c>
      <c r="O37" s="92"/>
      <c r="P37" s="107">
        <f>+P35+P25+P19+P11</f>
        <v>113387.08</v>
      </c>
      <c r="Q37" s="92"/>
      <c r="R37" s="107">
        <f>+R35+R25+R19+R11</f>
        <v>172208.44000000003</v>
      </c>
      <c r="S37" s="92"/>
      <c r="T37" s="107">
        <f>+T35+T25+T19+T11</f>
        <v>656075.00000000012</v>
      </c>
      <c r="U37" s="120"/>
      <c r="V37" s="107">
        <f>+V35+V25+V19+V11</f>
        <v>181735.75</v>
      </c>
      <c r="W37" s="92"/>
      <c r="X37" s="107">
        <f>+X35+X25+X19+X11</f>
        <v>582197.23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2802440</v>
      </c>
      <c r="H39" s="29"/>
      <c r="I39" s="175">
        <v>2899472</v>
      </c>
      <c r="J39" s="92"/>
      <c r="K39" s="92"/>
      <c r="L39" s="120">
        <v>1720896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2400000</v>
      </c>
      <c r="H40" s="29"/>
      <c r="I40" s="120">
        <v>2450000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 2014 
</oddFoot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rgb="FFFFFF00"/>
    <pageSetUpPr fitToPage="1"/>
  </sheetPr>
  <dimension ref="A1:AB60"/>
  <sheetViews>
    <sheetView showGridLines="0" zoomScaleNormal="100" workbookViewId="0">
      <selection activeCell="G27" sqref="G2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35" t="s">
        <v>284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40358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308</v>
      </c>
      <c r="H6" s="102"/>
      <c r="I6" s="80" t="s">
        <v>309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482070</v>
      </c>
      <c r="J9" s="92"/>
      <c r="K9" s="92"/>
      <c r="L9" s="103">
        <v>911391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4.1922047488604557E-5</v>
      </c>
      <c r="F10" s="111"/>
      <c r="G10" s="111">
        <v>3388077</v>
      </c>
      <c r="H10" s="102"/>
      <c r="I10" s="111">
        <v>2888334</v>
      </c>
      <c r="J10" s="92"/>
      <c r="K10" s="92"/>
      <c r="L10" s="111">
        <v>1387203</v>
      </c>
      <c r="M10" s="92"/>
      <c r="N10" s="56">
        <v>131.56</v>
      </c>
      <c r="O10" s="92"/>
      <c r="P10" s="72"/>
      <c r="Q10" s="42"/>
      <c r="R10" s="56">
        <f>125+114.02+110.23+99.34+92.8+72+43.86+55.97+90.45+139+139.24+132</f>
        <v>1213.9100000000001</v>
      </c>
      <c r="S10" s="42"/>
      <c r="T10" s="108"/>
      <c r="U10" s="86"/>
      <c r="V10" s="56">
        <f>147.72+333.19+263.19+172+118.54+227+269+265.4+204+139.28</f>
        <v>2139.3200000000002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3370404</v>
      </c>
      <c r="J11" s="92"/>
      <c r="K11" s="92"/>
      <c r="L11" s="103">
        <f>SUM(L9:L10)</f>
        <v>2298594</v>
      </c>
      <c r="M11" s="92"/>
      <c r="N11" s="120">
        <f>SUM(N9:N10)</f>
        <v>131.56</v>
      </c>
      <c r="O11" s="92"/>
      <c r="P11" s="120">
        <f>SUM(P9:P10)</f>
        <v>0</v>
      </c>
      <c r="Q11" s="85"/>
      <c r="R11" s="120">
        <f>SUM(R9:R10)</f>
        <v>1213.9100000000001</v>
      </c>
      <c r="S11" s="85"/>
      <c r="T11" s="120">
        <f>SUM(T9:T10)</f>
        <v>0</v>
      </c>
      <c r="U11" s="120"/>
      <c r="V11" s="120">
        <f>SUM(V9:V10)</f>
        <v>2139.3200000000002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107356</v>
      </c>
      <c r="J29" s="40"/>
      <c r="K29" s="40"/>
      <c r="L29" s="115">
        <v>104784</v>
      </c>
      <c r="M29" s="129"/>
      <c r="N29" s="115">
        <v>138.28</v>
      </c>
      <c r="O29" s="40" t="s">
        <v>31</v>
      </c>
      <c r="P29" s="115">
        <v>2174.9299999999998</v>
      </c>
      <c r="Q29" s="40"/>
      <c r="R29" s="115">
        <f>393.28+141.01+312.43+143.01+139.77+454.88+101.1+142.92+327.63+140.19+137.59+138.28</f>
        <v>2572.0900000000006</v>
      </c>
      <c r="S29" s="40" t="s">
        <v>31</v>
      </c>
      <c r="T29" s="115">
        <f>4940.69-3769.93+3977.26+3274.48+2453.59+1517.92-2689.95+4910.59-131.17+1547.43+1636.02+2174.93</f>
        <v>19841.86</v>
      </c>
      <c r="U29" s="120"/>
      <c r="V29" s="115">
        <f>286.75+90.69+278+86.71+90.21+967.82+54+143+145.97+349.63+142.38+142.23</f>
        <v>2777.3900000000003</v>
      </c>
      <c r="W29" s="40" t="s">
        <v>31</v>
      </c>
      <c r="X29" s="115">
        <f>64.9+2026.6+1814-940.15+1011.79+944.85+4327+1514+3299.08+1563.36+372.7-1423.9</f>
        <v>14574.230000000001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5502413</v>
      </c>
      <c r="J31" s="40"/>
      <c r="K31" s="40"/>
      <c r="L31" s="152">
        <v>5328668</v>
      </c>
      <c r="M31" s="129"/>
      <c r="N31" s="38">
        <v>5052</v>
      </c>
      <c r="O31" s="40"/>
      <c r="P31" s="45">
        <v>0</v>
      </c>
      <c r="Q31" s="40"/>
      <c r="R31" s="38">
        <f>3557.68+3999.52+5665.66+5052.46+4252.62+106921.27+22847.89+4109.92+4436.51+4427.19+3422+5052</f>
        <v>173744.72000000003</v>
      </c>
      <c r="S31" s="40"/>
      <c r="T31" s="45">
        <v>0</v>
      </c>
      <c r="U31" s="93"/>
      <c r="V31" s="38">
        <f>1019.02+3879.46+5489+3868.27+4681+134447+7787+3242+4525+4031.8+4131+8237</f>
        <v>185337.55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975273</v>
      </c>
      <c r="J32" s="40"/>
      <c r="K32" s="40"/>
      <c r="L32" s="45">
        <v>199037</v>
      </c>
      <c r="M32" s="129"/>
      <c r="N32" s="38"/>
      <c r="O32" s="40"/>
      <c r="P32" s="45">
        <v>117986.6</v>
      </c>
      <c r="Q32" s="40"/>
      <c r="R32" s="38"/>
      <c r="S32" s="40"/>
      <c r="T32" s="45">
        <f>172367.61-120669.7+240175.23+156254.03+57897.91-19281.71-176676.8+214017.78+17143.44-14570.78+111751.06+117986.6</f>
        <v>756394.67</v>
      </c>
      <c r="U32" s="119"/>
      <c r="V32" s="38"/>
      <c r="W32" s="40"/>
      <c r="X32" s="45">
        <f>26852.38+106328.21+116577-33427.41+49531-20891+145114+29931+70824.39+82960.92-11494.39+3893-142468</f>
        <v>423731.1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6021965</v>
      </c>
      <c r="J35" s="40"/>
      <c r="K35" s="40"/>
      <c r="L35" s="116">
        <f>SUM(L29:L34)</f>
        <v>5069412</v>
      </c>
      <c r="M35" s="129"/>
      <c r="N35" s="116">
        <f>SUM(N29:N34)</f>
        <v>5190.28</v>
      </c>
      <c r="O35" s="40"/>
      <c r="P35" s="116">
        <f>SUM(P29:P34)</f>
        <v>120161.53</v>
      </c>
      <c r="Q35" s="40"/>
      <c r="R35" s="116">
        <f>SUM(R29:R34)</f>
        <v>176316.81000000003</v>
      </c>
      <c r="S35" s="40"/>
      <c r="T35" s="116">
        <f>SUM(T29:T34)</f>
        <v>776236.53</v>
      </c>
      <c r="U35" s="120"/>
      <c r="V35" s="116">
        <f>SUM(V29:V34)</f>
        <v>188114.94</v>
      </c>
      <c r="W35" s="40"/>
      <c r="X35" s="116">
        <f>SUM(X29:X34)</f>
        <v>438305.32999999996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10160800.65</v>
      </c>
      <c r="J37" s="92"/>
      <c r="K37" s="92"/>
      <c r="L37" s="107">
        <f>+L35+L25+L19+L11</f>
        <v>8136437.6500000004</v>
      </c>
      <c r="M37" s="129"/>
      <c r="N37" s="107">
        <f>+N35+N25+N19+N11</f>
        <v>5321.84</v>
      </c>
      <c r="O37" s="92"/>
      <c r="P37" s="107">
        <f>+P35+P25+P19+P11</f>
        <v>120161.53</v>
      </c>
      <c r="Q37" s="92"/>
      <c r="R37" s="107">
        <f>+R35+R25+R19+R11</f>
        <v>177530.72000000003</v>
      </c>
      <c r="S37" s="92"/>
      <c r="T37" s="107">
        <f>+T35+T25+T19+T11</f>
        <v>776236.53</v>
      </c>
      <c r="U37" s="120"/>
      <c r="V37" s="107">
        <f>+V35+V25+V19+V11</f>
        <v>190254.26</v>
      </c>
      <c r="W37" s="92"/>
      <c r="X37" s="107">
        <f>+X35+X25+X19+X11</f>
        <v>438305.32999999996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2899472</v>
      </c>
      <c r="H39" s="29"/>
      <c r="I39" s="175">
        <v>2982052</v>
      </c>
      <c r="J39" s="92"/>
      <c r="K39" s="92"/>
      <c r="L39" s="120">
        <v>2185378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2450000</v>
      </c>
      <c r="H40" s="29"/>
      <c r="I40" s="120">
        <v>2500000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2014 Pre-Audit 
</oddFoot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35" t="s">
        <v>310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40388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311</v>
      </c>
      <c r="H6" s="102"/>
      <c r="I6" s="80" t="s">
        <v>312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482070</v>
      </c>
      <c r="H9" s="102"/>
      <c r="I9" s="103">
        <v>1145440</v>
      </c>
      <c r="J9" s="92"/>
      <c r="K9" s="92"/>
      <c r="L9" s="103">
        <v>328605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4.1667153796691412E-5</v>
      </c>
      <c r="F10" s="111"/>
      <c r="G10" s="111">
        <v>2888334</v>
      </c>
      <c r="H10" s="102"/>
      <c r="I10" s="111">
        <v>1388416</v>
      </c>
      <c r="J10" s="92"/>
      <c r="K10" s="92"/>
      <c r="L10" s="111">
        <v>1387322</v>
      </c>
      <c r="M10" s="92"/>
      <c r="N10" s="56">
        <v>89.1</v>
      </c>
      <c r="O10" s="92"/>
      <c r="P10" s="72"/>
      <c r="Q10" s="42"/>
      <c r="R10" s="56">
        <v>89.1</v>
      </c>
      <c r="S10" s="92"/>
      <c r="T10" s="72"/>
      <c r="U10" s="86"/>
      <c r="V10" s="56">
        <v>125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3370404</v>
      </c>
      <c r="H11" s="102"/>
      <c r="I11" s="103">
        <f>SUM(I9:I10)</f>
        <v>2533856</v>
      </c>
      <c r="J11" s="92"/>
      <c r="K11" s="92"/>
      <c r="L11" s="103">
        <f>SUM(L9:L10)</f>
        <v>1715927</v>
      </c>
      <c r="M11" s="92"/>
      <c r="N11" s="120">
        <f>SUM(N9:N10)</f>
        <v>89.1</v>
      </c>
      <c r="O11" s="92"/>
      <c r="P11" s="120">
        <f>SUM(P9:P10)</f>
        <v>0</v>
      </c>
      <c r="Q11" s="85"/>
      <c r="R11" s="120">
        <f>SUM(R9:R10)</f>
        <v>89.1</v>
      </c>
      <c r="S11" s="92"/>
      <c r="T11" s="120">
        <f>SUM(T9:T10)</f>
        <v>0</v>
      </c>
      <c r="U11" s="120"/>
      <c r="V11" s="120">
        <f>SUM(V9:V10)</f>
        <v>125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107356</v>
      </c>
      <c r="H29" s="29"/>
      <c r="I29" s="115">
        <v>107804</v>
      </c>
      <c r="J29" s="40"/>
      <c r="K29" s="40"/>
      <c r="L29" s="115">
        <v>105178</v>
      </c>
      <c r="M29" s="129"/>
      <c r="N29" s="115">
        <v>448.35</v>
      </c>
      <c r="O29" s="40" t="s">
        <v>31</v>
      </c>
      <c r="P29" s="115">
        <v>-3320.6900000000078</v>
      </c>
      <c r="Q29" s="40"/>
      <c r="R29" s="115">
        <v>448.35</v>
      </c>
      <c r="S29" s="40" t="s">
        <v>31</v>
      </c>
      <c r="T29" s="115">
        <v>-3320.6900000000078</v>
      </c>
      <c r="U29" s="120"/>
      <c r="V29" s="115">
        <v>393.28</v>
      </c>
      <c r="W29" s="40" t="s">
        <v>31</v>
      </c>
      <c r="X29" s="115">
        <v>4940.6899999999996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5502413</v>
      </c>
      <c r="H31" s="29"/>
      <c r="I31" s="152">
        <v>5506164</v>
      </c>
      <c r="J31" s="40"/>
      <c r="K31" s="40"/>
      <c r="L31" s="152">
        <v>5332225</v>
      </c>
      <c r="M31" s="129"/>
      <c r="N31" s="38">
        <v>3751.67</v>
      </c>
      <c r="O31" s="40"/>
      <c r="P31" s="45">
        <v>0</v>
      </c>
      <c r="Q31" s="40"/>
      <c r="R31" s="38">
        <v>3751.67</v>
      </c>
      <c r="S31" s="40"/>
      <c r="T31" s="45">
        <v>0</v>
      </c>
      <c r="U31" s="93"/>
      <c r="V31" s="38">
        <v>3557.68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975273</v>
      </c>
      <c r="H32" s="29"/>
      <c r="I32" s="45">
        <v>880884</v>
      </c>
      <c r="J32" s="40"/>
      <c r="K32" s="40"/>
      <c r="L32" s="45">
        <v>376345</v>
      </c>
      <c r="M32" s="129"/>
      <c r="N32" s="38"/>
      <c r="O32" s="40"/>
      <c r="P32" s="45">
        <v>-91069.150000000009</v>
      </c>
      <c r="Q32" s="40"/>
      <c r="R32" s="38"/>
      <c r="S32" s="40"/>
      <c r="T32" s="45">
        <v>-91069.150000000009</v>
      </c>
      <c r="U32" s="119"/>
      <c r="V32" s="38"/>
      <c r="W32" s="40"/>
      <c r="X32" s="45">
        <v>172367.61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6021965</v>
      </c>
      <c r="H35" s="29"/>
      <c r="I35" s="116">
        <f>SUM(I29:I34)</f>
        <v>5931775</v>
      </c>
      <c r="J35" s="40"/>
      <c r="K35" s="40"/>
      <c r="L35" s="116">
        <f>SUM(L29:L34)</f>
        <v>5250671</v>
      </c>
      <c r="M35" s="129"/>
      <c r="N35" s="116">
        <f>SUM(N29:N34)</f>
        <v>4200.0200000000004</v>
      </c>
      <c r="O35" s="40"/>
      <c r="P35" s="116">
        <f>SUM(P29:P34)</f>
        <v>-94389.840000000011</v>
      </c>
      <c r="Q35" s="40"/>
      <c r="R35" s="116">
        <f>SUM(R29:R34)</f>
        <v>4200.0200000000004</v>
      </c>
      <c r="S35" s="40"/>
      <c r="T35" s="116">
        <f>SUM(T29:T34)</f>
        <v>-94389.840000000011</v>
      </c>
      <c r="U35" s="120"/>
      <c r="V35" s="116">
        <f>SUM(V29:V34)</f>
        <v>3950.96</v>
      </c>
      <c r="W35" s="40"/>
      <c r="X35" s="116">
        <f>SUM(X29:X34)</f>
        <v>177308.3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10160800.65</v>
      </c>
      <c r="H37" s="29"/>
      <c r="I37" s="107">
        <f>+I35+I25+I19+I11</f>
        <v>9234062.6500000004</v>
      </c>
      <c r="J37" s="92"/>
      <c r="K37" s="92"/>
      <c r="L37" s="107">
        <f>+L35+L25+L19+L11</f>
        <v>7735029.6500000004</v>
      </c>
      <c r="M37" s="129"/>
      <c r="N37" s="107">
        <f>+N35+N25+N19+N11</f>
        <v>4289.1200000000008</v>
      </c>
      <c r="O37" s="92"/>
      <c r="P37" s="107">
        <f>+P35+P25+P19+P11</f>
        <v>-94389.840000000011</v>
      </c>
      <c r="Q37" s="92"/>
      <c r="R37" s="107">
        <f>+R35+R25+R19+R11</f>
        <v>4289.1200000000008</v>
      </c>
      <c r="S37" s="92"/>
      <c r="T37" s="107">
        <f>+T35+T25+T19+T11</f>
        <v>-94389.840000000011</v>
      </c>
      <c r="U37" s="120"/>
      <c r="V37" s="107">
        <f>+V35+V25+V19+V11</f>
        <v>4075.96</v>
      </c>
      <c r="W37" s="92"/>
      <c r="X37" s="107">
        <f>+X35+X25+X19+X11</f>
        <v>177308.3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2982052</v>
      </c>
      <c r="H39" s="29"/>
      <c r="I39" s="175">
        <v>3002141</v>
      </c>
      <c r="J39" s="92"/>
      <c r="K39" s="92"/>
      <c r="L39" s="120">
        <v>2232057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2500000</v>
      </c>
      <c r="H40" s="29"/>
      <c r="I40" s="120">
        <v>2550000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35" t="s">
        <v>310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40419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313</v>
      </c>
      <c r="H6" s="102"/>
      <c r="I6" s="80" t="s">
        <v>314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1145440</v>
      </c>
      <c r="H9" s="102"/>
      <c r="I9" s="103">
        <v>2485773</v>
      </c>
      <c r="J9" s="92"/>
      <c r="K9" s="92"/>
      <c r="L9" s="103">
        <v>1204451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3.961280285788367E-5</v>
      </c>
      <c r="F10" s="111"/>
      <c r="G10" s="111">
        <v>1388416</v>
      </c>
      <c r="H10" s="102"/>
      <c r="I10" s="111">
        <v>1388464</v>
      </c>
      <c r="J10" s="92"/>
      <c r="K10" s="92"/>
      <c r="L10" s="111">
        <v>1387429</v>
      </c>
      <c r="M10" s="92"/>
      <c r="N10" s="56">
        <v>55</v>
      </c>
      <c r="O10" s="92"/>
      <c r="P10" s="72"/>
      <c r="Q10" s="42"/>
      <c r="R10" s="56">
        <f>89.1+55</f>
        <v>144.1</v>
      </c>
      <c r="S10" s="92"/>
      <c r="T10" s="72"/>
      <c r="U10" s="86"/>
      <c r="V10" s="56">
        <f>125+114.02</f>
        <v>239.01999999999998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2533856</v>
      </c>
      <c r="H11" s="102"/>
      <c r="I11" s="103">
        <f>SUM(I9:I10)</f>
        <v>3874237</v>
      </c>
      <c r="J11" s="92"/>
      <c r="K11" s="92"/>
      <c r="L11" s="103">
        <f>SUM(L9:L10)</f>
        <v>2591880</v>
      </c>
      <c r="M11" s="92"/>
      <c r="N11" s="120">
        <f>SUM(N9:N10)</f>
        <v>55</v>
      </c>
      <c r="O11" s="92"/>
      <c r="P11" s="120">
        <f>SUM(P9:P10)</f>
        <v>0</v>
      </c>
      <c r="Q11" s="85"/>
      <c r="R11" s="120">
        <f>SUM(R9:R10)</f>
        <v>144.1</v>
      </c>
      <c r="S11" s="92"/>
      <c r="T11" s="120">
        <f>SUM(T9:T10)</f>
        <v>0</v>
      </c>
      <c r="U11" s="120"/>
      <c r="V11" s="120">
        <f>SUM(V9:V10)</f>
        <v>239.01999999999998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107804</v>
      </c>
      <c r="H29" s="29"/>
      <c r="I29" s="115">
        <v>107943</v>
      </c>
      <c r="J29" s="40"/>
      <c r="K29" s="40"/>
      <c r="L29" s="115">
        <v>105319</v>
      </c>
      <c r="M29" s="129"/>
      <c r="N29" s="115">
        <v>138.62</v>
      </c>
      <c r="O29" s="40" t="s">
        <v>31</v>
      </c>
      <c r="P29" s="115">
        <v>4930.67</v>
      </c>
      <c r="Q29" s="40"/>
      <c r="R29" s="115">
        <f>448.35+138.62</f>
        <v>586.97</v>
      </c>
      <c r="S29" s="40" t="s">
        <v>31</v>
      </c>
      <c r="T29" s="115">
        <f>-3320.69000000001+4930.67</f>
        <v>1609.97999999999</v>
      </c>
      <c r="U29" s="120"/>
      <c r="V29" s="115">
        <f>393.28+141.01</f>
        <v>534.29</v>
      </c>
      <c r="W29" s="40" t="s">
        <v>31</v>
      </c>
      <c r="X29" s="115">
        <f>4940.69-3769.93</f>
        <v>1170.7599999999998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5506164</v>
      </c>
      <c r="H31" s="29"/>
      <c r="I31" s="152">
        <v>5512789</v>
      </c>
      <c r="J31" s="40"/>
      <c r="K31" s="40"/>
      <c r="L31" s="152">
        <v>5336225</v>
      </c>
      <c r="M31" s="129"/>
      <c r="N31" s="38">
        <v>6624.67</v>
      </c>
      <c r="O31" s="40"/>
      <c r="P31" s="45">
        <v>0</v>
      </c>
      <c r="Q31" s="40"/>
      <c r="R31" s="38">
        <f>3751.67+6624.67</f>
        <v>10376.34</v>
      </c>
      <c r="S31" s="40"/>
      <c r="T31" s="45">
        <v>0</v>
      </c>
      <c r="U31" s="93"/>
      <c r="V31" s="38">
        <f>3557.68+3999.52</f>
        <v>7557.2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880884</v>
      </c>
      <c r="H32" s="29"/>
      <c r="I32" s="45">
        <v>971910</v>
      </c>
      <c r="J32" s="40"/>
      <c r="K32" s="40"/>
      <c r="L32" s="45">
        <v>251905</v>
      </c>
      <c r="M32" s="129"/>
      <c r="N32" s="38"/>
      <c r="O32" s="40"/>
      <c r="P32" s="45">
        <v>86096.29</v>
      </c>
      <c r="Q32" s="40"/>
      <c r="R32" s="38"/>
      <c r="S32" s="40"/>
      <c r="T32" s="45">
        <f>-91069.15+86096.29</f>
        <v>-4972.8600000000006</v>
      </c>
      <c r="U32" s="119"/>
      <c r="V32" s="38"/>
      <c r="W32" s="40"/>
      <c r="X32" s="45">
        <f>172367.61-120669.7</f>
        <v>51697.909999999989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5931775</v>
      </c>
      <c r="H35" s="29"/>
      <c r="I35" s="116">
        <f>SUM(I29:I34)</f>
        <v>6029565</v>
      </c>
      <c r="J35" s="40"/>
      <c r="K35" s="40"/>
      <c r="L35" s="116">
        <f>SUM(L29:L34)</f>
        <v>5130372</v>
      </c>
      <c r="M35" s="129"/>
      <c r="N35" s="116">
        <f>SUM(N29:N34)</f>
        <v>6763.29</v>
      </c>
      <c r="O35" s="40"/>
      <c r="P35" s="116">
        <f>SUM(P29:P34)</f>
        <v>91026.959999999992</v>
      </c>
      <c r="Q35" s="40"/>
      <c r="R35" s="116">
        <f>SUM(R29:R34)</f>
        <v>10963.31</v>
      </c>
      <c r="S35" s="40"/>
      <c r="T35" s="116">
        <f>SUM(T29:T34)</f>
        <v>-3362.8800000000106</v>
      </c>
      <c r="U35" s="120"/>
      <c r="V35" s="116">
        <f>SUM(V29:V34)</f>
        <v>8091.49</v>
      </c>
      <c r="W35" s="40"/>
      <c r="X35" s="116">
        <f>SUM(X29:X34)</f>
        <v>52868.669999999991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9234062.6500000004</v>
      </c>
      <c r="H37" s="29"/>
      <c r="I37" s="107">
        <f>+I35+I25+I19+I11</f>
        <v>10672233.65</v>
      </c>
      <c r="J37" s="92"/>
      <c r="K37" s="92"/>
      <c r="L37" s="107">
        <f>+L35+L25+L19+L11</f>
        <v>8490683.6500000004</v>
      </c>
      <c r="M37" s="129"/>
      <c r="N37" s="107">
        <f>+N35+N25+N19+N11</f>
        <v>6818.29</v>
      </c>
      <c r="O37" s="92"/>
      <c r="P37" s="107">
        <f>+P35+P25+P19+P11</f>
        <v>91026.959999999992</v>
      </c>
      <c r="Q37" s="92"/>
      <c r="R37" s="107">
        <f>+R35+R25+R19+R11</f>
        <v>11107.41</v>
      </c>
      <c r="S37" s="92"/>
      <c r="T37" s="107">
        <f>+T35+T25+T19+T11</f>
        <v>-3362.8800000000106</v>
      </c>
      <c r="U37" s="120"/>
      <c r="V37" s="107">
        <f>+V35+V25+V19+V11</f>
        <v>8330.51</v>
      </c>
      <c r="W37" s="92"/>
      <c r="X37" s="107">
        <f>+X35+X25+X19+X11</f>
        <v>52868.669999999991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3002141</v>
      </c>
      <c r="H39" s="29"/>
      <c r="I39" s="175">
        <v>3105474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2550000</v>
      </c>
      <c r="H40" s="29"/>
      <c r="I40" s="120">
        <v>2600000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310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40447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315</v>
      </c>
      <c r="H6" s="102"/>
      <c r="I6" s="80" t="s">
        <v>316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2485773</v>
      </c>
      <c r="H9" s="102"/>
      <c r="I9" s="103">
        <v>2368299</v>
      </c>
      <c r="J9" s="92"/>
      <c r="K9" s="92"/>
      <c r="L9" s="103">
        <v>777124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2.9422602469403674E-5</v>
      </c>
      <c r="F10" s="111"/>
      <c r="G10" s="111">
        <v>1388464</v>
      </c>
      <c r="H10" s="102"/>
      <c r="I10" s="111">
        <v>2888520</v>
      </c>
      <c r="J10" s="92"/>
      <c r="K10" s="92"/>
      <c r="L10" s="111">
        <v>1387532</v>
      </c>
      <c r="M10" s="92"/>
      <c r="N10" s="56">
        <v>62.92</v>
      </c>
      <c r="O10" s="92"/>
      <c r="P10" s="72"/>
      <c r="Q10" s="42"/>
      <c r="R10" s="56">
        <f>89.1+55+62.92</f>
        <v>207.01999999999998</v>
      </c>
      <c r="S10" s="92"/>
      <c r="T10" s="72"/>
      <c r="U10" s="86"/>
      <c r="V10" s="56">
        <f>125+114.02+110.23</f>
        <v>349.25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3874237</v>
      </c>
      <c r="H11" s="102"/>
      <c r="I11" s="103">
        <f>SUM(I9:I10)</f>
        <v>5256819</v>
      </c>
      <c r="J11" s="92"/>
      <c r="K11" s="92"/>
      <c r="L11" s="103">
        <f>SUM(L9:L10)</f>
        <v>2164656</v>
      </c>
      <c r="M11" s="92"/>
      <c r="N11" s="120">
        <f>SUM(N9:N10)</f>
        <v>62.92</v>
      </c>
      <c r="O11" s="92"/>
      <c r="P11" s="120">
        <f>SUM(P9:P10)</f>
        <v>0</v>
      </c>
      <c r="Q11" s="85"/>
      <c r="R11" s="120">
        <f>SUM(R9:R10)</f>
        <v>207.01999999999998</v>
      </c>
      <c r="S11" s="92"/>
      <c r="T11" s="120">
        <f>SUM(T9:T10)</f>
        <v>0</v>
      </c>
      <c r="U11" s="120"/>
      <c r="V11" s="120">
        <f>SUM(V9:V10)</f>
        <v>349.25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107943</v>
      </c>
      <c r="H29" s="29"/>
      <c r="I29" s="115">
        <v>108138</v>
      </c>
      <c r="J29" s="40"/>
      <c r="K29" s="40"/>
      <c r="L29" s="115">
        <v>105631</v>
      </c>
      <c r="M29" s="129"/>
      <c r="N29" s="115">
        <v>195.9</v>
      </c>
      <c r="O29" s="40" t="s">
        <v>31</v>
      </c>
      <c r="P29" s="115">
        <v>-2440.4299999999998</v>
      </c>
      <c r="Q29" s="40"/>
      <c r="R29" s="115">
        <f>448.35+138.62+195.9</f>
        <v>782.87</v>
      </c>
      <c r="S29" s="40" t="s">
        <v>31</v>
      </c>
      <c r="T29" s="115">
        <f>-3320.69000000001+4930.67-2440.93</f>
        <v>-830.95000000000982</v>
      </c>
      <c r="U29" s="120"/>
      <c r="V29" s="115">
        <f>393.28+141.01+312.43</f>
        <v>846.72</v>
      </c>
      <c r="W29" s="40" t="s">
        <v>31</v>
      </c>
      <c r="X29" s="115">
        <f>4940.69-3769.93+3977.26</f>
        <v>5148.0200000000004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5512789</v>
      </c>
      <c r="H31" s="29"/>
      <c r="I31" s="152">
        <v>5516588</v>
      </c>
      <c r="J31" s="40"/>
      <c r="K31" s="40"/>
      <c r="L31" s="152">
        <v>5341891</v>
      </c>
      <c r="M31" s="129"/>
      <c r="N31" s="38">
        <v>3798.68</v>
      </c>
      <c r="O31" s="40"/>
      <c r="P31" s="45">
        <v>0</v>
      </c>
      <c r="Q31" s="40"/>
      <c r="R31" s="38">
        <f>3751.67+6624.67+3798.96</f>
        <v>14175.3</v>
      </c>
      <c r="S31" s="40"/>
      <c r="T31" s="45">
        <v>0</v>
      </c>
      <c r="U31" s="93"/>
      <c r="V31" s="38">
        <f>3557.68+3999.52+5665.66</f>
        <v>13222.86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971910</v>
      </c>
      <c r="H32" s="29"/>
      <c r="I32" s="45">
        <v>770485</v>
      </c>
      <c r="J32" s="40"/>
      <c r="K32" s="40"/>
      <c r="L32" s="45">
        <v>496058</v>
      </c>
      <c r="M32" s="129"/>
      <c r="N32" s="38"/>
      <c r="O32" s="40"/>
      <c r="P32" s="45">
        <v>-168985.71</v>
      </c>
      <c r="Q32" s="40"/>
      <c r="R32" s="38"/>
      <c r="S32" s="40"/>
      <c r="T32" s="45">
        <f>-91069.15+86096.29-168986</f>
        <v>-173958.86</v>
      </c>
      <c r="U32" s="119"/>
      <c r="V32" s="38"/>
      <c r="W32" s="40"/>
      <c r="X32" s="45">
        <f>172367.61-120669.7+240175.23</f>
        <v>291873.14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-30000</v>
      </c>
      <c r="Q33" s="40"/>
      <c r="R33" s="141">
        <v>0</v>
      </c>
      <c r="S33" s="40"/>
      <c r="T33" s="144">
        <v>-30000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6029565</v>
      </c>
      <c r="H35" s="29"/>
      <c r="I35" s="116">
        <f>SUM(I29:I34)</f>
        <v>5832134</v>
      </c>
      <c r="J35" s="40"/>
      <c r="K35" s="40"/>
      <c r="L35" s="116">
        <f>SUM(L29:L34)</f>
        <v>5380503</v>
      </c>
      <c r="M35" s="129"/>
      <c r="N35" s="116">
        <f>SUM(N29:N34)</f>
        <v>3994.58</v>
      </c>
      <c r="O35" s="40"/>
      <c r="P35" s="116">
        <f>SUM(P29:P34)</f>
        <v>-201426.13999999998</v>
      </c>
      <c r="Q35" s="40"/>
      <c r="R35" s="116">
        <f>SUM(R29:R34)</f>
        <v>14958.17</v>
      </c>
      <c r="S35" s="40"/>
      <c r="T35" s="116">
        <f>SUM(T29:T34)</f>
        <v>-204789.81</v>
      </c>
      <c r="U35" s="120"/>
      <c r="V35" s="116">
        <f>SUM(V29:V34)</f>
        <v>14069.58</v>
      </c>
      <c r="W35" s="40"/>
      <c r="X35" s="116">
        <f>SUM(X29:X34)</f>
        <v>297021.16000000003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10672233.65</v>
      </c>
      <c r="H37" s="29"/>
      <c r="I37" s="107">
        <f>+I35+I25+I19+I11</f>
        <v>11857384.65</v>
      </c>
      <c r="J37" s="92"/>
      <c r="K37" s="92"/>
      <c r="L37" s="107">
        <f>+L35+L25+L19+L11</f>
        <v>8313590.6500000004</v>
      </c>
      <c r="M37" s="129"/>
      <c r="N37" s="107">
        <f>+N35+N25+N19+N11</f>
        <v>4057.5</v>
      </c>
      <c r="O37" s="92"/>
      <c r="P37" s="107">
        <f>+P35+P25+P19+P11</f>
        <v>-201426.13999999998</v>
      </c>
      <c r="Q37" s="92"/>
      <c r="R37" s="107">
        <f>+R35+R25+R19+R11</f>
        <v>15165.19</v>
      </c>
      <c r="S37" s="92"/>
      <c r="T37" s="107">
        <f>+T35+T25+T19+T11</f>
        <v>-204789.81</v>
      </c>
      <c r="U37" s="120"/>
      <c r="V37" s="107">
        <f>+V35+V25+V19+V11</f>
        <v>14418.83</v>
      </c>
      <c r="W37" s="92"/>
      <c r="X37" s="107">
        <f>+X35+X25+X19+X11</f>
        <v>297021.16000000003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3105474</v>
      </c>
      <c r="H39" s="29"/>
      <c r="I39" s="175">
        <v>3073569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2600000</v>
      </c>
      <c r="H40" s="29"/>
      <c r="I40" s="120">
        <v>2650000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2014
</oddFoot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310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40480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317</v>
      </c>
      <c r="H6" s="102"/>
      <c r="I6" s="80" t="s">
        <v>318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2368299</v>
      </c>
      <c r="H9" s="102"/>
      <c r="I9" s="103">
        <v>1296847</v>
      </c>
      <c r="J9" s="92"/>
      <c r="K9" s="92"/>
      <c r="L9" s="103">
        <v>899584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4.2463800527456759E-5</v>
      </c>
      <c r="F10" s="111"/>
      <c r="G10" s="111">
        <v>2888520</v>
      </c>
      <c r="H10" s="102"/>
      <c r="I10" s="111">
        <v>2888636</v>
      </c>
      <c r="J10" s="92"/>
      <c r="K10" s="92"/>
      <c r="L10" s="111">
        <v>2387624</v>
      </c>
      <c r="M10" s="92"/>
      <c r="N10" s="56">
        <v>122.66</v>
      </c>
      <c r="O10" s="92"/>
      <c r="P10" s="72"/>
      <c r="Q10" s="42"/>
      <c r="R10" s="56">
        <f>89.1+55+62.92+122.66</f>
        <v>329.67999999999995</v>
      </c>
      <c r="S10" s="92"/>
      <c r="T10" s="72"/>
      <c r="U10" s="86"/>
      <c r="V10" s="56">
        <f>125+114.02+110.23+99.34</f>
        <v>448.59000000000003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5256819</v>
      </c>
      <c r="H11" s="102"/>
      <c r="I11" s="103">
        <f>SUM(I9:I10)</f>
        <v>4185483</v>
      </c>
      <c r="J11" s="92"/>
      <c r="K11" s="92"/>
      <c r="L11" s="103">
        <f>SUM(L9:L10)</f>
        <v>3287208</v>
      </c>
      <c r="M11" s="92"/>
      <c r="N11" s="120">
        <f>SUM(N9:N10)</f>
        <v>122.66</v>
      </c>
      <c r="O11" s="92"/>
      <c r="P11" s="120">
        <f>SUM(P9:P10)</f>
        <v>0</v>
      </c>
      <c r="Q11" s="85"/>
      <c r="R11" s="120">
        <f>SUM(R9:R10)</f>
        <v>329.67999999999995</v>
      </c>
      <c r="S11" s="92"/>
      <c r="T11" s="120">
        <f>SUM(T9:T10)</f>
        <v>0</v>
      </c>
      <c r="U11" s="120"/>
      <c r="V11" s="120">
        <f>SUM(V9:V10)</f>
        <v>448.59000000000003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108138</v>
      </c>
      <c r="H29" s="29"/>
      <c r="I29" s="115">
        <v>108560</v>
      </c>
      <c r="J29" s="40"/>
      <c r="K29" s="40"/>
      <c r="L29" s="115">
        <v>105774</v>
      </c>
      <c r="M29" s="129"/>
      <c r="N29" s="115">
        <v>421.66</v>
      </c>
      <c r="O29" s="40" t="s">
        <v>31</v>
      </c>
      <c r="P29" s="115">
        <v>3237.84</v>
      </c>
      <c r="Q29" s="40"/>
      <c r="R29" s="115">
        <f>448.35+138.62+195.9+421.66</f>
        <v>1204.53</v>
      </c>
      <c r="S29" s="40" t="s">
        <v>31</v>
      </c>
      <c r="T29" s="115">
        <f>-3320.69000000001+4930.67-2440.93+3237.84</f>
        <v>2406.8899999999903</v>
      </c>
      <c r="U29" s="120"/>
      <c r="V29" s="115">
        <f>393.28+141.01+312.43+143.01</f>
        <v>989.73</v>
      </c>
      <c r="W29" s="40" t="s">
        <v>31</v>
      </c>
      <c r="X29" s="115">
        <f>4940.69-3769.93+3977.26+3274.48</f>
        <v>8422.5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5516588</v>
      </c>
      <c r="H31" s="29"/>
      <c r="I31" s="152">
        <v>5521424</v>
      </c>
      <c r="J31" s="40"/>
      <c r="K31" s="40"/>
      <c r="L31" s="152">
        <v>5346943</v>
      </c>
      <c r="M31" s="129"/>
      <c r="N31" s="38">
        <v>4836.8999999999996</v>
      </c>
      <c r="O31" s="40"/>
      <c r="P31" s="45">
        <v>0</v>
      </c>
      <c r="Q31" s="40"/>
      <c r="R31" s="38">
        <f>3751.67+6624.67+3798.96+4836.9</f>
        <v>19012.199999999997</v>
      </c>
      <c r="S31" s="40"/>
      <c r="T31" s="45">
        <v>0</v>
      </c>
      <c r="U31" s="93"/>
      <c r="V31" s="38">
        <f>3557.68+3999.52+5665.66+5052.46</f>
        <v>18275.32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770485</v>
      </c>
      <c r="H32" s="29"/>
      <c r="I32" s="45">
        <v>1048932</v>
      </c>
      <c r="J32" s="40"/>
      <c r="K32" s="40"/>
      <c r="L32" s="45">
        <v>655587</v>
      </c>
      <c r="M32" s="129"/>
      <c r="N32" s="38"/>
      <c r="O32" s="40"/>
      <c r="P32" s="45">
        <v>245208.78</v>
      </c>
      <c r="Q32" s="40"/>
      <c r="R32" s="38"/>
      <c r="S32" s="40"/>
      <c r="T32" s="45">
        <f>-91069.15+86096.29-168986+245208.78</f>
        <v>71249.920000000013</v>
      </c>
      <c r="U32" s="119"/>
      <c r="V32" s="38"/>
      <c r="W32" s="40"/>
      <c r="X32" s="45">
        <f>172367.61-120669.7+240175.23+156254.03</f>
        <v>448127.17000000004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30000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5832134</v>
      </c>
      <c r="H35" s="29"/>
      <c r="I35" s="116">
        <f>SUM(I29:I34)</f>
        <v>6115839</v>
      </c>
      <c r="J35" s="40"/>
      <c r="K35" s="40"/>
      <c r="L35" s="116">
        <f>SUM(L29:L34)</f>
        <v>5545227</v>
      </c>
      <c r="M35" s="129"/>
      <c r="N35" s="116">
        <f>SUM(N29:N34)</f>
        <v>5258.5599999999995</v>
      </c>
      <c r="O35" s="40"/>
      <c r="P35" s="116">
        <f>SUM(P29:P34)</f>
        <v>278446.62</v>
      </c>
      <c r="Q35" s="40"/>
      <c r="R35" s="116">
        <f>SUM(R29:R34)</f>
        <v>20216.729999999996</v>
      </c>
      <c r="S35" s="40"/>
      <c r="T35" s="116">
        <f>SUM(T29:T34)</f>
        <v>73656.81</v>
      </c>
      <c r="U35" s="120"/>
      <c r="V35" s="116">
        <f>SUM(V29:V34)</f>
        <v>19265.05</v>
      </c>
      <c r="W35" s="40"/>
      <c r="X35" s="116">
        <f>SUM(X29:X34)</f>
        <v>456549.67000000004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11857384.65</v>
      </c>
      <c r="H37" s="29"/>
      <c r="I37" s="107">
        <f>+I35+I25+I19+I11</f>
        <v>11069753.65</v>
      </c>
      <c r="J37" s="92"/>
      <c r="K37" s="92"/>
      <c r="L37" s="107">
        <f>+L35+L25+L19+L11</f>
        <v>9600866.6500000004</v>
      </c>
      <c r="M37" s="129"/>
      <c r="N37" s="107">
        <f>+N35+N25+N19+N11</f>
        <v>5381.2199999999993</v>
      </c>
      <c r="O37" s="92"/>
      <c r="P37" s="107">
        <f>+P35+P25+P19+P11</f>
        <v>278446.62</v>
      </c>
      <c r="Q37" s="92"/>
      <c r="R37" s="107">
        <f>+R35+R25+R19+R11</f>
        <v>20546.409999999996</v>
      </c>
      <c r="S37" s="92"/>
      <c r="T37" s="107">
        <f>+T35+T25+T19+T11</f>
        <v>73656.81</v>
      </c>
      <c r="U37" s="120"/>
      <c r="V37" s="107">
        <f>+V35+V25+V19+V11</f>
        <v>19713.64</v>
      </c>
      <c r="W37" s="92"/>
      <c r="X37" s="107">
        <f>+X35+X25+X19+X11</f>
        <v>456549.67000000004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3073569</v>
      </c>
      <c r="H39" s="29"/>
      <c r="I39" s="175">
        <v>3168497</v>
      </c>
      <c r="J39" s="92"/>
      <c r="K39" s="92"/>
      <c r="L39" s="175">
        <v>2412580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2650000</v>
      </c>
      <c r="H40" s="29"/>
      <c r="I40" s="120">
        <v>2700000</v>
      </c>
      <c r="J40" s="92"/>
      <c r="K40" s="92"/>
      <c r="L40" s="120">
        <v>2100000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2014
</oddFooter>
  </headerFooter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310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40511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319</v>
      </c>
      <c r="H6" s="102"/>
      <c r="I6" s="80" t="s">
        <v>320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1296847</v>
      </c>
      <c r="H9" s="102"/>
      <c r="I9" s="103">
        <v>552027</v>
      </c>
      <c r="J9" s="92"/>
      <c r="K9" s="92"/>
      <c r="L9" s="103">
        <v>710897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3.8356513406778439E-5</v>
      </c>
      <c r="F10" s="111"/>
      <c r="G10" s="111">
        <v>2888636</v>
      </c>
      <c r="H10" s="102"/>
      <c r="I10" s="111">
        <v>2888740</v>
      </c>
      <c r="J10" s="92"/>
      <c r="K10" s="92"/>
      <c r="L10" s="111">
        <v>1887710</v>
      </c>
      <c r="M10" s="92"/>
      <c r="N10" s="56">
        <v>110.8</v>
      </c>
      <c r="O10" s="92"/>
      <c r="P10" s="72"/>
      <c r="Q10" s="42"/>
      <c r="R10" s="56">
        <f>89.1+55+62.92+122.66+110.8</f>
        <v>440.47999999999996</v>
      </c>
      <c r="S10" s="92"/>
      <c r="T10" s="72"/>
      <c r="U10" s="86"/>
      <c r="V10" s="56">
        <f>125+114.02+110.23+99.34+92.8</f>
        <v>541.39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4185483</v>
      </c>
      <c r="H11" s="102"/>
      <c r="I11" s="103">
        <f>SUM(I9:I10)</f>
        <v>3440767</v>
      </c>
      <c r="J11" s="92"/>
      <c r="K11" s="92"/>
      <c r="L11" s="103">
        <f>SUM(L9:L10)</f>
        <v>2598607</v>
      </c>
      <c r="M11" s="92"/>
      <c r="N11" s="120">
        <f>SUM(N9:N10)</f>
        <v>110.8</v>
      </c>
      <c r="O11" s="92"/>
      <c r="P11" s="120">
        <f>SUM(P9:P10)</f>
        <v>0</v>
      </c>
      <c r="Q11" s="85"/>
      <c r="R11" s="120">
        <f>SUM(R9:R10)</f>
        <v>440.47999999999996</v>
      </c>
      <c r="S11" s="92"/>
      <c r="T11" s="120">
        <f>SUM(T9:T10)</f>
        <v>0</v>
      </c>
      <c r="U11" s="120"/>
      <c r="V11" s="120">
        <f>SUM(V9:V10)</f>
        <v>541.39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108560</v>
      </c>
      <c r="H29" s="29"/>
      <c r="I29" s="115">
        <v>108698</v>
      </c>
      <c r="J29" s="40"/>
      <c r="K29" s="40"/>
      <c r="L29" s="115">
        <v>105914</v>
      </c>
      <c r="M29" s="129"/>
      <c r="N29" s="115">
        <v>138</v>
      </c>
      <c r="O29" s="40" t="s">
        <v>31</v>
      </c>
      <c r="P29" s="115">
        <v>3290.63</v>
      </c>
      <c r="Q29" s="40"/>
      <c r="R29" s="115">
        <f>448.35+138.62+195.9+421.66+138</f>
        <v>1342.53</v>
      </c>
      <c r="S29" s="40" t="s">
        <v>31</v>
      </c>
      <c r="T29" s="115">
        <f>-3320.69000000001+4930.67-2440.93+3237.84+3290.63</f>
        <v>5697.5199999999904</v>
      </c>
      <c r="U29" s="120"/>
      <c r="V29" s="115">
        <f>393.28+141.01+312.43+143.01+139.77</f>
        <v>1129.5</v>
      </c>
      <c r="W29" s="40" t="s">
        <v>31</v>
      </c>
      <c r="X29" s="115">
        <f>4940.69-3769.93+3977.26+3274.48+2453.59</f>
        <v>10876.09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5521424</v>
      </c>
      <c r="H31" s="29"/>
      <c r="I31" s="152">
        <v>5524655</v>
      </c>
      <c r="J31" s="40"/>
      <c r="K31" s="40"/>
      <c r="L31" s="152">
        <v>5351196</v>
      </c>
      <c r="M31" s="129"/>
      <c r="N31" s="38">
        <v>3230.51</v>
      </c>
      <c r="O31" s="40"/>
      <c r="P31" s="45">
        <v>0</v>
      </c>
      <c r="Q31" s="40"/>
      <c r="R31" s="38">
        <f>3751.67+6624.67+3798.96+4836.9+3230.51</f>
        <v>22242.71</v>
      </c>
      <c r="S31" s="40"/>
      <c r="T31" s="45">
        <v>0</v>
      </c>
      <c r="U31" s="93"/>
      <c r="V31" s="38">
        <f>3557.68+3999.52+5665.66+5052.46+4252.62</f>
        <v>22527.94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1048932</v>
      </c>
      <c r="H32" s="29"/>
      <c r="I32" s="45">
        <v>1120424</v>
      </c>
      <c r="J32" s="40"/>
      <c r="K32" s="40"/>
      <c r="L32" s="45">
        <v>715938</v>
      </c>
      <c r="M32" s="129"/>
      <c r="N32" s="38"/>
      <c r="O32" s="40"/>
      <c r="P32" s="45">
        <v>68202.600000000006</v>
      </c>
      <c r="Q32" s="40"/>
      <c r="R32" s="38"/>
      <c r="S32" s="40"/>
      <c r="T32" s="45">
        <f>-91069.15+86096.29-168986+245208.78+68202.6</f>
        <v>139452.52000000002</v>
      </c>
      <c r="U32" s="119"/>
      <c r="V32" s="38"/>
      <c r="W32" s="40"/>
      <c r="X32" s="45">
        <f>172367.61-120669.7+240175.23+156254.03+57897.91</f>
        <v>506025.08000000007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6115839</v>
      </c>
      <c r="H35" s="29"/>
      <c r="I35" s="116">
        <f>SUM(I29:I34)</f>
        <v>6190700</v>
      </c>
      <c r="J35" s="40"/>
      <c r="K35" s="40"/>
      <c r="L35" s="116">
        <f>SUM(L29:L34)</f>
        <v>5609971</v>
      </c>
      <c r="M35" s="129"/>
      <c r="N35" s="116">
        <f>SUM(N29:N34)</f>
        <v>3368.51</v>
      </c>
      <c r="O35" s="40"/>
      <c r="P35" s="116">
        <f>SUM(P29:P34)</f>
        <v>71493.23000000001</v>
      </c>
      <c r="Q35" s="40"/>
      <c r="R35" s="116">
        <f>SUM(R29:R34)</f>
        <v>23585.239999999998</v>
      </c>
      <c r="S35" s="40"/>
      <c r="T35" s="116">
        <f>SUM(T29:T34)</f>
        <v>145150.04</v>
      </c>
      <c r="U35" s="120"/>
      <c r="V35" s="116">
        <f>SUM(V29:V34)</f>
        <v>23657.439999999999</v>
      </c>
      <c r="W35" s="40"/>
      <c r="X35" s="116">
        <f>SUM(X29:X34)</f>
        <v>516901.1700000001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11069753.65</v>
      </c>
      <c r="H37" s="29"/>
      <c r="I37" s="107">
        <f>+I35+I25+I19+I11</f>
        <v>10399898.65</v>
      </c>
      <c r="J37" s="92"/>
      <c r="K37" s="92"/>
      <c r="L37" s="107">
        <f>+L35+L25+L19+L11</f>
        <v>8977009.6500000004</v>
      </c>
      <c r="M37" s="129"/>
      <c r="N37" s="107">
        <f>+N35+N25+N19+N11</f>
        <v>3479.3100000000004</v>
      </c>
      <c r="O37" s="92"/>
      <c r="P37" s="107">
        <f>+P35+P25+P19+P11</f>
        <v>71493.23000000001</v>
      </c>
      <c r="Q37" s="92"/>
      <c r="R37" s="107">
        <f>+R35+R25+R19+R11</f>
        <v>24025.719999999998</v>
      </c>
      <c r="S37" s="92"/>
      <c r="T37" s="107">
        <f>+T35+T25+T19+T11</f>
        <v>145150.04</v>
      </c>
      <c r="U37" s="120"/>
      <c r="V37" s="107">
        <f>+V35+V25+V19+V11</f>
        <v>24198.829999999998</v>
      </c>
      <c r="W37" s="92"/>
      <c r="X37" s="107">
        <f>+X35+X25+X19+X11</f>
        <v>516901.1700000001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3168497</v>
      </c>
      <c r="H39" s="29"/>
      <c r="I39" s="175">
        <v>3239841.06</v>
      </c>
      <c r="J39" s="92"/>
      <c r="K39" s="92"/>
      <c r="L39" s="175">
        <v>2468166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2700000</v>
      </c>
      <c r="H40" s="29"/>
      <c r="I40" s="120">
        <v>2750000</v>
      </c>
      <c r="J40" s="92"/>
      <c r="K40" s="92"/>
      <c r="L40" s="120">
        <v>2150000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2014
</oddFoot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310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40541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321</v>
      </c>
      <c r="H6" s="102"/>
      <c r="I6" s="80" t="s">
        <v>322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552027</v>
      </c>
      <c r="H9" s="102"/>
      <c r="I9" s="103">
        <v>56747</v>
      </c>
      <c r="J9" s="92"/>
      <c r="K9" s="92"/>
      <c r="L9" s="103">
        <v>678624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4.520559823857749E-5</v>
      </c>
      <c r="F10" s="111"/>
      <c r="G10" s="111">
        <v>2888740</v>
      </c>
      <c r="H10" s="102"/>
      <c r="I10" s="111">
        <v>2888863</v>
      </c>
      <c r="J10" s="92"/>
      <c r="K10" s="92"/>
      <c r="L10" s="111">
        <v>1387776</v>
      </c>
      <c r="M10" s="92"/>
      <c r="N10" s="56">
        <v>130.59</v>
      </c>
      <c r="O10" s="92"/>
      <c r="P10" s="72"/>
      <c r="Q10" s="42"/>
      <c r="R10" s="56">
        <f>89.1+55+62.92+122.66+110.8+130.59</f>
        <v>571.06999999999994</v>
      </c>
      <c r="S10" s="92"/>
      <c r="T10" s="72"/>
      <c r="U10" s="86"/>
      <c r="V10" s="56">
        <f>125+114.02+110.23+99.34+92.8+72</f>
        <v>613.39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3440767</v>
      </c>
      <c r="H11" s="102"/>
      <c r="I11" s="103">
        <f>SUM(I9:I10)</f>
        <v>2945610</v>
      </c>
      <c r="J11" s="92"/>
      <c r="K11" s="92"/>
      <c r="L11" s="103">
        <f>SUM(L9:L10)</f>
        <v>2066400</v>
      </c>
      <c r="M11" s="92"/>
      <c r="N11" s="120">
        <f>SUM(N9:N10)</f>
        <v>130.59</v>
      </c>
      <c r="O11" s="92"/>
      <c r="P11" s="120">
        <f>SUM(P9:P10)</f>
        <v>0</v>
      </c>
      <c r="Q11" s="85"/>
      <c r="R11" s="120">
        <f>SUM(R9:R10)</f>
        <v>571.06999999999994</v>
      </c>
      <c r="S11" s="92"/>
      <c r="T11" s="120">
        <f>SUM(T9:T10)</f>
        <v>0</v>
      </c>
      <c r="U11" s="120"/>
      <c r="V11" s="120">
        <f>SUM(V9:V10)</f>
        <v>613.39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108698</v>
      </c>
      <c r="H29" s="29"/>
      <c r="I29" s="115">
        <v>108975</v>
      </c>
      <c r="J29" s="40"/>
      <c r="K29" s="40"/>
      <c r="L29" s="115">
        <v>106369</v>
      </c>
      <c r="M29" s="129"/>
      <c r="N29" s="115">
        <v>276.47000000000003</v>
      </c>
      <c r="O29" s="40" t="s">
        <v>31</v>
      </c>
      <c r="P29" s="115">
        <v>-655.21</v>
      </c>
      <c r="Q29" s="40"/>
      <c r="R29" s="115">
        <f>448.35+138.62+195.9+421.66+138+276.47</f>
        <v>1619</v>
      </c>
      <c r="S29" s="40" t="s">
        <v>31</v>
      </c>
      <c r="T29" s="115">
        <f>-3320.69000000001+4930.67-2440.93+3237.84+3290.63-655.21</f>
        <v>5042.3099999999904</v>
      </c>
      <c r="U29" s="120"/>
      <c r="V29" s="115">
        <f>393.28+141.01+312.43+143.01+139.77+454.88</f>
        <v>1584.38</v>
      </c>
      <c r="W29" s="40" t="s">
        <v>31</v>
      </c>
      <c r="X29" s="115">
        <f>4940.69-3769.93+3977.26+3274.48+2453.59+1517.92</f>
        <v>12394.01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5524655</v>
      </c>
      <c r="H31" s="29"/>
      <c r="I31" s="152">
        <v>5690201</v>
      </c>
      <c r="J31" s="40"/>
      <c r="K31" s="40"/>
      <c r="L31" s="152">
        <v>5458117</v>
      </c>
      <c r="M31" s="129"/>
      <c r="N31" s="38">
        <v>165546.35</v>
      </c>
      <c r="O31" s="40"/>
      <c r="P31" s="45">
        <v>0</v>
      </c>
      <c r="Q31" s="40"/>
      <c r="R31" s="38">
        <f>3751.67+6624.67+3798.96+4836.9+3230.51+165546.35</f>
        <v>187789.06</v>
      </c>
      <c r="S31" s="40"/>
      <c r="T31" s="45">
        <v>0</v>
      </c>
      <c r="U31" s="93"/>
      <c r="V31" s="38">
        <f>3557.68+3999.52+5665.66+5052.46+4252.62+106921.27</f>
        <v>129449.21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1120424</v>
      </c>
      <c r="H32" s="29"/>
      <c r="I32" s="45">
        <v>880199</v>
      </c>
      <c r="J32" s="40"/>
      <c r="K32" s="40"/>
      <c r="L32" s="45">
        <v>698174</v>
      </c>
      <c r="M32" s="129"/>
      <c r="N32" s="38"/>
      <c r="O32" s="40"/>
      <c r="P32" s="45">
        <v>-239569.99</v>
      </c>
      <c r="Q32" s="40"/>
      <c r="R32" s="38"/>
      <c r="S32" s="40"/>
      <c r="T32" s="45">
        <f>-91069.15+86096.29-168986+245208.78+68202.6-239570</f>
        <v>-100117.47999999998</v>
      </c>
      <c r="U32" s="119"/>
      <c r="V32" s="38"/>
      <c r="W32" s="40"/>
      <c r="X32" s="45">
        <f>172367.61-120669.7+240175.23+156254.03+57897.91-19281.71</f>
        <v>486743.37000000005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6190700</v>
      </c>
      <c r="H35" s="29"/>
      <c r="I35" s="116">
        <f>SUM(I29:I34)</f>
        <v>6116298</v>
      </c>
      <c r="J35" s="40"/>
      <c r="K35" s="40"/>
      <c r="L35" s="116">
        <f>SUM(L29:L34)</f>
        <v>5699583</v>
      </c>
      <c r="M35" s="129"/>
      <c r="N35" s="116">
        <f>SUM(N29:N34)</f>
        <v>165822.82</v>
      </c>
      <c r="O35" s="40"/>
      <c r="P35" s="116">
        <f>SUM(P29:P34)</f>
        <v>-240225.19999999998</v>
      </c>
      <c r="Q35" s="40"/>
      <c r="R35" s="116">
        <f>SUM(R29:R34)</f>
        <v>189408.06</v>
      </c>
      <c r="S35" s="40"/>
      <c r="T35" s="116">
        <f>SUM(T29:T34)</f>
        <v>-95075.169999999984</v>
      </c>
      <c r="U35" s="120"/>
      <c r="V35" s="116">
        <f>SUM(V29:V34)</f>
        <v>131033.59000000001</v>
      </c>
      <c r="W35" s="40"/>
      <c r="X35" s="116">
        <f>SUM(X29:X34)</f>
        <v>499137.38000000006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10399898.65</v>
      </c>
      <c r="H37" s="29"/>
      <c r="I37" s="107">
        <f>+I35+I25+I19+I11</f>
        <v>9830339.6500000004</v>
      </c>
      <c r="J37" s="92"/>
      <c r="K37" s="92"/>
      <c r="L37" s="107">
        <f>+L35+L25+L19+L11</f>
        <v>8534414.6500000004</v>
      </c>
      <c r="M37" s="129"/>
      <c r="N37" s="107">
        <f>+N35+N25+N19+N11</f>
        <v>165953.41</v>
      </c>
      <c r="O37" s="92"/>
      <c r="P37" s="107">
        <f>+P35+P25+P19+P11</f>
        <v>-240225.19999999998</v>
      </c>
      <c r="Q37" s="92"/>
      <c r="R37" s="107">
        <f>+R35+R25+R19+R11</f>
        <v>189979.13</v>
      </c>
      <c r="S37" s="92"/>
      <c r="T37" s="107">
        <f>+T35+T25+T19+T11</f>
        <v>-95075.169999999984</v>
      </c>
      <c r="U37" s="120"/>
      <c r="V37" s="107">
        <f>+V35+V25+V19+V11</f>
        <v>131646.98000000001</v>
      </c>
      <c r="W37" s="92"/>
      <c r="X37" s="107">
        <f>+X35+X25+X19+X11</f>
        <v>499137.38000000006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3239841.06</v>
      </c>
      <c r="H39" s="29"/>
      <c r="I39" s="175">
        <v>3266207.44</v>
      </c>
      <c r="J39" s="92"/>
      <c r="K39" s="92"/>
      <c r="L39" s="175">
        <v>2531200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2750000</v>
      </c>
      <c r="H40" s="29"/>
      <c r="I40" s="120">
        <v>2800000</v>
      </c>
      <c r="J40" s="92"/>
      <c r="K40" s="92"/>
      <c r="L40" s="120">
        <v>2200000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2014
</oddFoot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310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40573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323</v>
      </c>
      <c r="H6" s="102"/>
      <c r="I6" s="80" t="s">
        <v>324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56747</v>
      </c>
      <c r="H9" s="102"/>
      <c r="I9" s="103">
        <v>1765227</v>
      </c>
      <c r="J9" s="92"/>
      <c r="K9" s="92"/>
      <c r="L9" s="103">
        <v>2167298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4.109921446603733E-5</v>
      </c>
      <c r="F10" s="111"/>
      <c r="G10" s="111">
        <v>2888863</v>
      </c>
      <c r="H10" s="102"/>
      <c r="I10" s="111">
        <v>2888863</v>
      </c>
      <c r="J10" s="92"/>
      <c r="K10" s="92"/>
      <c r="L10" s="111">
        <v>887813</v>
      </c>
      <c r="M10" s="92"/>
      <c r="N10" s="56">
        <v>118.73</v>
      </c>
      <c r="O10" s="92"/>
      <c r="P10" s="72"/>
      <c r="Q10" s="42"/>
      <c r="R10" s="56">
        <f>89.1+55+62.92+122.66+110.8+130.59+118.73</f>
        <v>689.8</v>
      </c>
      <c r="S10" s="92"/>
      <c r="T10" s="72"/>
      <c r="U10" s="86"/>
      <c r="V10" s="56">
        <f>125+114.02+110.23+99.34+92.8+72+43.86</f>
        <v>657.25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2945610</v>
      </c>
      <c r="H11" s="102"/>
      <c r="I11" s="103">
        <f>SUM(I9:I10)</f>
        <v>4654090</v>
      </c>
      <c r="J11" s="92"/>
      <c r="K11" s="92"/>
      <c r="L11" s="103">
        <f>SUM(L9:L10)</f>
        <v>3055111</v>
      </c>
      <c r="M11" s="92"/>
      <c r="N11" s="120">
        <f>SUM(N9:N10)</f>
        <v>118.73</v>
      </c>
      <c r="O11" s="92"/>
      <c r="P11" s="120">
        <f>SUM(P9:P10)</f>
        <v>0</v>
      </c>
      <c r="Q11" s="85"/>
      <c r="R11" s="120">
        <f>SUM(R9:R10)</f>
        <v>689.8</v>
      </c>
      <c r="S11" s="92"/>
      <c r="T11" s="120">
        <f>SUM(T9:T10)</f>
        <v>0</v>
      </c>
      <c r="U11" s="120"/>
      <c r="V11" s="120">
        <f>SUM(V9:V10)</f>
        <v>657.25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108975</v>
      </c>
      <c r="H29" s="29"/>
      <c r="I29" s="115">
        <v>109396</v>
      </c>
      <c r="J29" s="40"/>
      <c r="K29" s="40"/>
      <c r="L29" s="115">
        <v>106470</v>
      </c>
      <c r="M29" s="129"/>
      <c r="N29" s="115">
        <v>421.5</v>
      </c>
      <c r="O29" s="40" t="s">
        <v>31</v>
      </c>
      <c r="P29" s="115">
        <v>-2531.9499999999998</v>
      </c>
      <c r="Q29" s="40"/>
      <c r="R29" s="115">
        <f>448.35+138.62+195.9+421.66+138+276.47+421.5</f>
        <v>2040.5</v>
      </c>
      <c r="S29" s="40" t="s">
        <v>31</v>
      </c>
      <c r="T29" s="115">
        <f>-3320.69000000001+4930.67-2440.93+3237.84+3290.63-655.21-2531.95</f>
        <v>2510.3599999999906</v>
      </c>
      <c r="U29" s="120"/>
      <c r="V29" s="115">
        <f>393.28+141.01+312.43+143.01+139.77+454.88+101.1</f>
        <v>1685.48</v>
      </c>
      <c r="W29" s="40" t="s">
        <v>31</v>
      </c>
      <c r="X29" s="115">
        <f>4940.69-3769.93+3977.26+3274.48+2453.59+1517.92-2689.95</f>
        <v>9704.0600000000013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5690201</v>
      </c>
      <c r="H31" s="29"/>
      <c r="I31" s="152">
        <v>5706921</v>
      </c>
      <c r="J31" s="40"/>
      <c r="K31" s="40"/>
      <c r="L31" s="152">
        <v>5480965</v>
      </c>
      <c r="M31" s="129"/>
      <c r="N31" s="38">
        <v>16719.75</v>
      </c>
      <c r="O31" s="40"/>
      <c r="P31" s="45">
        <v>0</v>
      </c>
      <c r="Q31" s="40"/>
      <c r="R31" s="38">
        <f>3751.67+6624.67+3798.96+4836.9+3230.51+165546.35+16719.25</f>
        <v>204508.31</v>
      </c>
      <c r="S31" s="40"/>
      <c r="T31" s="45">
        <v>0</v>
      </c>
      <c r="U31" s="93"/>
      <c r="V31" s="38">
        <f>3557.68+3999.52+5665.66+5052.46+4252.62+106921.27+22847.89</f>
        <v>152297.1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880199</v>
      </c>
      <c r="H32" s="29"/>
      <c r="I32" s="45">
        <v>824297</v>
      </c>
      <c r="J32" s="40"/>
      <c r="K32" s="40"/>
      <c r="L32" s="45">
        <v>518807</v>
      </c>
      <c r="M32" s="129"/>
      <c r="N32" s="38"/>
      <c r="O32" s="40"/>
      <c r="P32" s="45">
        <v>-53370.35</v>
      </c>
      <c r="Q32" s="40"/>
      <c r="R32" s="38"/>
      <c r="S32" s="40"/>
      <c r="T32" s="45">
        <f>-91069.15+86096.29-168986+245208.78+68202.6-239570-53370.35</f>
        <v>-153487.82999999999</v>
      </c>
      <c r="U32" s="119"/>
      <c r="V32" s="38"/>
      <c r="W32" s="40"/>
      <c r="X32" s="45">
        <f>172367.61-120669.7+240175.23+156254.03+57897.91-19281.71-176676.8</f>
        <v>310066.57000000007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6116298</v>
      </c>
      <c r="H35" s="29"/>
      <c r="I35" s="116">
        <f>SUM(I29:I34)</f>
        <v>6077537</v>
      </c>
      <c r="J35" s="40"/>
      <c r="K35" s="40"/>
      <c r="L35" s="116">
        <f>SUM(L29:L34)</f>
        <v>5543165</v>
      </c>
      <c r="M35" s="129"/>
      <c r="N35" s="116">
        <f>SUM(N29:N34)</f>
        <v>17141.25</v>
      </c>
      <c r="O35" s="40"/>
      <c r="P35" s="116">
        <f>SUM(P29:P34)</f>
        <v>-55902.299999999996</v>
      </c>
      <c r="Q35" s="40"/>
      <c r="R35" s="116">
        <f>SUM(R29:R34)</f>
        <v>206548.81</v>
      </c>
      <c r="S35" s="40"/>
      <c r="T35" s="116">
        <f>SUM(T29:T34)</f>
        <v>-150977.47</v>
      </c>
      <c r="U35" s="120"/>
      <c r="V35" s="116">
        <f>SUM(V29:V34)</f>
        <v>153982.58000000002</v>
      </c>
      <c r="W35" s="40"/>
      <c r="X35" s="116">
        <f>SUM(X29:X34)</f>
        <v>319770.63000000006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9830339.6500000004</v>
      </c>
      <c r="H37" s="29"/>
      <c r="I37" s="107">
        <f>+I35+I25+I19+I11</f>
        <v>11500058.65</v>
      </c>
      <c r="J37" s="92"/>
      <c r="K37" s="92"/>
      <c r="L37" s="107">
        <f>+L35+L25+L19+L11</f>
        <v>9366707.6500000004</v>
      </c>
      <c r="M37" s="129"/>
      <c r="N37" s="107">
        <f>+N35+N25+N19+N11</f>
        <v>17259.98</v>
      </c>
      <c r="O37" s="92"/>
      <c r="P37" s="107">
        <f>+P35+P25+P19+P11</f>
        <v>-55902.299999999996</v>
      </c>
      <c r="Q37" s="92"/>
      <c r="R37" s="107">
        <f>+R35+R25+R19+R11</f>
        <v>207238.61</v>
      </c>
      <c r="S37" s="92"/>
      <c r="T37" s="107">
        <f>+T35+T25+T19+T11</f>
        <v>-150977.47</v>
      </c>
      <c r="U37" s="120"/>
      <c r="V37" s="107">
        <f>+V35+V25+V19+V11</f>
        <v>154639.83000000002</v>
      </c>
      <c r="W37" s="92"/>
      <c r="X37" s="107">
        <f>+X35+X25+X19+X11</f>
        <v>319770.63000000006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3266207.44</v>
      </c>
      <c r="H39" s="29"/>
      <c r="I39" s="175">
        <v>3310672.9</v>
      </c>
      <c r="J39" s="92"/>
      <c r="K39" s="92"/>
      <c r="L39" s="175">
        <v>2551857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2800000</v>
      </c>
      <c r="H40" s="29"/>
      <c r="I40" s="120">
        <v>2850000</v>
      </c>
      <c r="J40" s="92"/>
      <c r="K40" s="92"/>
      <c r="L40" s="120">
        <v>2250000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2015
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T50"/>
  <sheetViews>
    <sheetView topLeftCell="A2" workbookViewId="0">
      <pane xSplit="2" ySplit="7" topLeftCell="D16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55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37773</v>
      </c>
      <c r="I7" s="4"/>
      <c r="J7" s="18">
        <v>37745</v>
      </c>
      <c r="K7" s="4"/>
      <c r="L7" s="18">
        <v>37402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4.9000000000000004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4714</v>
      </c>
      <c r="Q11" s="13"/>
      <c r="R11" s="12">
        <v>3789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4.9000000000000004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126782</v>
      </c>
      <c r="I14" s="13"/>
      <c r="J14" s="12">
        <v>126282</v>
      </c>
      <c r="K14" s="13"/>
      <c r="L14" s="12">
        <v>127579</v>
      </c>
      <c r="M14" s="13"/>
      <c r="N14" s="12">
        <v>500</v>
      </c>
      <c r="O14" s="13"/>
      <c r="P14" s="12">
        <v>5659</v>
      </c>
      <c r="Q14" s="13"/>
      <c r="R14" s="12">
        <v>4559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73436</v>
      </c>
      <c r="I15" s="13"/>
      <c r="J15" s="15">
        <v>73236</v>
      </c>
      <c r="K15" s="13"/>
      <c r="L15" s="15">
        <v>69971</v>
      </c>
      <c r="M15" s="13"/>
      <c r="N15" s="15">
        <v>200</v>
      </c>
      <c r="O15" s="13"/>
      <c r="P15" s="15">
        <v>2983</v>
      </c>
      <c r="Q15" s="13"/>
      <c r="R15" s="15">
        <v>2200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763295</v>
      </c>
      <c r="I17" s="13"/>
      <c r="J17" s="16">
        <f>SUM(J11:J15)</f>
        <v>762595</v>
      </c>
      <c r="K17" s="13"/>
      <c r="L17" s="16">
        <f>SUM(L11:L15)</f>
        <v>760627</v>
      </c>
      <c r="M17" s="13"/>
      <c r="N17" s="16">
        <f>SUM(N11:N15)</f>
        <v>1116</v>
      </c>
      <c r="O17" s="13"/>
      <c r="P17" s="16">
        <f>SUM(P11:P15)</f>
        <v>13356</v>
      </c>
      <c r="Q17" s="13"/>
      <c r="R17" s="16">
        <f>SUM(R11:R15)</f>
        <v>10548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4.5999999999999996</v>
      </c>
      <c r="G24" s="7"/>
      <c r="H24" s="15">
        <v>418680</v>
      </c>
      <c r="I24" s="13"/>
      <c r="J24" s="15">
        <v>417170</v>
      </c>
      <c r="K24" s="15">
        <v>425705</v>
      </c>
      <c r="L24" s="15">
        <v>446045</v>
      </c>
      <c r="M24" s="13"/>
      <c r="N24" s="15">
        <v>1510</v>
      </c>
      <c r="O24" s="13"/>
      <c r="P24" s="15">
        <v>23713</v>
      </c>
      <c r="Q24" s="13"/>
      <c r="R24" s="15">
        <v>16785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418680</v>
      </c>
      <c r="I26" s="13"/>
      <c r="J26" s="16">
        <f>SUM(J23:J24)</f>
        <v>417170</v>
      </c>
      <c r="K26" s="13"/>
      <c r="L26" s="16">
        <f>SUM(L23:L24)</f>
        <v>446045</v>
      </c>
      <c r="M26" s="13"/>
      <c r="N26" s="16">
        <f>SUM(N23:N24)</f>
        <v>1510</v>
      </c>
      <c r="O26" s="13"/>
      <c r="P26" s="16">
        <f>SUM(P23:P24)</f>
        <v>23713</v>
      </c>
      <c r="Q26" s="13"/>
      <c r="R26" s="16">
        <f>SUM(R23:R24)</f>
        <v>16785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4.55</v>
      </c>
      <c r="G32" s="7"/>
      <c r="H32" s="12">
        <v>1317802</v>
      </c>
      <c r="I32" s="13"/>
      <c r="J32" s="12">
        <v>1312199</v>
      </c>
      <c r="K32" s="13"/>
      <c r="L32" s="12">
        <v>1312184</v>
      </c>
      <c r="M32" s="13"/>
      <c r="N32" s="12">
        <v>5603</v>
      </c>
      <c r="O32" s="13" t="s">
        <v>31</v>
      </c>
      <c r="P32" s="12">
        <v>60367</v>
      </c>
      <c r="Q32" s="13"/>
      <c r="R32" s="12">
        <v>50845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5053</v>
      </c>
      <c r="I34" s="13"/>
      <c r="J34" s="12">
        <v>5033</v>
      </c>
      <c r="K34" s="13"/>
      <c r="L34" s="12">
        <v>4821</v>
      </c>
      <c r="M34" s="13"/>
      <c r="N34" s="12">
        <v>20</v>
      </c>
      <c r="O34" s="13"/>
      <c r="P34" s="12">
        <v>211</v>
      </c>
      <c r="Q34" s="13"/>
      <c r="R34" s="12">
        <v>152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4.9000000000000004</v>
      </c>
      <c r="G35" s="7"/>
      <c r="H35" s="15">
        <v>7523080</v>
      </c>
      <c r="I35" s="13"/>
      <c r="J35" s="15">
        <v>7489576</v>
      </c>
      <c r="K35" s="13"/>
      <c r="L35" s="15">
        <v>6607903</v>
      </c>
      <c r="M35" s="13"/>
      <c r="N35" s="15">
        <v>33088</v>
      </c>
      <c r="O35" s="13"/>
      <c r="P35" s="15">
        <v>381970</v>
      </c>
      <c r="Q35" s="13"/>
      <c r="R35" s="15">
        <v>259305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8854494</v>
      </c>
      <c r="I37" s="13"/>
      <c r="J37" s="16">
        <f>SUM(J32:J35)</f>
        <v>8815367</v>
      </c>
      <c r="K37" s="13"/>
      <c r="L37" s="16">
        <f>SUM(L32:L35)</f>
        <v>7933532</v>
      </c>
      <c r="M37" s="13"/>
      <c r="N37" s="16">
        <f>SUM(N32:N35)</f>
        <v>38711</v>
      </c>
      <c r="O37" s="13"/>
      <c r="P37" s="16">
        <f>SUM(P32:P35)</f>
        <v>442548</v>
      </c>
      <c r="Q37" s="13"/>
      <c r="R37" s="16">
        <f>SUM(R32:R35)</f>
        <v>310302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310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40601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325</v>
      </c>
      <c r="H6" s="102"/>
      <c r="I6" s="80" t="s">
        <v>326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1765227</v>
      </c>
      <c r="H9" s="102"/>
      <c r="I9" s="103">
        <v>949498</v>
      </c>
      <c r="J9" s="92"/>
      <c r="K9" s="92"/>
      <c r="L9" s="103">
        <v>1246960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3.4129754264740745E-5</v>
      </c>
      <c r="F10" s="111"/>
      <c r="G10" s="111">
        <v>2888863</v>
      </c>
      <c r="H10" s="102"/>
      <c r="I10" s="111">
        <v>4889101</v>
      </c>
      <c r="J10" s="92"/>
      <c r="K10" s="92"/>
      <c r="L10" s="111">
        <v>1887862</v>
      </c>
      <c r="M10" s="92"/>
      <c r="N10" s="56">
        <v>132.72999999999999</v>
      </c>
      <c r="O10" s="92"/>
      <c r="P10" s="72"/>
      <c r="Q10" s="42"/>
      <c r="R10" s="56">
        <f>89.1+55+62.92+122.66+110.8+130.59+118.73+132.73</f>
        <v>822.53</v>
      </c>
      <c r="S10" s="92"/>
      <c r="T10" s="72"/>
      <c r="U10" s="86"/>
      <c r="V10" s="56">
        <f>125+114.02+110.23+99.34+92.8+72+43.86+55.97</f>
        <v>713.22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4654090</v>
      </c>
      <c r="H11" s="102"/>
      <c r="I11" s="103">
        <f>SUM(I9:I10)</f>
        <v>5838599</v>
      </c>
      <c r="J11" s="92"/>
      <c r="K11" s="92"/>
      <c r="L11" s="103">
        <f>SUM(L9:L10)</f>
        <v>3134822</v>
      </c>
      <c r="M11" s="92"/>
      <c r="N11" s="120">
        <f>SUM(N9:N10)</f>
        <v>132.72999999999999</v>
      </c>
      <c r="O11" s="92"/>
      <c r="P11" s="120">
        <f>SUM(P9:P10)</f>
        <v>0</v>
      </c>
      <c r="Q11" s="85"/>
      <c r="R11" s="120">
        <f>SUM(R9:R10)</f>
        <v>822.53</v>
      </c>
      <c r="S11" s="92"/>
      <c r="T11" s="120">
        <f>SUM(T9:T10)</f>
        <v>0</v>
      </c>
      <c r="U11" s="120"/>
      <c r="V11" s="120">
        <f>SUM(V9:V10)</f>
        <v>713.22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109396</v>
      </c>
      <c r="H29" s="29"/>
      <c r="I29" s="115">
        <v>109531</v>
      </c>
      <c r="J29" s="40"/>
      <c r="K29" s="40"/>
      <c r="L29" s="115">
        <v>106613</v>
      </c>
      <c r="M29" s="129"/>
      <c r="N29" s="115">
        <v>135.19999999999999</v>
      </c>
      <c r="O29" s="40" t="s">
        <v>31</v>
      </c>
      <c r="P29" s="115">
        <v>5380.35</v>
      </c>
      <c r="Q29" s="40"/>
      <c r="R29" s="115">
        <f>448.35+138.62+195.9+421.66+138+276.47+421.5+135.2</f>
        <v>2175.6999999999998</v>
      </c>
      <c r="S29" s="40" t="s">
        <v>31</v>
      </c>
      <c r="T29" s="115">
        <f>-3320.69000000001+4930.67-2440.93+3237.84+3290.63-655.21-2531.95+5380.35</f>
        <v>7890.7099999999909</v>
      </c>
      <c r="U29" s="120"/>
      <c r="V29" s="115">
        <f>393.28+141.01+312.43+143.01+139.77+454.88+101.1+142.92</f>
        <v>1828.4</v>
      </c>
      <c r="W29" s="40" t="s">
        <v>31</v>
      </c>
      <c r="X29" s="115">
        <f>4940.69-3769.93+3977.26+3274.48+2453.59+1517.92-2689.95+4910.59</f>
        <v>14614.650000000001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5706921</v>
      </c>
      <c r="H31" s="29"/>
      <c r="I31" s="152">
        <v>5710538</v>
      </c>
      <c r="J31" s="40"/>
      <c r="K31" s="40"/>
      <c r="L31" s="152">
        <v>5485075</v>
      </c>
      <c r="M31" s="129"/>
      <c r="N31" s="38">
        <v>3616.59</v>
      </c>
      <c r="O31" s="40"/>
      <c r="P31" s="45">
        <v>0</v>
      </c>
      <c r="Q31" s="40"/>
      <c r="R31" s="38">
        <f>3751.67+6624.67+3798.96+4836.9+3230.51+165546.35+16719.25+3616.59</f>
        <v>208124.9</v>
      </c>
      <c r="S31" s="40"/>
      <c r="T31" s="45">
        <v>0</v>
      </c>
      <c r="U31" s="93"/>
      <c r="V31" s="38">
        <f>3557.68+3999.52+5665.66+5052.46+4252.62+106921.27+22847.89+4109.92</f>
        <v>156407.02000000002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824297</v>
      </c>
      <c r="H32" s="29"/>
      <c r="I32" s="45">
        <v>1085887</v>
      </c>
      <c r="J32" s="40"/>
      <c r="K32" s="40"/>
      <c r="L32" s="45">
        <v>737735</v>
      </c>
      <c r="M32" s="129"/>
      <c r="N32" s="38"/>
      <c r="O32" s="40"/>
      <c r="P32" s="45">
        <v>256210.34</v>
      </c>
      <c r="Q32" s="40"/>
      <c r="R32" s="38"/>
      <c r="S32" s="40"/>
      <c r="T32" s="45">
        <f>-91069.15+86096.29-168986+245208.78+68202.6-239570-53370.35+256210.34</f>
        <v>102722.51000000001</v>
      </c>
      <c r="U32" s="119"/>
      <c r="V32" s="38"/>
      <c r="W32" s="40"/>
      <c r="X32" s="45">
        <f>172367.61-120669.7+240175.23+156254.03+57897.91-19281.71-176676.8+214017.78</f>
        <v>524084.35000000009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6077537</v>
      </c>
      <c r="H35" s="29"/>
      <c r="I35" s="116">
        <f>SUM(I29:I34)</f>
        <v>6342880</v>
      </c>
      <c r="J35" s="40"/>
      <c r="K35" s="40"/>
      <c r="L35" s="116">
        <f>SUM(L29:L34)</f>
        <v>5766346</v>
      </c>
      <c r="M35" s="129"/>
      <c r="N35" s="116">
        <f>SUM(N29:N34)</f>
        <v>3751.79</v>
      </c>
      <c r="O35" s="40"/>
      <c r="P35" s="116">
        <f>SUM(P29:P34)</f>
        <v>261590.69</v>
      </c>
      <c r="Q35" s="40"/>
      <c r="R35" s="116">
        <f>SUM(R29:R34)</f>
        <v>210300.6</v>
      </c>
      <c r="S35" s="40"/>
      <c r="T35" s="116">
        <f>SUM(T29:T34)</f>
        <v>110613.22</v>
      </c>
      <c r="U35" s="120"/>
      <c r="V35" s="116">
        <f>SUM(V29:V34)</f>
        <v>158235.42000000001</v>
      </c>
      <c r="W35" s="40"/>
      <c r="X35" s="116">
        <f>SUM(X29:X34)</f>
        <v>538699.00000000012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11500058.65</v>
      </c>
      <c r="H37" s="29"/>
      <c r="I37" s="107">
        <f>+I35+I25+I19+I11</f>
        <v>12949910.65</v>
      </c>
      <c r="J37" s="92"/>
      <c r="K37" s="92"/>
      <c r="L37" s="107">
        <f>+L35+L25+L19+L11</f>
        <v>9669599.6500000004</v>
      </c>
      <c r="M37" s="129"/>
      <c r="N37" s="107">
        <f>+N35+N25+N19+N11</f>
        <v>3884.52</v>
      </c>
      <c r="O37" s="92"/>
      <c r="P37" s="107">
        <f>+P35+P25+P19+P11</f>
        <v>261590.69</v>
      </c>
      <c r="Q37" s="92"/>
      <c r="R37" s="107">
        <f>+R35+R25+R19+R11</f>
        <v>211123.13</v>
      </c>
      <c r="S37" s="92"/>
      <c r="T37" s="107">
        <f>+T35+T25+T19+T11</f>
        <v>110613.22</v>
      </c>
      <c r="U37" s="120"/>
      <c r="V37" s="107">
        <f>+V35+V25+V19+V11</f>
        <v>158948.64000000001</v>
      </c>
      <c r="W37" s="92"/>
      <c r="X37" s="107">
        <f>+X35+X25+X19+X11</f>
        <v>538699.00000000012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3310672.9</v>
      </c>
      <c r="H39" s="29"/>
      <c r="I39" s="175">
        <v>3444856</v>
      </c>
      <c r="J39" s="92"/>
      <c r="K39" s="92"/>
      <c r="L39" s="175">
        <v>2673350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2850000</v>
      </c>
      <c r="H40" s="29"/>
      <c r="I40" s="120">
        <v>2900000</v>
      </c>
      <c r="J40" s="92"/>
      <c r="K40" s="92"/>
      <c r="L40" s="120">
        <v>2300000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2015
</oddFoot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310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40632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327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949498</v>
      </c>
      <c r="H9" s="102"/>
      <c r="I9" s="103">
        <v>183432</v>
      </c>
      <c r="J9" s="92"/>
      <c r="K9" s="92"/>
      <c r="L9" s="103">
        <v>1157518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4.3835351947336214E-5</v>
      </c>
      <c r="F10" s="111"/>
      <c r="G10" s="111">
        <v>4889101</v>
      </c>
      <c r="H10" s="102"/>
      <c r="I10" s="111">
        <v>4889308</v>
      </c>
      <c r="J10" s="92"/>
      <c r="K10" s="92"/>
      <c r="L10" s="111">
        <v>3387945</v>
      </c>
      <c r="M10" s="92"/>
      <c r="N10" s="56">
        <v>214.32</v>
      </c>
      <c r="O10" s="92"/>
      <c r="P10" s="72"/>
      <c r="Q10" s="42"/>
      <c r="R10" s="56">
        <f>89.1+55+62.92+122.66+110.8+130.59+118.73+132.73+214.32</f>
        <v>1036.8499999999999</v>
      </c>
      <c r="S10" s="92"/>
      <c r="T10" s="72"/>
      <c r="U10" s="86"/>
      <c r="V10" s="56">
        <f>125+114.02+110.23+99.34+92.8+72+43.86+55.97+90.45</f>
        <v>803.67000000000007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5838599</v>
      </c>
      <c r="H11" s="102"/>
      <c r="I11" s="103">
        <f>SUM(I9:I10)</f>
        <v>5072740</v>
      </c>
      <c r="J11" s="92"/>
      <c r="K11" s="92"/>
      <c r="L11" s="103">
        <f>SUM(L9:L10)</f>
        <v>4545463</v>
      </c>
      <c r="M11" s="92"/>
      <c r="N11" s="120">
        <f>SUM(N9:N10)</f>
        <v>214.32</v>
      </c>
      <c r="O11" s="92"/>
      <c r="P11" s="120">
        <f>SUM(P9:P10)</f>
        <v>0</v>
      </c>
      <c r="Q11" s="85"/>
      <c r="R11" s="120">
        <f>SUM(R9:R10)</f>
        <v>1036.8499999999999</v>
      </c>
      <c r="S11" s="92"/>
      <c r="T11" s="120">
        <f>SUM(T9:T10)</f>
        <v>0</v>
      </c>
      <c r="U11" s="120"/>
      <c r="V11" s="120">
        <f>SUM(V9:V10)</f>
        <v>803.67000000000007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109531</v>
      </c>
      <c r="H29" s="29"/>
      <c r="I29" s="115">
        <v>109864</v>
      </c>
      <c r="J29" s="40"/>
      <c r="K29" s="40"/>
      <c r="L29" s="115">
        <v>106940</v>
      </c>
      <c r="M29" s="129"/>
      <c r="N29" s="115">
        <v>332.35</v>
      </c>
      <c r="O29" s="40" t="s">
        <v>31</v>
      </c>
      <c r="P29" s="115">
        <v>-466.64</v>
      </c>
      <c r="Q29" s="40"/>
      <c r="R29" s="115">
        <f>448.35+138.62+195.9+421.66+138+276.47+421.5+135.2+332.35</f>
        <v>2508.0499999999997</v>
      </c>
      <c r="S29" s="40" t="s">
        <v>31</v>
      </c>
      <c r="T29" s="115">
        <f>-3320.69000000001+4930.67-2440.93+3237.84+3290.63-655.21-2531.95+5380.35-466.64</f>
        <v>7424.0699999999906</v>
      </c>
      <c r="U29" s="120"/>
      <c r="V29" s="115">
        <f>393.28+141.01+312.43+143.01+139.77+454.88+101.1+142.92+327.63</f>
        <v>2156.0300000000002</v>
      </c>
      <c r="W29" s="40" t="s">
        <v>31</v>
      </c>
      <c r="X29" s="115">
        <f>4940.69-3769.93+3977.26+3274.48+2453.59+1517.92-2689.95+4910.59-131.17</f>
        <v>14483.480000000001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5710538</v>
      </c>
      <c r="H31" s="29"/>
      <c r="I31" s="152">
        <v>5713719</v>
      </c>
      <c r="J31" s="40"/>
      <c r="K31" s="40"/>
      <c r="L31" s="152">
        <v>5489511</v>
      </c>
      <c r="M31" s="129"/>
      <c r="N31" s="38">
        <v>3181.52</v>
      </c>
      <c r="O31" s="40"/>
      <c r="P31" s="45">
        <v>0</v>
      </c>
      <c r="Q31" s="40"/>
      <c r="R31" s="38">
        <f>3751.67+6624.67+3798.96+4836.9+3230.51+165546.35+16719.25+3616.59+3181.52</f>
        <v>211306.41999999998</v>
      </c>
      <c r="S31" s="40"/>
      <c r="T31" s="45">
        <v>0</v>
      </c>
      <c r="U31" s="93"/>
      <c r="V31" s="38">
        <f>3557.68+3999.52+5665.66+5052.46+4252.62+106921.27+22847.89+4109.92+4436.51</f>
        <v>160843.53000000003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1085887</v>
      </c>
      <c r="H32" s="29"/>
      <c r="I32" s="45">
        <v>1034173</v>
      </c>
      <c r="J32" s="40"/>
      <c r="K32" s="40"/>
      <c r="L32" s="45">
        <v>754748</v>
      </c>
      <c r="M32" s="129"/>
      <c r="N32" s="38"/>
      <c r="O32" s="40"/>
      <c r="P32" s="45">
        <v>-51247.33</v>
      </c>
      <c r="Q32" s="40"/>
      <c r="R32" s="38"/>
      <c r="S32" s="40"/>
      <c r="T32" s="45">
        <f>-91069.15+86096.29-168986+245208.78+68202.6-239570-53370.35+256210.34-51247.33</f>
        <v>51475.180000000008</v>
      </c>
      <c r="U32" s="119"/>
      <c r="V32" s="38"/>
      <c r="W32" s="40"/>
      <c r="X32" s="45">
        <f>172367.61-120669.7+240175.23+156254.03+57897.91-19281.71-176676.8+214017.78+17143.44</f>
        <v>541227.79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-563076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6342880</v>
      </c>
      <c r="H35" s="29"/>
      <c r="I35" s="116">
        <f>SUM(I29:I34)</f>
        <v>6294679</v>
      </c>
      <c r="J35" s="40"/>
      <c r="K35" s="40"/>
      <c r="L35" s="116">
        <f>SUM(L29:L34)</f>
        <v>5788122</v>
      </c>
      <c r="M35" s="129"/>
      <c r="N35" s="116">
        <f>SUM(N29:N34)</f>
        <v>3513.87</v>
      </c>
      <c r="O35" s="40"/>
      <c r="P35" s="116">
        <f>SUM(P29:P34)</f>
        <v>-51713.97</v>
      </c>
      <c r="Q35" s="40"/>
      <c r="R35" s="116">
        <f>SUM(R29:R34)</f>
        <v>213814.46999999997</v>
      </c>
      <c r="S35" s="40"/>
      <c r="T35" s="116">
        <f>SUM(T29:T34)</f>
        <v>58899.25</v>
      </c>
      <c r="U35" s="120"/>
      <c r="V35" s="116">
        <f>SUM(V29:V34)</f>
        <v>162999.56000000003</v>
      </c>
      <c r="W35" s="40"/>
      <c r="X35" s="116">
        <f>SUM(X29:X34)</f>
        <v>555711.27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12949910.65</v>
      </c>
      <c r="H37" s="29"/>
      <c r="I37" s="107">
        <f>+I35+I25+I19+I11</f>
        <v>12135850.65</v>
      </c>
      <c r="J37" s="92"/>
      <c r="K37" s="92"/>
      <c r="L37" s="107">
        <f>+L35+L25+L19+L11</f>
        <v>11102016.65</v>
      </c>
      <c r="M37" s="129"/>
      <c r="N37" s="107">
        <f>+N35+N25+N19+N11</f>
        <v>3728.19</v>
      </c>
      <c r="O37" s="92"/>
      <c r="P37" s="107">
        <f>+P35+P25+P19+P11</f>
        <v>-51713.97</v>
      </c>
      <c r="Q37" s="92"/>
      <c r="R37" s="107">
        <f>+R35+R25+R19+R11</f>
        <v>214851.31999999998</v>
      </c>
      <c r="S37" s="92"/>
      <c r="T37" s="107">
        <f>+T35+T25+T19+T11</f>
        <v>58899.25</v>
      </c>
      <c r="U37" s="120"/>
      <c r="V37" s="107">
        <f>+V35+V25+V19+V11</f>
        <v>163803.23000000004</v>
      </c>
      <c r="W37" s="92"/>
      <c r="X37" s="107">
        <f>+X35+X25+X19+X11</f>
        <v>555711.27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3444856</v>
      </c>
      <c r="H39" s="29"/>
      <c r="I39" s="175">
        <v>3477419</v>
      </c>
      <c r="J39" s="92"/>
      <c r="K39" s="92"/>
      <c r="L39" s="175">
        <v>2738001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2900000</v>
      </c>
      <c r="H40" s="29"/>
      <c r="I40" s="120">
        <v>2950000</v>
      </c>
      <c r="J40" s="92"/>
      <c r="K40" s="92"/>
      <c r="L40" s="120">
        <v>2350000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2015
</oddFoot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310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40662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329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183432</v>
      </c>
      <c r="H9" s="102"/>
      <c r="I9" s="103">
        <v>625374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3.8729759571348135E-5</v>
      </c>
      <c r="F10" s="111"/>
      <c r="G10" s="111">
        <v>4889308</v>
      </c>
      <c r="H10" s="102"/>
      <c r="I10" s="111">
        <v>3889471</v>
      </c>
      <c r="J10" s="92"/>
      <c r="K10" s="92"/>
      <c r="L10" s="111">
        <v>3388077</v>
      </c>
      <c r="M10" s="92"/>
      <c r="N10" s="56">
        <v>170</v>
      </c>
      <c r="O10" s="92"/>
      <c r="P10" s="72"/>
      <c r="Q10" s="42"/>
      <c r="R10" s="56">
        <f>89.1+55+62.92+122.66+110.8+130.59+118.73+132.73+214.32+170</f>
        <v>1206.8499999999999</v>
      </c>
      <c r="S10" s="92"/>
      <c r="T10" s="72"/>
      <c r="U10" s="86"/>
      <c r="V10" s="56">
        <f>125+114.02+110.23+99.34+92.8+72+43.86+55.97+90.45+139</f>
        <v>942.67000000000007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5072740</v>
      </c>
      <c r="H11" s="102"/>
      <c r="I11" s="103">
        <f>SUM(I9:I10)</f>
        <v>4514845</v>
      </c>
      <c r="J11" s="92"/>
      <c r="K11" s="92"/>
      <c r="L11" s="103">
        <f>SUM(L9:L10)</f>
        <v>4093242</v>
      </c>
      <c r="M11" s="92"/>
      <c r="N11" s="120">
        <f>SUM(N9:N10)</f>
        <v>170</v>
      </c>
      <c r="O11" s="92"/>
      <c r="P11" s="120">
        <f>SUM(P9:P10)</f>
        <v>0</v>
      </c>
      <c r="Q11" s="85"/>
      <c r="R11" s="120">
        <f>SUM(R9:R10)</f>
        <v>1206.8499999999999</v>
      </c>
      <c r="S11" s="92"/>
      <c r="T11" s="120">
        <f>SUM(T9:T10)</f>
        <v>0</v>
      </c>
      <c r="U11" s="120"/>
      <c r="V11" s="120">
        <f>SUM(V9:V10)</f>
        <v>942.67000000000007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109864</v>
      </c>
      <c r="H29" s="29"/>
      <c r="I29" s="115">
        <v>110003</v>
      </c>
      <c r="J29" s="40"/>
      <c r="K29" s="40"/>
      <c r="L29" s="115">
        <v>107080</v>
      </c>
      <c r="M29" s="129"/>
      <c r="N29" s="115">
        <v>139.28</v>
      </c>
      <c r="O29" s="40" t="s">
        <v>31</v>
      </c>
      <c r="P29" s="115">
        <v>-2016.3</v>
      </c>
      <c r="Q29" s="40"/>
      <c r="R29" s="115">
        <f>448.35+138.62+195.9+421.66+138+276.47+421.5+135.2+332.35+139.28</f>
        <v>2647.33</v>
      </c>
      <c r="S29" s="40" t="s">
        <v>31</v>
      </c>
      <c r="T29" s="115">
        <f>-3320.69000000001+4930.67-2440.93+3237.84+3290.63-655.21-2531.95+5380.35-466.64-2016.3</f>
        <v>5407.7699999999904</v>
      </c>
      <c r="U29" s="120"/>
      <c r="V29" s="115">
        <f>393.28+141.01+312.43+143.01+139.77+454.88+101.1+142.92+327.63+140.19</f>
        <v>2296.2200000000003</v>
      </c>
      <c r="W29" s="40" t="s">
        <v>31</v>
      </c>
      <c r="X29" s="115">
        <f>4940.69-3769.93+3977.26+3274.48+2453.59+1517.92-2689.95+4910.59-131.17+1547.43</f>
        <v>16030.910000000002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5713719</v>
      </c>
      <c r="H31" s="29"/>
      <c r="I31" s="152">
        <v>5720207</v>
      </c>
      <c r="J31" s="40"/>
      <c r="K31" s="40"/>
      <c r="L31" s="152">
        <v>5493938</v>
      </c>
      <c r="M31" s="129"/>
      <c r="N31" s="38">
        <v>6487.88</v>
      </c>
      <c r="O31" s="40"/>
      <c r="P31" s="45">
        <v>0</v>
      </c>
      <c r="Q31" s="40"/>
      <c r="R31" s="38">
        <f>3751.67+6624.67+3798.96+4836.9+3230.51+165546.35+16719.25+3616.59+3181.52+6487.88</f>
        <v>217794.3</v>
      </c>
      <c r="S31" s="40"/>
      <c r="T31" s="45">
        <v>0</v>
      </c>
      <c r="U31" s="93"/>
      <c r="V31" s="38">
        <f>3557.68+3999.52+5665.66+5052.46+4252.62+106921.27+22847.89+4109.92+4436.51+4427.19</f>
        <v>165270.72000000003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1034173</v>
      </c>
      <c r="H32" s="29"/>
      <c r="I32" s="45">
        <v>1132683</v>
      </c>
      <c r="J32" s="40"/>
      <c r="K32" s="40"/>
      <c r="L32" s="45">
        <v>741725</v>
      </c>
      <c r="M32" s="129"/>
      <c r="N32" s="38"/>
      <c r="O32" s="40"/>
      <c r="P32" s="45">
        <v>100526.12</v>
      </c>
      <c r="Q32" s="40"/>
      <c r="R32" s="38"/>
      <c r="S32" s="40"/>
      <c r="T32" s="45">
        <f>-91069.15+86096.29-168986+245208.78+68202.6-239570-53370.35+256210.34-51247.33+100526.12</f>
        <v>152001.29999999999</v>
      </c>
      <c r="U32" s="119"/>
      <c r="V32" s="38"/>
      <c r="W32" s="40"/>
      <c r="X32" s="45">
        <f>172367.61-120669.7+240175.23+156254.03+57897.91-19281.71-176676.8+214017.78+17143.44-14570.78</f>
        <v>526657.01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6294679</v>
      </c>
      <c r="H35" s="29"/>
      <c r="I35" s="116">
        <f>SUM(I29:I34)</f>
        <v>6399816</v>
      </c>
      <c r="J35" s="40"/>
      <c r="K35" s="40"/>
      <c r="L35" s="116">
        <f>SUM(L29:L34)</f>
        <v>5779666</v>
      </c>
      <c r="M35" s="129"/>
      <c r="N35" s="116">
        <f>SUM(N29:N34)</f>
        <v>6627.16</v>
      </c>
      <c r="O35" s="40"/>
      <c r="P35" s="116">
        <f>SUM(P29:P34)</f>
        <v>98509.819999999992</v>
      </c>
      <c r="Q35" s="40"/>
      <c r="R35" s="116">
        <f>SUM(R29:R34)</f>
        <v>220441.62999999998</v>
      </c>
      <c r="S35" s="40"/>
      <c r="T35" s="116">
        <f>SUM(T29:T34)</f>
        <v>157409.06999999998</v>
      </c>
      <c r="U35" s="120"/>
      <c r="V35" s="116">
        <f>SUM(V29:V34)</f>
        <v>167566.94000000003</v>
      </c>
      <c r="W35" s="40"/>
      <c r="X35" s="116">
        <f>SUM(X29:X34)</f>
        <v>542687.92000000004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12135850.65</v>
      </c>
      <c r="H37" s="29"/>
      <c r="I37" s="107">
        <f>+I35+I25+I19+I11</f>
        <v>11683092.65</v>
      </c>
      <c r="J37" s="92"/>
      <c r="K37" s="92"/>
      <c r="L37" s="107">
        <f>+L35+L25+L19+L11</f>
        <v>10641339.65</v>
      </c>
      <c r="M37" s="129"/>
      <c r="N37" s="107">
        <f>+N35+N25+N19+N11</f>
        <v>6797.16</v>
      </c>
      <c r="O37" s="92"/>
      <c r="P37" s="107">
        <f>+P35+P25+P19+P11</f>
        <v>98509.819999999992</v>
      </c>
      <c r="Q37" s="92"/>
      <c r="R37" s="107">
        <f>+R35+R25+R19+R11</f>
        <v>221648.47999999998</v>
      </c>
      <c r="S37" s="92"/>
      <c r="T37" s="107">
        <f>+T35+T25+T19+T11</f>
        <v>157409.06999999998</v>
      </c>
      <c r="U37" s="120"/>
      <c r="V37" s="107">
        <f>+V35+V25+V19+V11</f>
        <v>168509.61000000004</v>
      </c>
      <c r="W37" s="92"/>
      <c r="X37" s="107">
        <f>+X35+X25+X19+X11</f>
        <v>542687.92000000004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3477419</v>
      </c>
      <c r="H39" s="29"/>
      <c r="I39" s="175">
        <v>3561316</v>
      </c>
      <c r="J39" s="92"/>
      <c r="K39" s="92"/>
      <c r="L39" s="175">
        <v>2802440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2950000</v>
      </c>
      <c r="H40" s="29"/>
      <c r="I40" s="120">
        <v>3000000</v>
      </c>
      <c r="J40" s="92"/>
      <c r="K40" s="92"/>
      <c r="L40" s="120">
        <v>2400000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2015
</oddFoot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310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40692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330</v>
      </c>
      <c r="H6" s="102"/>
      <c r="I6" s="80" t="s">
        <v>331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625374</v>
      </c>
      <c r="H9" s="102"/>
      <c r="I9" s="103">
        <v>749379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3.9727011771299729E-5</v>
      </c>
      <c r="F10" s="111"/>
      <c r="G10" s="111">
        <v>3889471</v>
      </c>
      <c r="H10" s="102"/>
      <c r="I10" s="111">
        <v>3889619</v>
      </c>
      <c r="J10" s="92"/>
      <c r="K10" s="92"/>
      <c r="L10" s="111">
        <v>3388077</v>
      </c>
      <c r="M10" s="92"/>
      <c r="N10" s="56">
        <v>154.52000000000001</v>
      </c>
      <c r="O10" s="92"/>
      <c r="P10" s="72"/>
      <c r="Q10" s="42"/>
      <c r="R10" s="56">
        <f>89.1+55+62.92+122.66+110.8+130.59+118.73+132.73+214.32+170+154.52</f>
        <v>1361.37</v>
      </c>
      <c r="S10" s="92"/>
      <c r="T10" s="72"/>
      <c r="U10" s="86"/>
      <c r="V10" s="56">
        <f>125+114.02+110.23+99.34+92.8+72+43.86+55.97+90.45+139+139.24</f>
        <v>1081.9100000000001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4514845</v>
      </c>
      <c r="H11" s="102"/>
      <c r="I11" s="103">
        <f>SUM(I9:I10)</f>
        <v>4638998</v>
      </c>
      <c r="J11" s="92"/>
      <c r="K11" s="92"/>
      <c r="L11" s="103">
        <f>SUM(L9:L10)</f>
        <v>4093242</v>
      </c>
      <c r="M11" s="92"/>
      <c r="N11" s="120">
        <f>SUM(N9:N10)</f>
        <v>154.52000000000001</v>
      </c>
      <c r="O11" s="92"/>
      <c r="P11" s="120">
        <f>SUM(P9:P10)</f>
        <v>0</v>
      </c>
      <c r="Q11" s="85"/>
      <c r="R11" s="120">
        <f>SUM(R9:R10)</f>
        <v>1361.37</v>
      </c>
      <c r="S11" s="92"/>
      <c r="T11" s="120">
        <f>SUM(T9:T10)</f>
        <v>0</v>
      </c>
      <c r="U11" s="120"/>
      <c r="V11" s="120">
        <f>SUM(V9:V10)</f>
        <v>1081.9100000000001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110003</v>
      </c>
      <c r="H29" s="29"/>
      <c r="I29" s="115">
        <v>110143</v>
      </c>
      <c r="J29" s="40"/>
      <c r="K29" s="40"/>
      <c r="L29" s="115">
        <v>107080</v>
      </c>
      <c r="M29" s="129"/>
      <c r="N29" s="115">
        <v>139.61000000000001</v>
      </c>
      <c r="O29" s="40" t="s">
        <v>31</v>
      </c>
      <c r="P29" s="115">
        <v>1341.95</v>
      </c>
      <c r="Q29" s="40"/>
      <c r="R29" s="115">
        <f>448.35+138.62+195.9+421.66+138+276.47+421.5+135.2+332.35+139.28+139.61</f>
        <v>2786.94</v>
      </c>
      <c r="S29" s="40" t="s">
        <v>31</v>
      </c>
      <c r="T29" s="115">
        <f>-3320.69000000001+4930.67-2440.93+3237.84+3290.63-655.21-2531.95+5380.35-466.64-2016.3+1341.95</f>
        <v>6749.7199999999903</v>
      </c>
      <c r="U29" s="120"/>
      <c r="V29" s="115">
        <f>393.28+141.01+312.43+143.01+139.77+454.88+101.1+142.92+327.63+140.19+137.59</f>
        <v>2433.8100000000004</v>
      </c>
      <c r="W29" s="40" t="s">
        <v>31</v>
      </c>
      <c r="X29" s="115">
        <f>4940.69-3769.93+3977.26+3274.48+2453.59+1517.92-2689.95+4910.59-131.17+1547.43+1636.02</f>
        <v>17666.93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5720207</v>
      </c>
      <c r="H31" s="29"/>
      <c r="I31" s="152">
        <v>5723850</v>
      </c>
      <c r="J31" s="40"/>
      <c r="K31" s="40"/>
      <c r="L31" s="152">
        <v>5493938</v>
      </c>
      <c r="M31" s="129"/>
      <c r="N31" s="38">
        <v>3642.57</v>
      </c>
      <c r="O31" s="40"/>
      <c r="P31" s="45">
        <v>0</v>
      </c>
      <c r="Q31" s="40"/>
      <c r="R31" s="38">
        <f>3751.67+6624.67+3798.96+4836.9+3230.51+165546.35+16719.25+3616.59+3181.52+6487.88+3642.57</f>
        <v>221436.87</v>
      </c>
      <c r="S31" s="40"/>
      <c r="T31" s="45">
        <v>0</v>
      </c>
      <c r="U31" s="93"/>
      <c r="V31" s="38">
        <f>3557.68+3999.52+5665.66+5052.46+4252.62+106921.27+22847.89+4109.92+4436.51+4427.19+3422</f>
        <v>168692.72000000003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1132683</v>
      </c>
      <c r="H32" s="29"/>
      <c r="I32" s="45">
        <v>1126537</v>
      </c>
      <c r="J32" s="40"/>
      <c r="K32" s="40"/>
      <c r="L32" s="45">
        <v>741725</v>
      </c>
      <c r="M32" s="129"/>
      <c r="N32" s="38"/>
      <c r="O32" s="40"/>
      <c r="P32" s="45">
        <v>-7487.6</v>
      </c>
      <c r="Q32" s="40"/>
      <c r="R32" s="38"/>
      <c r="S32" s="40"/>
      <c r="T32" s="45">
        <f>-91069.15+86096.29-168986+245208.78+68202.6-239570-53370.35+256210.34-51247.33+100526.12-7487.5</f>
        <v>144513.79999999999</v>
      </c>
      <c r="U32" s="119"/>
      <c r="V32" s="38"/>
      <c r="W32" s="40"/>
      <c r="X32" s="45">
        <f>172367.61-120669.7+240175.23+156254.03+57897.91-19281.71-176676.8+214017.78+17143.44-14570.78+111751.06</f>
        <v>638408.07000000007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6399816</v>
      </c>
      <c r="H35" s="29"/>
      <c r="I35" s="116">
        <f>SUM(I29:I34)</f>
        <v>6397453</v>
      </c>
      <c r="J35" s="40"/>
      <c r="K35" s="40"/>
      <c r="L35" s="116">
        <f>SUM(L29:L34)</f>
        <v>5779666</v>
      </c>
      <c r="M35" s="129"/>
      <c r="N35" s="116">
        <f>SUM(N29:N34)</f>
        <v>3782.1800000000003</v>
      </c>
      <c r="O35" s="40"/>
      <c r="P35" s="116">
        <f>SUM(P29:P34)</f>
        <v>-6145.6500000000005</v>
      </c>
      <c r="Q35" s="40"/>
      <c r="R35" s="116">
        <f>SUM(R29:R34)</f>
        <v>224223.81</v>
      </c>
      <c r="S35" s="40"/>
      <c r="T35" s="116">
        <f>SUM(T29:T34)</f>
        <v>151263.51999999999</v>
      </c>
      <c r="U35" s="120"/>
      <c r="V35" s="116">
        <f>SUM(V29:V34)</f>
        <v>171126.53000000003</v>
      </c>
      <c r="W35" s="40"/>
      <c r="X35" s="116">
        <f>SUM(X29:X34)</f>
        <v>656075.00000000012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11683092.65</v>
      </c>
      <c r="H37" s="29"/>
      <c r="I37" s="107">
        <f>+I35+I25+I19+I11</f>
        <v>11804882.65</v>
      </c>
      <c r="J37" s="92"/>
      <c r="K37" s="92"/>
      <c r="L37" s="107">
        <f>+L35+L25+L19+L11</f>
        <v>10641339.65</v>
      </c>
      <c r="M37" s="129"/>
      <c r="N37" s="107">
        <f>+N35+N25+N19+N11</f>
        <v>3936.7000000000003</v>
      </c>
      <c r="O37" s="92"/>
      <c r="P37" s="107">
        <f>+P35+P25+P19+P11</f>
        <v>-6145.6500000000005</v>
      </c>
      <c r="Q37" s="92"/>
      <c r="R37" s="107">
        <f>+R35+R25+R19+R11</f>
        <v>225585.18</v>
      </c>
      <c r="S37" s="92"/>
      <c r="T37" s="107">
        <f>+T35+T25+T19+T11</f>
        <v>151263.51999999999</v>
      </c>
      <c r="U37" s="120"/>
      <c r="V37" s="107">
        <f>+V35+V25+V19+V11</f>
        <v>172208.44000000003</v>
      </c>
      <c r="W37" s="92"/>
      <c r="X37" s="107">
        <f>+X35+X25+X19+X11</f>
        <v>656075.00000000012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3561316</v>
      </c>
      <c r="H39" s="29"/>
      <c r="I39" s="175">
        <v>3567952</v>
      </c>
      <c r="J39" s="92"/>
      <c r="K39" s="92"/>
      <c r="L39" s="175">
        <v>2899472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2450000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2015
</oddFoot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FF00"/>
    <pageSetUpPr fitToPage="1"/>
  </sheetPr>
  <dimension ref="A1:AD60"/>
  <sheetViews>
    <sheetView showGridLines="0" topLeftCell="A13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310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1276206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4165966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v>4906.8999999999996</v>
      </c>
      <c r="O31" s="40"/>
      <c r="P31" s="45">
        <v>0</v>
      </c>
      <c r="Q31" s="40"/>
      <c r="R31" s="38">
        <f>3751.67+6624.67+3798.96+4836.9+3230.51+165546.35+16719.25+3616.59+3181.52+6487.88+3642.57+4906.9</f>
        <v>226343.77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1018847</v>
      </c>
      <c r="J32" s="40"/>
      <c r="K32" s="40"/>
      <c r="L32" s="45">
        <v>975273</v>
      </c>
      <c r="M32" s="129"/>
      <c r="N32" s="38"/>
      <c r="O32" s="40"/>
      <c r="P32" s="45">
        <v>-105849.59</v>
      </c>
      <c r="Q32" s="40"/>
      <c r="R32" s="38"/>
      <c r="S32" s="40"/>
      <c r="T32" s="45">
        <f>-91069.15+86096.29-168986+245208.78+68202.6-239570-53370.35+256210.34-51247.33+100526.12-7487.5-105849.59</f>
        <v>38664.209999999992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6294804</v>
      </c>
      <c r="J35" s="40"/>
      <c r="K35" s="40"/>
      <c r="L35" s="116">
        <f>SUM(L29:L34)</f>
        <v>6021965</v>
      </c>
      <c r="M35" s="129"/>
      <c r="N35" s="116">
        <f>SUM(N29:N34)</f>
        <v>5040.6499999999996</v>
      </c>
      <c r="O35" s="40"/>
      <c r="P35" s="116">
        <f>SUM(P29:P34)</f>
        <v>-107690.05</v>
      </c>
      <c r="Q35" s="40"/>
      <c r="R35" s="116">
        <f>SUM(R29:R34)</f>
        <v>229264.46</v>
      </c>
      <c r="S35" s="40"/>
      <c r="T35" s="116">
        <f>SUM(T29:T34)</f>
        <v>43573.469999999979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11229201.65</v>
      </c>
      <c r="J37" s="92"/>
      <c r="K37" s="92"/>
      <c r="L37" s="107">
        <f>+L35+L25+L19+L11</f>
        <v>10160800.65</v>
      </c>
      <c r="M37" s="129"/>
      <c r="N37" s="107">
        <f>+N35+N25+N19+N11</f>
        <v>5189.24</v>
      </c>
      <c r="O37" s="92"/>
      <c r="P37" s="107">
        <f>+P35+P25+P19+P11</f>
        <v>-107690.05</v>
      </c>
      <c r="Q37" s="92"/>
      <c r="R37" s="107">
        <f>+R35+R25+R19+R11</f>
        <v>230774.41999999998</v>
      </c>
      <c r="S37" s="92"/>
      <c r="T37" s="107">
        <f>+T35+T25+T19+T11</f>
        <v>43573.469999999979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tabColor rgb="FF92D050"/>
    <pageSetUpPr fitToPage="1"/>
  </sheetPr>
  <dimension ref="A1:AD60"/>
  <sheetViews>
    <sheetView showGridLines="0" topLeftCell="A4" zoomScaleNormal="10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310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1248171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4137931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f>4906.9+38312.21</f>
        <v>43219.11</v>
      </c>
      <c r="O31" s="40"/>
      <c r="P31" s="45">
        <v>0</v>
      </c>
      <c r="Q31" s="40"/>
      <c r="R31" s="38">
        <f>3751.67+6624.67+3798.96+4836.9+3230.51+165546.35+16719.25+3616.59+3181.52+6487.88+3642.57+4906.9+38312.21</f>
        <v>264655.98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836690</v>
      </c>
      <c r="J32" s="40"/>
      <c r="K32" s="40"/>
      <c r="L32" s="45">
        <v>975273</v>
      </c>
      <c r="M32" s="129"/>
      <c r="N32" s="38"/>
      <c r="O32" s="40"/>
      <c r="P32" s="45">
        <f>-105849.59-198939.73</f>
        <v>-304789.32</v>
      </c>
      <c r="Q32" s="40"/>
      <c r="R32" s="38"/>
      <c r="S32" s="40"/>
      <c r="T32" s="45">
        <f>-91069.15+86096.29-168986+245208.78+68202.6-239570-53370.35+256210.34-51247.33+100526.12-7487.5-105849.59-198939.73</f>
        <v>-160275.52000000002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6112646</v>
      </c>
      <c r="J35" s="40"/>
      <c r="K35" s="40"/>
      <c r="L35" s="116">
        <f>SUM(L29:L34)</f>
        <v>6021965</v>
      </c>
      <c r="M35" s="129"/>
      <c r="N35" s="116">
        <f>SUM(N29:N34)</f>
        <v>43352.86</v>
      </c>
      <c r="O35" s="40"/>
      <c r="P35" s="116">
        <f>SUM(P29:P34)</f>
        <v>-306629.78000000003</v>
      </c>
      <c r="Q35" s="40"/>
      <c r="R35" s="116">
        <f>SUM(R29:R34)</f>
        <v>267576.67</v>
      </c>
      <c r="S35" s="40"/>
      <c r="T35" s="116">
        <f>SUM(T29:T34)</f>
        <v>-155366.26000000004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11019008.65</v>
      </c>
      <c r="J37" s="92"/>
      <c r="K37" s="92"/>
      <c r="L37" s="107">
        <f>+L35+L25+L19+L11</f>
        <v>10160800.65</v>
      </c>
      <c r="M37" s="129"/>
      <c r="N37" s="107">
        <f>+N35+N25+N19+N11</f>
        <v>43501.45</v>
      </c>
      <c r="O37" s="92"/>
      <c r="P37" s="107">
        <f>+P35+P25+P19+P11</f>
        <v>-306629.78000000003</v>
      </c>
      <c r="Q37" s="92"/>
      <c r="R37" s="107">
        <f>+R35+R25+R19+R11</f>
        <v>269086.63</v>
      </c>
      <c r="S37" s="92"/>
      <c r="T37" s="107">
        <f>+T35+T25+T19+T11</f>
        <v>-155366.26000000004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334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40753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335</v>
      </c>
      <c r="H6" s="102"/>
      <c r="I6" s="80" t="s">
        <v>336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1248171</v>
      </c>
      <c r="H9" s="102"/>
      <c r="I9" s="103">
        <v>2552295</v>
      </c>
      <c r="J9" s="92"/>
      <c r="K9" s="92"/>
      <c r="L9" s="103">
        <v>1145440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8.5128176734400093E-5</v>
      </c>
      <c r="F10" s="111"/>
      <c r="G10" s="111">
        <v>2889760</v>
      </c>
      <c r="H10" s="102"/>
      <c r="I10" s="111">
        <v>0</v>
      </c>
      <c r="J10" s="92"/>
      <c r="K10" s="92"/>
      <c r="L10" s="111">
        <v>1388416</v>
      </c>
      <c r="M10" s="92"/>
      <c r="N10" s="56">
        <v>123</v>
      </c>
      <c r="O10" s="92"/>
      <c r="P10" s="72"/>
      <c r="Q10" s="42"/>
      <c r="R10" s="56">
        <v>123</v>
      </c>
      <c r="S10" s="92"/>
      <c r="T10" s="72"/>
      <c r="U10" s="86"/>
      <c r="V10" s="56">
        <v>89.1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4137931</v>
      </c>
      <c r="H11" s="102"/>
      <c r="I11" s="103">
        <f>SUM(I9:I10)</f>
        <v>2552295</v>
      </c>
      <c r="J11" s="92"/>
      <c r="K11" s="92"/>
      <c r="L11" s="103">
        <f>SUM(L9:L10)</f>
        <v>2533856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123</v>
      </c>
      <c r="S11" s="92"/>
      <c r="T11" s="120">
        <f>SUM(T9:T10)</f>
        <v>0</v>
      </c>
      <c r="U11" s="120"/>
      <c r="V11" s="120">
        <f>SUM(V9:V10)</f>
        <v>89.1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110276</v>
      </c>
      <c r="H29" s="29"/>
      <c r="I29" s="115">
        <v>110641</v>
      </c>
      <c r="J29" s="40"/>
      <c r="K29" s="40"/>
      <c r="L29" s="115">
        <v>107804</v>
      </c>
      <c r="M29" s="129"/>
      <c r="N29" s="115">
        <v>365.1</v>
      </c>
      <c r="O29" s="40" t="s">
        <v>31</v>
      </c>
      <c r="P29" s="115">
        <v>1918.28</v>
      </c>
      <c r="Q29" s="40"/>
      <c r="R29" s="115">
        <v>365.1</v>
      </c>
      <c r="S29" s="40" t="s">
        <v>31</v>
      </c>
      <c r="T29" s="115">
        <v>1918.28</v>
      </c>
      <c r="U29" s="120"/>
      <c r="V29" s="115">
        <v>448.35</v>
      </c>
      <c r="W29" s="40" t="s">
        <v>31</v>
      </c>
      <c r="X29" s="115">
        <v>-3320.6900000000078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5728757</v>
      </c>
      <c r="H31" s="29"/>
      <c r="I31" s="152">
        <v>5734180</v>
      </c>
      <c r="J31" s="40"/>
      <c r="K31" s="40"/>
      <c r="L31" s="152">
        <v>5506164</v>
      </c>
      <c r="M31" s="129"/>
      <c r="N31" s="38">
        <v>5423.16</v>
      </c>
      <c r="O31" s="40"/>
      <c r="P31" s="45">
        <v>0</v>
      </c>
      <c r="Q31" s="40"/>
      <c r="R31" s="38">
        <v>5423.16</v>
      </c>
      <c r="S31" s="40"/>
      <c r="T31" s="45">
        <v>0</v>
      </c>
      <c r="U31" s="93"/>
      <c r="V31" s="38">
        <v>3751.67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836690</v>
      </c>
      <c r="H32" s="29"/>
      <c r="I32" s="45">
        <v>813383</v>
      </c>
      <c r="J32" s="40"/>
      <c r="K32" s="40"/>
      <c r="L32" s="45">
        <v>880884</v>
      </c>
      <c r="M32" s="129"/>
      <c r="N32" s="38"/>
      <c r="O32" s="40"/>
      <c r="P32" s="45">
        <v>-25224.97</v>
      </c>
      <c r="Q32" s="40"/>
      <c r="R32" s="38"/>
      <c r="S32" s="40"/>
      <c r="T32" s="45">
        <v>-25224.97</v>
      </c>
      <c r="U32" s="119"/>
      <c r="V32" s="38"/>
      <c r="W32" s="40"/>
      <c r="X32" s="45">
        <v>-91069.150000000009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6112646</v>
      </c>
      <c r="H35" s="29"/>
      <c r="I35" s="116">
        <f>SUM(I29:I34)</f>
        <v>6095127</v>
      </c>
      <c r="J35" s="40"/>
      <c r="K35" s="40"/>
      <c r="L35" s="116">
        <f>SUM(L29:L34)</f>
        <v>5931775</v>
      </c>
      <c r="M35" s="129"/>
      <c r="N35" s="116">
        <f>SUM(N29:N34)</f>
        <v>5788.26</v>
      </c>
      <c r="O35" s="40"/>
      <c r="P35" s="116">
        <f>SUM(P29:P34)</f>
        <v>-23306.690000000002</v>
      </c>
      <c r="Q35" s="40"/>
      <c r="R35" s="116">
        <f>SUM(R29:R34)</f>
        <v>5788.26</v>
      </c>
      <c r="S35" s="40"/>
      <c r="T35" s="116">
        <f>SUM(T29:T34)</f>
        <v>-23306.690000000002</v>
      </c>
      <c r="U35" s="120"/>
      <c r="V35" s="116">
        <f>SUM(V29:V34)</f>
        <v>4200.0200000000004</v>
      </c>
      <c r="W35" s="40"/>
      <c r="X35" s="116">
        <f>SUM(X29:X34)</f>
        <v>-94389.840000000011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11019008.65</v>
      </c>
      <c r="H37" s="29"/>
      <c r="I37" s="107">
        <f>+I35+I25+I19+I11</f>
        <v>9415853.6500000004</v>
      </c>
      <c r="J37" s="92"/>
      <c r="K37" s="92"/>
      <c r="L37" s="107">
        <f>+L35+L25+L19+L11</f>
        <v>9234062.6500000004</v>
      </c>
      <c r="M37" s="129"/>
      <c r="N37" s="107">
        <f>+N35+N25+N19+N11</f>
        <v>5911.26</v>
      </c>
      <c r="O37" s="92"/>
      <c r="P37" s="107">
        <f>+P35+P25+P19+P11</f>
        <v>-23306.690000000002</v>
      </c>
      <c r="Q37" s="92"/>
      <c r="R37" s="107">
        <f>+R35+R25+R19+R11</f>
        <v>5911.26</v>
      </c>
      <c r="S37" s="92"/>
      <c r="T37" s="107">
        <f>+T35+T25+T19+T11</f>
        <v>-23306.690000000002</v>
      </c>
      <c r="U37" s="120"/>
      <c r="V37" s="107">
        <f>+V35+V25+V19+V11</f>
        <v>4289.1200000000008</v>
      </c>
      <c r="W37" s="92"/>
      <c r="X37" s="107">
        <f>+X35+X25+X19+X11</f>
        <v>-94389.840000000011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3486075</v>
      </c>
      <c r="H39" s="29"/>
      <c r="I39" s="175">
        <v>3575423</v>
      </c>
      <c r="J39" s="92"/>
      <c r="K39" s="92"/>
      <c r="L39" s="175">
        <v>3002141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3050000</v>
      </c>
      <c r="J40" s="92"/>
      <c r="K40" s="92"/>
      <c r="L40" s="120">
        <v>2550000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July 2015</oddFoot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334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40784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337</v>
      </c>
      <c r="H6" s="102"/>
      <c r="I6" s="80" t="s">
        <v>338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0</v>
      </c>
      <c r="H9" s="102"/>
      <c r="I9" s="103">
        <v>658677</v>
      </c>
      <c r="J9" s="92"/>
      <c r="K9" s="92"/>
      <c r="L9" s="103">
        <v>2485773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4.2085941110437553E-5</v>
      </c>
      <c r="F10" s="111"/>
      <c r="G10" s="111">
        <v>2552295</v>
      </c>
      <c r="H10" s="102"/>
      <c r="I10" s="111">
        <v>2389973</v>
      </c>
      <c r="J10" s="92"/>
      <c r="K10" s="92"/>
      <c r="L10" s="111">
        <v>1388464</v>
      </c>
      <c r="M10" s="92"/>
      <c r="N10" s="56">
        <v>104</v>
      </c>
      <c r="O10" s="92"/>
      <c r="P10" s="72"/>
      <c r="Q10" s="42"/>
      <c r="R10" s="56">
        <f>123+104</f>
        <v>227</v>
      </c>
      <c r="S10" s="92"/>
      <c r="T10" s="72"/>
      <c r="U10" s="86"/>
      <c r="V10" s="56">
        <f>89.1+55</f>
        <v>144.1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2552295</v>
      </c>
      <c r="H11" s="102"/>
      <c r="I11" s="103">
        <f>SUM(I9:I10)</f>
        <v>3048650</v>
      </c>
      <c r="J11" s="92"/>
      <c r="K11" s="92"/>
      <c r="L11" s="103">
        <f>SUM(L9:L10)</f>
        <v>3874237</v>
      </c>
      <c r="M11" s="92"/>
      <c r="N11" s="120">
        <f>SUM(N9:N10)</f>
        <v>104</v>
      </c>
      <c r="O11" s="92"/>
      <c r="P11" s="120">
        <f>SUM(P9:P10)</f>
        <v>0</v>
      </c>
      <c r="Q11" s="85"/>
      <c r="R11" s="120">
        <f>SUM(R9:R10)</f>
        <v>227</v>
      </c>
      <c r="S11" s="92"/>
      <c r="T11" s="120">
        <f>SUM(T9:T10)</f>
        <v>0</v>
      </c>
      <c r="U11" s="120"/>
      <c r="V11" s="120">
        <f>SUM(V9:V10)</f>
        <v>144.1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110641</v>
      </c>
      <c r="H29" s="29"/>
      <c r="I29" s="115">
        <v>110776</v>
      </c>
      <c r="J29" s="40"/>
      <c r="K29" s="40"/>
      <c r="L29" s="115">
        <v>107943</v>
      </c>
      <c r="M29" s="129"/>
      <c r="N29" s="115">
        <v>134.35</v>
      </c>
      <c r="O29" s="40" t="s">
        <v>31</v>
      </c>
      <c r="P29" s="115">
        <v>-16826.28</v>
      </c>
      <c r="Q29" s="40"/>
      <c r="R29" s="115">
        <f>365.1+134.35</f>
        <v>499.45000000000005</v>
      </c>
      <c r="S29" s="40" t="s">
        <v>31</v>
      </c>
      <c r="T29" s="115">
        <f>1918.28-16826.28</f>
        <v>-14907.999999999998</v>
      </c>
      <c r="U29" s="120"/>
      <c r="V29" s="115">
        <f>448.35+138.62</f>
        <v>586.97</v>
      </c>
      <c r="W29" s="40" t="s">
        <v>31</v>
      </c>
      <c r="X29" s="115">
        <f>-3320.69000000001+4930.67</f>
        <v>1609.97999999999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5734180</v>
      </c>
      <c r="H31" s="29"/>
      <c r="I31" s="152">
        <v>6739336</v>
      </c>
      <c r="J31" s="40"/>
      <c r="K31" s="40"/>
      <c r="L31" s="152">
        <v>5512789</v>
      </c>
      <c r="M31" s="129"/>
      <c r="N31" s="38">
        <v>5155.92</v>
      </c>
      <c r="O31" s="40"/>
      <c r="P31" s="45">
        <v>0</v>
      </c>
      <c r="Q31" s="40"/>
      <c r="R31" s="38">
        <f>5423.16+5155.92</f>
        <v>10579.08</v>
      </c>
      <c r="S31" s="40"/>
      <c r="T31" s="45">
        <v>0</v>
      </c>
      <c r="U31" s="93"/>
      <c r="V31" s="38">
        <f>3751.67+6624.67</f>
        <v>10376.34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813383</v>
      </c>
      <c r="H32" s="29"/>
      <c r="I32" s="45">
        <v>502354</v>
      </c>
      <c r="J32" s="40"/>
      <c r="K32" s="40"/>
      <c r="L32" s="45">
        <v>971910</v>
      </c>
      <c r="M32" s="129"/>
      <c r="N32" s="38"/>
      <c r="O32" s="40"/>
      <c r="P32" s="45">
        <v>-294202.34000000003</v>
      </c>
      <c r="Q32" s="40"/>
      <c r="R32" s="38"/>
      <c r="S32" s="40"/>
      <c r="T32" s="45">
        <f>-25224.97-294202.34</f>
        <v>-319427.31000000006</v>
      </c>
      <c r="U32" s="119"/>
      <c r="V32" s="38"/>
      <c r="W32" s="40"/>
      <c r="X32" s="45">
        <f>-91069.15+86096.29</f>
        <v>-4972.8600000000006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6095127</v>
      </c>
      <c r="H35" s="29"/>
      <c r="I35" s="116">
        <f>SUM(I29:I34)</f>
        <v>6789389</v>
      </c>
      <c r="J35" s="40"/>
      <c r="K35" s="40"/>
      <c r="L35" s="116">
        <f>SUM(L29:L34)</f>
        <v>6029565</v>
      </c>
      <c r="M35" s="129"/>
      <c r="N35" s="116">
        <f>SUM(N29:N34)</f>
        <v>5290.27</v>
      </c>
      <c r="O35" s="40"/>
      <c r="P35" s="116">
        <f>SUM(P29:P34)</f>
        <v>-311028.62</v>
      </c>
      <c r="Q35" s="40"/>
      <c r="R35" s="116">
        <f>SUM(R29:R34)</f>
        <v>11078.53</v>
      </c>
      <c r="S35" s="40"/>
      <c r="T35" s="116">
        <f>SUM(T29:T34)</f>
        <v>-334335.31000000006</v>
      </c>
      <c r="U35" s="120"/>
      <c r="V35" s="116">
        <f>SUM(V29:V34)</f>
        <v>10963.31</v>
      </c>
      <c r="W35" s="40"/>
      <c r="X35" s="116">
        <f>SUM(X29:X34)</f>
        <v>-3362.8800000000106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9415853.6500000004</v>
      </c>
      <c r="H37" s="29"/>
      <c r="I37" s="107">
        <f>+I35+I25+I19+I11</f>
        <v>10606470.65</v>
      </c>
      <c r="J37" s="92"/>
      <c r="K37" s="92"/>
      <c r="L37" s="107">
        <f>+L35+L25+L19+L11</f>
        <v>10672233.65</v>
      </c>
      <c r="M37" s="129"/>
      <c r="N37" s="107">
        <f>+N35+N25+N19+N11</f>
        <v>5394.27</v>
      </c>
      <c r="O37" s="92"/>
      <c r="P37" s="107">
        <f>+P35+P25+P19+P11</f>
        <v>-311028.62</v>
      </c>
      <c r="Q37" s="92"/>
      <c r="R37" s="107">
        <f>+R35+R25+R19+R11</f>
        <v>11305.53</v>
      </c>
      <c r="S37" s="92"/>
      <c r="T37" s="107">
        <f>+T35+T25+T19+T11</f>
        <v>-334335.31000000006</v>
      </c>
      <c r="U37" s="120"/>
      <c r="V37" s="107">
        <f>+V35+V25+V19+V11</f>
        <v>11107.41</v>
      </c>
      <c r="W37" s="92"/>
      <c r="X37" s="107">
        <f>+X35+X25+X19+X11</f>
        <v>-3362.8800000000106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3575423</v>
      </c>
      <c r="H39" s="29"/>
      <c r="I39" s="175">
        <v>3502363</v>
      </c>
      <c r="J39" s="92"/>
      <c r="K39" s="92"/>
      <c r="L39" s="175">
        <v>3105474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3050000</v>
      </c>
      <c r="H40" s="29"/>
      <c r="I40" s="120">
        <v>3100000</v>
      </c>
      <c r="J40" s="92"/>
      <c r="K40" s="92"/>
      <c r="L40" s="120">
        <v>2600000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August 2015</oddFoot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334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40815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339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658677</v>
      </c>
      <c r="H9" s="102"/>
      <c r="I9" s="103">
        <v>1534786</v>
      </c>
      <c r="J9" s="92"/>
      <c r="K9" s="92"/>
      <c r="L9" s="103">
        <v>2368299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4.1095916203159095E-5</v>
      </c>
      <c r="F10" s="111"/>
      <c r="G10" s="111">
        <v>2389973</v>
      </c>
      <c r="H10" s="102"/>
      <c r="I10" s="111">
        <v>2390064</v>
      </c>
      <c r="J10" s="92"/>
      <c r="K10" s="92"/>
      <c r="L10" s="111">
        <v>2888520</v>
      </c>
      <c r="M10" s="92"/>
      <c r="N10" s="56">
        <v>98.22</v>
      </c>
      <c r="O10" s="92"/>
      <c r="P10" s="72"/>
      <c r="Q10" s="42"/>
      <c r="R10" s="56">
        <f>123+104+98.22</f>
        <v>325.22000000000003</v>
      </c>
      <c r="S10" s="92"/>
      <c r="T10" s="72"/>
      <c r="U10" s="86"/>
      <c r="V10" s="56">
        <f>89.1+55+62.92</f>
        <v>207.01999999999998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3048650</v>
      </c>
      <c r="H11" s="102"/>
      <c r="I11" s="103">
        <f>SUM(I9:I10)</f>
        <v>3924850</v>
      </c>
      <c r="J11" s="92"/>
      <c r="K11" s="92"/>
      <c r="L11" s="103">
        <f>SUM(L9:L10)</f>
        <v>5256819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325.22000000000003</v>
      </c>
      <c r="S11" s="92"/>
      <c r="T11" s="120">
        <f>SUM(T9:T10)</f>
        <v>0</v>
      </c>
      <c r="U11" s="120"/>
      <c r="V11" s="120">
        <f>SUM(V9:V10)</f>
        <v>207.01999999999998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110776</v>
      </c>
      <c r="H29" s="29"/>
      <c r="I29" s="115">
        <v>110855</v>
      </c>
      <c r="J29" s="40"/>
      <c r="K29" s="40"/>
      <c r="L29" s="115">
        <v>108138</v>
      </c>
      <c r="M29" s="129"/>
      <c r="N29" s="115">
        <v>78.95</v>
      </c>
      <c r="O29" s="40" t="s">
        <v>31</v>
      </c>
      <c r="P29" s="115">
        <v>-3243.63</v>
      </c>
      <c r="Q29" s="40"/>
      <c r="R29" s="115">
        <f>365.1+134.35+78.95</f>
        <v>578.40000000000009</v>
      </c>
      <c r="S29" s="40" t="s">
        <v>31</v>
      </c>
      <c r="T29" s="115">
        <f>1918.28-16826.28-3243.63</f>
        <v>-18151.629999999997</v>
      </c>
      <c r="U29" s="120"/>
      <c r="V29" s="115">
        <f>448.35+138.62+195.9</f>
        <v>782.87</v>
      </c>
      <c r="W29" s="40" t="s">
        <v>31</v>
      </c>
      <c r="X29" s="115">
        <f>-3320.69000000001+4930.67-2440.93</f>
        <v>-830.95000000000982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6739336</v>
      </c>
      <c r="H31" s="29"/>
      <c r="I31" s="152">
        <v>7244065</v>
      </c>
      <c r="J31" s="40"/>
      <c r="K31" s="40"/>
      <c r="L31" s="152">
        <v>5516588</v>
      </c>
      <c r="M31" s="129"/>
      <c r="N31" s="38">
        <v>4728.88</v>
      </c>
      <c r="O31" s="40"/>
      <c r="P31" s="45">
        <v>0</v>
      </c>
      <c r="Q31" s="40"/>
      <c r="R31" s="38">
        <f>5423.16+5155.92+4728.88</f>
        <v>15307.96</v>
      </c>
      <c r="S31" s="40"/>
      <c r="T31" s="45">
        <v>0</v>
      </c>
      <c r="U31" s="93"/>
      <c r="V31" s="38">
        <f>3751.67+6624.67+3798.96</f>
        <v>14175.3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502354</v>
      </c>
      <c r="H32" s="29"/>
      <c r="I32" s="45">
        <v>238325</v>
      </c>
      <c r="J32" s="40"/>
      <c r="K32" s="40"/>
      <c r="L32" s="45">
        <v>770485</v>
      </c>
      <c r="M32" s="129"/>
      <c r="N32" s="38"/>
      <c r="O32" s="40"/>
      <c r="P32" s="45">
        <v>-260785.42</v>
      </c>
      <c r="Q32" s="40"/>
      <c r="R32" s="38"/>
      <c r="S32" s="40"/>
      <c r="T32" s="45">
        <f>-25224.97-294202.34-260785.42</f>
        <v>-580212.7300000001</v>
      </c>
      <c r="U32" s="119"/>
      <c r="V32" s="38"/>
      <c r="W32" s="40"/>
      <c r="X32" s="45">
        <f>-91069.15+86096.29-168986</f>
        <v>-173958.86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-30000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6789389</v>
      </c>
      <c r="H35" s="29"/>
      <c r="I35" s="116">
        <f>SUM(I29:I34)</f>
        <v>7030168</v>
      </c>
      <c r="J35" s="40"/>
      <c r="K35" s="40"/>
      <c r="L35" s="116">
        <f>SUM(L29:L34)</f>
        <v>5832134</v>
      </c>
      <c r="M35" s="129"/>
      <c r="N35" s="116">
        <f>SUM(N29:N34)</f>
        <v>4807.83</v>
      </c>
      <c r="O35" s="40"/>
      <c r="P35" s="116">
        <f>SUM(P29:P34)</f>
        <v>-264029.05</v>
      </c>
      <c r="Q35" s="40"/>
      <c r="R35" s="116">
        <f>SUM(R29:R34)</f>
        <v>15886.359999999999</v>
      </c>
      <c r="S35" s="40"/>
      <c r="T35" s="116">
        <f>SUM(T29:T34)</f>
        <v>-598364.3600000001</v>
      </c>
      <c r="U35" s="120"/>
      <c r="V35" s="116">
        <f>SUM(V29:V34)</f>
        <v>14958.17</v>
      </c>
      <c r="W35" s="40"/>
      <c r="X35" s="116">
        <f>SUM(X29:X34)</f>
        <v>-204789.81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10606470.65</v>
      </c>
      <c r="H37" s="29"/>
      <c r="I37" s="107">
        <f>+I35+I25+I19+I11</f>
        <v>11723449.65</v>
      </c>
      <c r="J37" s="92"/>
      <c r="K37" s="92"/>
      <c r="L37" s="107">
        <f>+L35+L25+L19+L11</f>
        <v>11857384.65</v>
      </c>
      <c r="M37" s="129"/>
      <c r="N37" s="107">
        <f>+N35+N25+N19+N11</f>
        <v>4906.05</v>
      </c>
      <c r="O37" s="92"/>
      <c r="P37" s="107">
        <f>+P35+P25+P19+P11</f>
        <v>-264029.05</v>
      </c>
      <c r="Q37" s="92"/>
      <c r="R37" s="107">
        <f>+R35+R25+R19+R11</f>
        <v>16211.579999999998</v>
      </c>
      <c r="S37" s="92"/>
      <c r="T37" s="107">
        <f>+T35+T25+T19+T11</f>
        <v>-598364.3600000001</v>
      </c>
      <c r="U37" s="120"/>
      <c r="V37" s="107">
        <f>+V35+V25+V19+V11</f>
        <v>15165.19</v>
      </c>
      <c r="W37" s="92"/>
      <c r="X37" s="107">
        <f>+X35+X25+X19+X11</f>
        <v>-204789.81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3502363</v>
      </c>
      <c r="H39" s="29"/>
      <c r="I39" s="175">
        <v>3492295</v>
      </c>
      <c r="J39" s="92"/>
      <c r="K39" s="92"/>
      <c r="L39" s="175">
        <v>3073569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3100000</v>
      </c>
      <c r="H40" s="29"/>
      <c r="I40" s="120">
        <v>3150000</v>
      </c>
      <c r="J40" s="92"/>
      <c r="K40" s="92"/>
      <c r="L40" s="120">
        <v>2650000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September 2015</oddFoot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334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40845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341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1534786</v>
      </c>
      <c r="H9" s="102"/>
      <c r="I9" s="103">
        <v>822324</v>
      </c>
      <c r="J9" s="92"/>
      <c r="K9" s="92"/>
      <c r="L9" s="103">
        <v>1296847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4.1094351534940138E-5</v>
      </c>
      <c r="F10" s="111"/>
      <c r="G10" s="111">
        <v>2390064</v>
      </c>
      <c r="H10" s="102"/>
      <c r="I10" s="111">
        <v>2390155</v>
      </c>
      <c r="J10" s="92"/>
      <c r="K10" s="92"/>
      <c r="L10" s="111">
        <v>2888636</v>
      </c>
      <c r="M10" s="92"/>
      <c r="N10" s="56">
        <v>98.22</v>
      </c>
      <c r="O10" s="92"/>
      <c r="P10" s="72"/>
      <c r="Q10" s="42"/>
      <c r="R10" s="56">
        <f>123+104+98.22+98.22</f>
        <v>423.44000000000005</v>
      </c>
      <c r="S10" s="92"/>
      <c r="T10" s="72"/>
      <c r="U10" s="86"/>
      <c r="V10" s="56">
        <f>89.1+55+62.92+122.66</f>
        <v>329.67999999999995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3924850</v>
      </c>
      <c r="H11" s="102"/>
      <c r="I11" s="103">
        <f>SUM(I9:I10)</f>
        <v>3212479</v>
      </c>
      <c r="J11" s="92"/>
      <c r="K11" s="92"/>
      <c r="L11" s="103">
        <f>SUM(L9:L10)</f>
        <v>4185483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423.44000000000005</v>
      </c>
      <c r="S11" s="92"/>
      <c r="T11" s="120">
        <f>SUM(T9:T10)</f>
        <v>0</v>
      </c>
      <c r="U11" s="120"/>
      <c r="V11" s="120">
        <f>SUM(V9:V10)</f>
        <v>329.67999999999995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110855</v>
      </c>
      <c r="H29" s="29"/>
      <c r="I29" s="115">
        <v>111066</v>
      </c>
      <c r="J29" s="40"/>
      <c r="K29" s="40"/>
      <c r="L29" s="115">
        <v>108560</v>
      </c>
      <c r="M29" s="129"/>
      <c r="N29" s="115">
        <v>211.11</v>
      </c>
      <c r="O29" s="40" t="s">
        <v>31</v>
      </c>
      <c r="P29" s="115">
        <v>3773.23</v>
      </c>
      <c r="Q29" s="40"/>
      <c r="R29" s="115">
        <f>365.1+134.35+78.95+211.11</f>
        <v>789.5100000000001</v>
      </c>
      <c r="S29" s="40" t="s">
        <v>31</v>
      </c>
      <c r="T29" s="115">
        <f>1918.28-16826.28-3243.63+3773.23</f>
        <v>-14378.399999999998</v>
      </c>
      <c r="U29" s="120"/>
      <c r="V29" s="115">
        <f>448.35+138.62+195.9+421.66</f>
        <v>1204.53</v>
      </c>
      <c r="W29" s="40" t="s">
        <v>31</v>
      </c>
      <c r="X29" s="115">
        <f>-3320.69000000001+4930.67-2440.93+3237.84</f>
        <v>2406.8899999999903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7244065</v>
      </c>
      <c r="H31" s="29"/>
      <c r="I31" s="152">
        <v>7249112</v>
      </c>
      <c r="J31" s="40"/>
      <c r="K31" s="40"/>
      <c r="L31" s="152">
        <v>5521424</v>
      </c>
      <c r="M31" s="129"/>
      <c r="N31" s="38">
        <v>5047.75</v>
      </c>
      <c r="O31" s="40"/>
      <c r="P31" s="45">
        <v>0</v>
      </c>
      <c r="Q31" s="40"/>
      <c r="R31" s="38">
        <f>5423.16+5155.92+4728.88+5047.75</f>
        <v>20355.71</v>
      </c>
      <c r="S31" s="40"/>
      <c r="T31" s="45">
        <v>0</v>
      </c>
      <c r="U31" s="93"/>
      <c r="V31" s="38">
        <f>3751.67+6624.67+3798.96+4836.9</f>
        <v>19012.199999999997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238325</v>
      </c>
      <c r="H32" s="29"/>
      <c r="I32" s="45">
        <v>608589</v>
      </c>
      <c r="J32" s="40"/>
      <c r="K32" s="40"/>
      <c r="L32" s="45">
        <v>1048932</v>
      </c>
      <c r="M32" s="129"/>
      <c r="N32" s="38"/>
      <c r="O32" s="40"/>
      <c r="P32" s="45">
        <v>366490.32</v>
      </c>
      <c r="Q32" s="40"/>
      <c r="R32" s="38"/>
      <c r="S32" s="40"/>
      <c r="T32" s="45">
        <f>-25224.97-294202.34-260785.42+366490.23</f>
        <v>-213722.50000000012</v>
      </c>
      <c r="U32" s="119"/>
      <c r="V32" s="38"/>
      <c r="W32" s="40"/>
      <c r="X32" s="45">
        <f>-91069.15+86096.29-168986+245208.78</f>
        <v>71249.920000000013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7030168</v>
      </c>
      <c r="H35" s="29"/>
      <c r="I35" s="116">
        <f>SUM(I29:I34)</f>
        <v>7405690</v>
      </c>
      <c r="J35" s="40"/>
      <c r="K35" s="40"/>
      <c r="L35" s="116">
        <f>SUM(L29:L34)</f>
        <v>6115839</v>
      </c>
      <c r="M35" s="129"/>
      <c r="N35" s="116">
        <f>SUM(N29:N34)</f>
        <v>5258.86</v>
      </c>
      <c r="O35" s="40"/>
      <c r="P35" s="116">
        <f>SUM(P29:P34)</f>
        <v>370263.55</v>
      </c>
      <c r="Q35" s="40"/>
      <c r="R35" s="116">
        <f>SUM(R29:R34)</f>
        <v>21145.219999999998</v>
      </c>
      <c r="S35" s="40"/>
      <c r="T35" s="116">
        <f>SUM(T29:T34)</f>
        <v>-228100.90000000011</v>
      </c>
      <c r="U35" s="120"/>
      <c r="V35" s="116">
        <f>SUM(V29:V34)</f>
        <v>20216.729999999996</v>
      </c>
      <c r="W35" s="40"/>
      <c r="X35" s="116">
        <f>SUM(X29:X34)</f>
        <v>73656.81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11723449.65</v>
      </c>
      <c r="H37" s="29"/>
      <c r="I37" s="107">
        <f>+I35+I25+I19+I11</f>
        <v>11386600.65</v>
      </c>
      <c r="J37" s="92"/>
      <c r="K37" s="92"/>
      <c r="L37" s="107">
        <f>+L35+L25+L19+L11</f>
        <v>11069753.65</v>
      </c>
      <c r="M37" s="129"/>
      <c r="N37" s="107">
        <f>+N35+N25+N19+N11</f>
        <v>5357.08</v>
      </c>
      <c r="O37" s="92"/>
      <c r="P37" s="107">
        <f>+P35+P25+P19+P11</f>
        <v>370263.55</v>
      </c>
      <c r="Q37" s="92"/>
      <c r="R37" s="107">
        <f>+R35+R25+R19+R11</f>
        <v>21568.659999999996</v>
      </c>
      <c r="S37" s="92"/>
      <c r="T37" s="107">
        <f>+T35+T25+T19+T11</f>
        <v>-228100.90000000011</v>
      </c>
      <c r="U37" s="120"/>
      <c r="V37" s="107">
        <f>+V35+V25+V19+V11</f>
        <v>20546.409999999996</v>
      </c>
      <c r="W37" s="92"/>
      <c r="X37" s="107">
        <f>+X35+X25+X19+X11</f>
        <v>73656.81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3492295</v>
      </c>
      <c r="H39" s="29"/>
      <c r="I39" s="175">
        <v>3662083</v>
      </c>
      <c r="J39" s="92"/>
      <c r="K39" s="92"/>
      <c r="L39" s="175">
        <v>3168497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3150000</v>
      </c>
      <c r="H40" s="29"/>
      <c r="I40" s="120">
        <v>3200000</v>
      </c>
      <c r="J40" s="92"/>
      <c r="K40" s="92"/>
      <c r="L40" s="120">
        <v>2700000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October 2015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T50"/>
  <sheetViews>
    <sheetView topLeftCell="A2" workbookViewId="0">
      <pane xSplit="2" ySplit="7" topLeftCell="D18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127482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764480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1323429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8893827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334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40876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342</v>
      </c>
      <c r="H6" s="102"/>
      <c r="I6" s="80" t="s">
        <v>343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822324</v>
      </c>
      <c r="H9" s="102"/>
      <c r="I9" s="103">
        <v>857009</v>
      </c>
      <c r="J9" s="92"/>
      <c r="K9" s="92"/>
      <c r="L9" s="103">
        <v>552027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4.7899769177498431E-5</v>
      </c>
      <c r="F10" s="111"/>
      <c r="G10" s="111">
        <v>2390155</v>
      </c>
      <c r="H10" s="102"/>
      <c r="I10" s="111">
        <v>1390239</v>
      </c>
      <c r="J10" s="92"/>
      <c r="K10" s="92"/>
      <c r="L10" s="111">
        <v>2888740</v>
      </c>
      <c r="M10" s="92"/>
      <c r="N10" s="56">
        <v>90.54</v>
      </c>
      <c r="O10" s="92"/>
      <c r="P10" s="72"/>
      <c r="Q10" s="42"/>
      <c r="R10" s="56">
        <f>123+104+98.22+98.22+90.54</f>
        <v>513.98</v>
      </c>
      <c r="S10" s="92"/>
      <c r="T10" s="72"/>
      <c r="U10" s="86"/>
      <c r="V10" s="56">
        <f>89.1+55+62.92+122.66+110.8</f>
        <v>440.47999999999996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3212479</v>
      </c>
      <c r="H11" s="102"/>
      <c r="I11" s="103">
        <f>SUM(I9:I10)</f>
        <v>2247248</v>
      </c>
      <c r="J11" s="92"/>
      <c r="K11" s="92"/>
      <c r="L11" s="103">
        <f>SUM(L9:L10)</f>
        <v>3440767</v>
      </c>
      <c r="M11" s="92"/>
      <c r="N11" s="120">
        <f>SUM(N9:N10)</f>
        <v>90.54</v>
      </c>
      <c r="O11" s="92"/>
      <c r="P11" s="120">
        <f>SUM(P9:P10)</f>
        <v>0</v>
      </c>
      <c r="Q11" s="85"/>
      <c r="R11" s="120">
        <f>SUM(R9:R10)</f>
        <v>513.98</v>
      </c>
      <c r="S11" s="92"/>
      <c r="T11" s="120">
        <f>SUM(T9:T10)</f>
        <v>0</v>
      </c>
      <c r="U11" s="120"/>
      <c r="V11" s="120">
        <f>SUM(V9:V10)</f>
        <v>440.47999999999996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111066</v>
      </c>
      <c r="H29" s="29"/>
      <c r="I29" s="115">
        <v>111146</v>
      </c>
      <c r="J29" s="40"/>
      <c r="K29" s="40"/>
      <c r="L29" s="115">
        <v>108698</v>
      </c>
      <c r="M29" s="129"/>
      <c r="N29" s="115">
        <v>79.91</v>
      </c>
      <c r="O29" s="40" t="s">
        <v>31</v>
      </c>
      <c r="P29" s="115">
        <v>489.03</v>
      </c>
      <c r="Q29" s="40"/>
      <c r="R29" s="115">
        <f>365.1+134.35+78.95+211.11+79.91</f>
        <v>869.42000000000007</v>
      </c>
      <c r="S29" s="40" t="s">
        <v>31</v>
      </c>
      <c r="T29" s="115">
        <f>1918.28-16826.28-3243.63+3773.23+489.03</f>
        <v>-13889.369999999997</v>
      </c>
      <c r="U29" s="120"/>
      <c r="V29" s="115">
        <f>448.35+138.62+195.9+421.66+138</f>
        <v>1342.53</v>
      </c>
      <c r="W29" s="40" t="s">
        <v>31</v>
      </c>
      <c r="X29" s="115">
        <f>-3320.69000000001+4930.67-2440.93+3237.84+3290.63</f>
        <v>5697.5199999999904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7249112</v>
      </c>
      <c r="H31" s="29"/>
      <c r="I31" s="152">
        <v>7253949</v>
      </c>
      <c r="J31" s="40"/>
      <c r="K31" s="40"/>
      <c r="L31" s="152">
        <v>5524655</v>
      </c>
      <c r="M31" s="129"/>
      <c r="N31" s="38">
        <v>4836.6000000000004</v>
      </c>
      <c r="O31" s="40"/>
      <c r="P31" s="45">
        <v>0</v>
      </c>
      <c r="Q31" s="40"/>
      <c r="R31" s="38">
        <f>5423.16+5155.92+4728.88+5047.75+4836.6</f>
        <v>25192.309999999998</v>
      </c>
      <c r="S31" s="40"/>
      <c r="T31" s="45">
        <v>0</v>
      </c>
      <c r="U31" s="93"/>
      <c r="V31" s="38">
        <f>3751.67+6624.67+3798.96+4836.9+3230.51</f>
        <v>22242.71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608589</v>
      </c>
      <c r="H32" s="29"/>
      <c r="I32" s="45">
        <v>564128</v>
      </c>
      <c r="J32" s="40"/>
      <c r="K32" s="40"/>
      <c r="L32" s="45">
        <v>1120424</v>
      </c>
      <c r="M32" s="129"/>
      <c r="N32" s="38"/>
      <c r="O32" s="40"/>
      <c r="P32" s="45">
        <v>-44949.48</v>
      </c>
      <c r="Q32" s="40"/>
      <c r="R32" s="38"/>
      <c r="S32" s="40"/>
      <c r="T32" s="45">
        <f>-25224.97-294202.34-260785.42+366490.23-44949.48</f>
        <v>-258671.98000000013</v>
      </c>
      <c r="U32" s="119"/>
      <c r="V32" s="38"/>
      <c r="W32" s="40"/>
      <c r="X32" s="45">
        <f>-91069.15+86096.29-168986+245208.78+68202.6</f>
        <v>139452.52000000002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7405690</v>
      </c>
      <c r="H35" s="29"/>
      <c r="I35" s="116">
        <f>SUM(I29:I34)</f>
        <v>7366146</v>
      </c>
      <c r="J35" s="40"/>
      <c r="K35" s="40"/>
      <c r="L35" s="116">
        <f>SUM(L29:L34)</f>
        <v>6190700</v>
      </c>
      <c r="M35" s="129"/>
      <c r="N35" s="116">
        <f>SUM(N29:N34)</f>
        <v>4916.51</v>
      </c>
      <c r="O35" s="40"/>
      <c r="P35" s="116">
        <f>SUM(P29:P34)</f>
        <v>-44460.450000000004</v>
      </c>
      <c r="Q35" s="40"/>
      <c r="R35" s="116">
        <f>SUM(R29:R34)</f>
        <v>26061.729999999996</v>
      </c>
      <c r="S35" s="40"/>
      <c r="T35" s="116">
        <f>SUM(T29:T34)</f>
        <v>-272561.35000000015</v>
      </c>
      <c r="U35" s="120"/>
      <c r="V35" s="116">
        <f>SUM(V29:V34)</f>
        <v>23585.239999999998</v>
      </c>
      <c r="W35" s="40"/>
      <c r="X35" s="116">
        <f>SUM(X29:X34)</f>
        <v>145150.04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11386600.65</v>
      </c>
      <c r="H37" s="29"/>
      <c r="I37" s="107">
        <f>+I35+I25+I19+I11</f>
        <v>10381825.65</v>
      </c>
      <c r="J37" s="92"/>
      <c r="K37" s="92"/>
      <c r="L37" s="107">
        <f>+L35+L25+L19+L11</f>
        <v>10399898.65</v>
      </c>
      <c r="M37" s="129"/>
      <c r="N37" s="107">
        <f>+N35+N25+N19+N11</f>
        <v>5007.05</v>
      </c>
      <c r="O37" s="92"/>
      <c r="P37" s="107">
        <f>+P35+P25+P19+P11</f>
        <v>-44460.450000000004</v>
      </c>
      <c r="Q37" s="92"/>
      <c r="R37" s="107">
        <f>+R35+R25+R19+R11</f>
        <v>26575.709999999995</v>
      </c>
      <c r="S37" s="92"/>
      <c r="T37" s="107">
        <f>+T35+T25+T19+T11</f>
        <v>-272561.35000000015</v>
      </c>
      <c r="U37" s="120"/>
      <c r="V37" s="107">
        <f>+V35+V25+V19+V11</f>
        <v>24025.719999999998</v>
      </c>
      <c r="W37" s="92"/>
      <c r="X37" s="107">
        <f>+X35+X25+X19+X11</f>
        <v>145150.04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3662083</v>
      </c>
      <c r="H39" s="29"/>
      <c r="I39" s="175">
        <v>3706573</v>
      </c>
      <c r="J39" s="92"/>
      <c r="K39" s="92"/>
      <c r="L39" s="175">
        <v>3239841.06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3200000</v>
      </c>
      <c r="H40" s="29"/>
      <c r="I40" s="120">
        <v>3250000</v>
      </c>
      <c r="J40" s="92"/>
      <c r="K40" s="92"/>
      <c r="L40" s="120">
        <v>2750000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November  2015</oddFoot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FF00"/>
    <pageSetUpPr fitToPage="1"/>
  </sheetPr>
  <dimension ref="A1:AD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334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40906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344</v>
      </c>
      <c r="H6" s="102"/>
      <c r="I6" s="80" t="s">
        <v>345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857009</v>
      </c>
      <c r="H9" s="102"/>
      <c r="I9" s="103">
        <v>672189</v>
      </c>
      <c r="J9" s="92"/>
      <c r="K9" s="92"/>
      <c r="L9" s="103">
        <v>56747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4.5603574267832421E-5</v>
      </c>
      <c r="F10" s="111"/>
      <c r="G10" s="111">
        <v>1390239</v>
      </c>
      <c r="H10" s="102"/>
      <c r="I10" s="111">
        <v>890284</v>
      </c>
      <c r="J10" s="92"/>
      <c r="K10" s="92"/>
      <c r="L10" s="111">
        <v>2888863</v>
      </c>
      <c r="M10" s="92"/>
      <c r="N10" s="56">
        <v>52</v>
      </c>
      <c r="O10" s="92"/>
      <c r="P10" s="72"/>
      <c r="Q10" s="42"/>
      <c r="R10" s="56">
        <f>123+104+98.22+98.22+90.54+52</f>
        <v>565.98</v>
      </c>
      <c r="S10" s="92"/>
      <c r="T10" s="72"/>
      <c r="U10" s="86"/>
      <c r="V10" s="56">
        <f>89.1+55+62.92+122.66+110.8+130.59</f>
        <v>571.06999999999994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2247248</v>
      </c>
      <c r="H11" s="102"/>
      <c r="I11" s="103">
        <f>SUM(I9:I10)</f>
        <v>1562473</v>
      </c>
      <c r="J11" s="92"/>
      <c r="K11" s="92"/>
      <c r="L11" s="103">
        <f>SUM(L9:L10)</f>
        <v>2945610</v>
      </c>
      <c r="M11" s="92"/>
      <c r="N11" s="120">
        <f>SUM(N9:N10)</f>
        <v>52</v>
      </c>
      <c r="O11" s="92"/>
      <c r="P11" s="120">
        <f>SUM(P9:P10)</f>
        <v>0</v>
      </c>
      <c r="Q11" s="85"/>
      <c r="R11" s="120">
        <f>SUM(R9:R10)</f>
        <v>565.98</v>
      </c>
      <c r="S11" s="92"/>
      <c r="T11" s="120">
        <f>SUM(T9:T10)</f>
        <v>0</v>
      </c>
      <c r="U11" s="120"/>
      <c r="V11" s="120">
        <f>SUM(V9:V10)</f>
        <v>571.06999999999994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111146</v>
      </c>
      <c r="H29" s="29"/>
      <c r="I29" s="115">
        <v>111521</v>
      </c>
      <c r="J29" s="40"/>
      <c r="K29" s="40"/>
      <c r="L29" s="115">
        <v>108975</v>
      </c>
      <c r="M29" s="129"/>
      <c r="N29" s="115">
        <v>375</v>
      </c>
      <c r="O29" s="40" t="s">
        <v>31</v>
      </c>
      <c r="P29" s="115">
        <v>-2870</v>
      </c>
      <c r="Q29" s="40"/>
      <c r="R29" s="115">
        <f>365.1+134.35+78.95+211.11+79.91+375</f>
        <v>1244.42</v>
      </c>
      <c r="S29" s="40" t="s">
        <v>31</v>
      </c>
      <c r="T29" s="115">
        <f>1918.28-16826.28-3243.63+3773.23+489.03-2870</f>
        <v>-16759.369999999995</v>
      </c>
      <c r="U29" s="120"/>
      <c r="V29" s="115">
        <f>448.35+138.62+195.9+421.66+138+276.47</f>
        <v>1619</v>
      </c>
      <c r="W29" s="40" t="s">
        <v>31</v>
      </c>
      <c r="X29" s="115">
        <f>-3320.69000000001+4930.67-2440.93+3237.84+3290.63-655.21</f>
        <v>5042.3099999999904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7253949</v>
      </c>
      <c r="H31" s="29"/>
      <c r="I31" s="152">
        <v>7422292</v>
      </c>
      <c r="J31" s="40"/>
      <c r="K31" s="40"/>
      <c r="L31" s="152">
        <v>5690201</v>
      </c>
      <c r="M31" s="129"/>
      <c r="N31" s="38">
        <v>168344</v>
      </c>
      <c r="O31" s="40"/>
      <c r="P31" s="45">
        <v>0</v>
      </c>
      <c r="Q31" s="40"/>
      <c r="R31" s="38">
        <f>5423.16+5155.92+4728.88+5047.75+4836.6+168344</f>
        <v>193536.31</v>
      </c>
      <c r="S31" s="40"/>
      <c r="T31" s="45">
        <v>0</v>
      </c>
      <c r="U31" s="93"/>
      <c r="V31" s="38">
        <f>3751.67+6624.67+3798.96+4836.9+3230.51+165546.35</f>
        <v>187789.06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564128</v>
      </c>
      <c r="H32" s="29"/>
      <c r="I32" s="45">
        <v>264851</v>
      </c>
      <c r="J32" s="40"/>
      <c r="K32" s="40"/>
      <c r="L32" s="45">
        <v>880199</v>
      </c>
      <c r="M32" s="129"/>
      <c r="N32" s="38"/>
      <c r="O32" s="40"/>
      <c r="P32" s="45">
        <v>-296408</v>
      </c>
      <c r="Q32" s="40"/>
      <c r="R32" s="38"/>
      <c r="S32" s="40"/>
      <c r="T32" s="45">
        <f>-25224.97-294202.34-260785.42+366490.23-44949.48-296408</f>
        <v>-555079.9800000001</v>
      </c>
      <c r="U32" s="119"/>
      <c r="V32" s="38"/>
      <c r="W32" s="40"/>
      <c r="X32" s="45">
        <f>-91069.15+86096.29-168986+245208.78+68202.6-239570</f>
        <v>-100117.47999999998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7366146</v>
      </c>
      <c r="H35" s="29"/>
      <c r="I35" s="116">
        <f>SUM(I29:I34)</f>
        <v>7235587</v>
      </c>
      <c r="J35" s="40"/>
      <c r="K35" s="40"/>
      <c r="L35" s="116">
        <f>SUM(L29:L34)</f>
        <v>6116298</v>
      </c>
      <c r="M35" s="129"/>
      <c r="N35" s="116">
        <f>SUM(N29:N34)</f>
        <v>168719</v>
      </c>
      <c r="O35" s="40"/>
      <c r="P35" s="116">
        <f>SUM(P29:P34)</f>
        <v>-299278</v>
      </c>
      <c r="Q35" s="40"/>
      <c r="R35" s="116">
        <f>SUM(R29:R34)</f>
        <v>194780.73</v>
      </c>
      <c r="S35" s="40"/>
      <c r="T35" s="116">
        <f>SUM(T29:T34)</f>
        <v>-571839.35000000009</v>
      </c>
      <c r="U35" s="120"/>
      <c r="V35" s="116">
        <f>SUM(V29:V34)</f>
        <v>189408.06</v>
      </c>
      <c r="W35" s="40"/>
      <c r="X35" s="116">
        <f>SUM(X29:X34)</f>
        <v>-95075.169999999984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10381825.65</v>
      </c>
      <c r="H37" s="29"/>
      <c r="I37" s="107">
        <f>+I35+I25+I19+I11</f>
        <v>9566491.6500000004</v>
      </c>
      <c r="J37" s="92"/>
      <c r="K37" s="92"/>
      <c r="L37" s="107">
        <f>+L35+L25+L19+L11</f>
        <v>9830339.6500000004</v>
      </c>
      <c r="M37" s="129"/>
      <c r="N37" s="107">
        <f>+N35+N25+N19+N11</f>
        <v>168771</v>
      </c>
      <c r="O37" s="92"/>
      <c r="P37" s="107">
        <f>+P35+P25+P19+P11</f>
        <v>-299278</v>
      </c>
      <c r="Q37" s="92"/>
      <c r="R37" s="107">
        <f>+R35+R25+R19+R11</f>
        <v>195346.71000000002</v>
      </c>
      <c r="S37" s="92"/>
      <c r="T37" s="107">
        <f>+T35+T25+T19+T11</f>
        <v>-571839.35000000009</v>
      </c>
      <c r="U37" s="120"/>
      <c r="V37" s="107">
        <f>+V35+V25+V19+V11</f>
        <v>189979.13</v>
      </c>
      <c r="W37" s="92"/>
      <c r="X37" s="107">
        <f>+X35+X25+X19+X11</f>
        <v>-95075.169999999984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3706573</v>
      </c>
      <c r="H39" s="29"/>
      <c r="I39" s="175">
        <v>3697868.79</v>
      </c>
      <c r="J39" s="92"/>
      <c r="K39" s="92"/>
      <c r="L39" s="175">
        <v>3266207.44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3250000</v>
      </c>
      <c r="H40" s="29"/>
      <c r="I40" s="120">
        <v>3300000</v>
      </c>
      <c r="J40" s="92"/>
      <c r="K40" s="92"/>
      <c r="L40" s="120">
        <v>2800000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December 2015</oddFoot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tabColor rgb="FFFFFF00"/>
    <pageSetUpPr fitToPage="1"/>
  </sheetPr>
  <dimension ref="A1:AD60"/>
  <sheetViews>
    <sheetView showGridLines="0" topLeftCell="A4" zoomScaleNormal="100" workbookViewId="0">
      <selection activeCell="AA12" sqref="AA1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334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40937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346</v>
      </c>
      <c r="H6" s="102"/>
      <c r="I6" s="80" t="s">
        <v>347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672189</v>
      </c>
      <c r="H9" s="102"/>
      <c r="I9" s="103">
        <v>2176436</v>
      </c>
      <c r="J9" s="92"/>
      <c r="K9" s="92"/>
      <c r="L9" s="103">
        <v>1765227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3.9728270758779644E-5</v>
      </c>
      <c r="F10" s="111"/>
      <c r="G10" s="111">
        <v>890284</v>
      </c>
      <c r="H10" s="102"/>
      <c r="I10" s="111">
        <v>890312</v>
      </c>
      <c r="J10" s="92"/>
      <c r="K10" s="92"/>
      <c r="L10" s="111">
        <v>2888863</v>
      </c>
      <c r="M10" s="92"/>
      <c r="N10" s="56">
        <v>35.369999999999997</v>
      </c>
      <c r="O10" s="92"/>
      <c r="P10" s="72"/>
      <c r="Q10" s="42"/>
      <c r="R10" s="56">
        <f>123+104+98.22+98.22+90.54+52+35.37</f>
        <v>601.35</v>
      </c>
      <c r="S10" s="92"/>
      <c r="T10" s="72"/>
      <c r="U10" s="86"/>
      <c r="V10" s="56">
        <f>89.1+55+62.92+122.66+110.8+130.59+118.73</f>
        <v>689.8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1562473</v>
      </c>
      <c r="H11" s="102"/>
      <c r="I11" s="103">
        <f>SUM(I9:I10)</f>
        <v>3066748</v>
      </c>
      <c r="J11" s="92"/>
      <c r="K11" s="92"/>
      <c r="L11" s="103">
        <f>SUM(L9:L10)</f>
        <v>4654090</v>
      </c>
      <c r="M11" s="92"/>
      <c r="N11" s="120">
        <f>SUM(N9:N10)</f>
        <v>35.369999999999997</v>
      </c>
      <c r="O11" s="92"/>
      <c r="P11" s="120">
        <f>SUM(P9:P10)</f>
        <v>0</v>
      </c>
      <c r="Q11" s="85"/>
      <c r="R11" s="120">
        <f>SUM(R9:R10)</f>
        <v>601.35</v>
      </c>
      <c r="S11" s="92"/>
      <c r="T11" s="120">
        <f>SUM(T9:T10)</f>
        <v>0</v>
      </c>
      <c r="U11" s="120"/>
      <c r="V11" s="120">
        <f>SUM(V9:V10)</f>
        <v>689.8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111521</v>
      </c>
      <c r="H29" s="29"/>
      <c r="I29" s="115">
        <v>111568</v>
      </c>
      <c r="J29" s="40"/>
      <c r="K29" s="40"/>
      <c r="L29" s="115">
        <v>109396</v>
      </c>
      <c r="M29" s="129"/>
      <c r="N29" s="115">
        <v>47.14</v>
      </c>
      <c r="O29" s="40" t="s">
        <v>31</v>
      </c>
      <c r="P29" s="115">
        <v>-2474.17</v>
      </c>
      <c r="Q29" s="40"/>
      <c r="R29" s="115">
        <f>365.1+134.35+78.95+211.11+79.91+375+47.14</f>
        <v>1291.5600000000002</v>
      </c>
      <c r="S29" s="40" t="s">
        <v>31</v>
      </c>
      <c r="T29" s="115">
        <f>1918.28-16826.28-3243.63+3773.23+489.03-2870-2474.17</f>
        <v>-19233.539999999994</v>
      </c>
      <c r="U29" s="120"/>
      <c r="V29" s="115">
        <f>448.35+138.62+195.9+421.66+138+276.47+421.5</f>
        <v>2040.5</v>
      </c>
      <c r="W29" s="40" t="s">
        <v>31</v>
      </c>
      <c r="X29" s="115">
        <f>-3320.69000000001+4930.67-2440.93+3237.84+3290.63-655.21-2531.95</f>
        <v>2510.3599999999906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7422292</v>
      </c>
      <c r="H31" s="29"/>
      <c r="I31" s="152">
        <v>7427673</v>
      </c>
      <c r="J31" s="40"/>
      <c r="K31" s="40"/>
      <c r="L31" s="152">
        <v>5706921</v>
      </c>
      <c r="M31" s="129"/>
      <c r="N31" s="38">
        <v>5381.14</v>
      </c>
      <c r="O31" s="40"/>
      <c r="P31" s="45">
        <v>0</v>
      </c>
      <c r="Q31" s="40"/>
      <c r="R31" s="38">
        <f>5423.16+5155.92+4728.88+5047.75+4836.6+168344+5381.14</f>
        <v>198917.45</v>
      </c>
      <c r="S31" s="40"/>
      <c r="T31" s="45">
        <v>0</v>
      </c>
      <c r="U31" s="93"/>
      <c r="V31" s="38">
        <f>3751.67+6624.67+3798.96+4836.9+3230.51+165546.35+16719.25</f>
        <v>204508.31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264851</v>
      </c>
      <c r="H32" s="29"/>
      <c r="I32" s="45">
        <v>-60434</v>
      </c>
      <c r="J32" s="40"/>
      <c r="K32" s="40"/>
      <c r="L32" s="45">
        <v>824297</v>
      </c>
      <c r="M32" s="129"/>
      <c r="N32" s="38"/>
      <c r="O32" s="40"/>
      <c r="P32" s="45">
        <v>-322811.75</v>
      </c>
      <c r="Q32" s="40"/>
      <c r="R32" s="38"/>
      <c r="S32" s="40"/>
      <c r="T32" s="45">
        <f>-25224.97-294202.34-260785.42+366490.23-44949.48-296408-322811.75</f>
        <v>-877891.7300000001</v>
      </c>
      <c r="U32" s="119"/>
      <c r="V32" s="38"/>
      <c r="W32" s="40"/>
      <c r="X32" s="45">
        <f>-91069.15+86096.29-168986+245208.78+68202.6-239570-53370.35</f>
        <v>-153487.82999999999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7235587</v>
      </c>
      <c r="H35" s="29"/>
      <c r="I35" s="116">
        <f>SUM(I29:I34)</f>
        <v>6915730</v>
      </c>
      <c r="J35" s="40"/>
      <c r="K35" s="40"/>
      <c r="L35" s="116">
        <f>SUM(L29:L34)</f>
        <v>6077537</v>
      </c>
      <c r="M35" s="129"/>
      <c r="N35" s="116">
        <f>SUM(N29:N34)</f>
        <v>5428.2800000000007</v>
      </c>
      <c r="O35" s="40"/>
      <c r="P35" s="116">
        <f>SUM(P29:P34)</f>
        <v>-325285.92</v>
      </c>
      <c r="Q35" s="40"/>
      <c r="R35" s="116">
        <f>SUM(R29:R34)</f>
        <v>200209.01</v>
      </c>
      <c r="S35" s="40"/>
      <c r="T35" s="116">
        <f>SUM(T29:T34)</f>
        <v>-897125.27000000014</v>
      </c>
      <c r="U35" s="120"/>
      <c r="V35" s="116">
        <f>SUM(V29:V34)</f>
        <v>206548.81</v>
      </c>
      <c r="W35" s="40"/>
      <c r="X35" s="116">
        <f>SUM(X29:X34)</f>
        <v>-150977.47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9566491.6500000004</v>
      </c>
      <c r="H37" s="29"/>
      <c r="I37" s="107">
        <f>+I35+I25+I19+I11</f>
        <v>10750909.65</v>
      </c>
      <c r="J37" s="92"/>
      <c r="K37" s="92"/>
      <c r="L37" s="107">
        <f>+L35+L25+L19+L11</f>
        <v>11500058.65</v>
      </c>
      <c r="M37" s="129"/>
      <c r="N37" s="107">
        <f>+N35+N25+N19+N11</f>
        <v>5463.6500000000005</v>
      </c>
      <c r="O37" s="92"/>
      <c r="P37" s="107">
        <f>+P35+P25+P19+P11</f>
        <v>-325285.92</v>
      </c>
      <c r="Q37" s="92"/>
      <c r="R37" s="107">
        <f>+R35+R25+R19+R11</f>
        <v>200810.36000000002</v>
      </c>
      <c r="S37" s="92"/>
      <c r="T37" s="107">
        <f>+T35+T25+T19+T11</f>
        <v>-897125.27000000014</v>
      </c>
      <c r="U37" s="120"/>
      <c r="V37" s="107">
        <f>+V35+V25+V19+V11</f>
        <v>207238.61</v>
      </c>
      <c r="W37" s="92"/>
      <c r="X37" s="107">
        <f>+X35+X25+X19+X11</f>
        <v>-150977.47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3697868.79</v>
      </c>
      <c r="H39" s="29"/>
      <c r="I39" s="175">
        <v>3628449</v>
      </c>
      <c r="J39" s="92"/>
      <c r="K39" s="92"/>
      <c r="L39" s="175">
        <v>3310672.9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3300000</v>
      </c>
      <c r="H40" s="29"/>
      <c r="I40" s="120">
        <v>3350000</v>
      </c>
      <c r="J40" s="92"/>
      <c r="K40" s="92"/>
      <c r="L40" s="120">
        <v>2850000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2016
</oddFoot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334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40967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348</v>
      </c>
      <c r="H6" s="102"/>
      <c r="I6" s="80" t="s">
        <v>349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2176436</v>
      </c>
      <c r="H9" s="102"/>
      <c r="I9" s="103">
        <v>1645309</v>
      </c>
      <c r="J9" s="92"/>
      <c r="K9" s="92"/>
      <c r="L9" s="103">
        <v>949498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4.7541372552805599E-5</v>
      </c>
      <c r="F10" s="111"/>
      <c r="G10" s="111">
        <v>890312</v>
      </c>
      <c r="H10" s="102"/>
      <c r="I10" s="111">
        <v>2890395</v>
      </c>
      <c r="J10" s="92"/>
      <c r="K10" s="92"/>
      <c r="L10" s="111">
        <v>4889101</v>
      </c>
      <c r="M10" s="92"/>
      <c r="N10" s="56">
        <v>89.87</v>
      </c>
      <c r="O10" s="92"/>
      <c r="P10" s="72"/>
      <c r="Q10" s="42"/>
      <c r="R10" s="56">
        <f>123+104+98.22+98.22+90.54+52+35.37+89.87</f>
        <v>691.22</v>
      </c>
      <c r="S10" s="92"/>
      <c r="T10" s="72"/>
      <c r="U10" s="86"/>
      <c r="V10" s="56">
        <f>89.1+55+62.92+122.66+110.8+130.59+118.73+132.73</f>
        <v>822.53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3066748</v>
      </c>
      <c r="H11" s="102"/>
      <c r="I11" s="103">
        <f>SUM(I9:I10)</f>
        <v>4535704</v>
      </c>
      <c r="J11" s="92"/>
      <c r="K11" s="92"/>
      <c r="L11" s="103">
        <f>SUM(L9:L10)</f>
        <v>5838599</v>
      </c>
      <c r="M11" s="92"/>
      <c r="N11" s="120">
        <f>SUM(N9:N10)</f>
        <v>89.87</v>
      </c>
      <c r="O11" s="92"/>
      <c r="P11" s="120">
        <f>SUM(P9:P10)</f>
        <v>0</v>
      </c>
      <c r="Q11" s="85"/>
      <c r="R11" s="120">
        <f>SUM(R9:R10)</f>
        <v>691.22</v>
      </c>
      <c r="S11" s="92"/>
      <c r="T11" s="120">
        <f>SUM(T9:T10)</f>
        <v>0</v>
      </c>
      <c r="U11" s="120"/>
      <c r="V11" s="120">
        <f>SUM(V9:V10)</f>
        <v>822.53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111568</v>
      </c>
      <c r="H29" s="29"/>
      <c r="I29" s="115">
        <v>111764</v>
      </c>
      <c r="J29" s="40"/>
      <c r="K29" s="40"/>
      <c r="L29" s="115">
        <v>109531</v>
      </c>
      <c r="M29" s="129"/>
      <c r="N29" s="115">
        <v>196.04</v>
      </c>
      <c r="O29" s="40" t="s">
        <v>31</v>
      </c>
      <c r="P29" s="115">
        <v>588.97</v>
      </c>
      <c r="Q29" s="40"/>
      <c r="R29" s="115">
        <f>365.1+134.35+78.95+211.11+79.91+375+47.14+196.04</f>
        <v>1487.6000000000001</v>
      </c>
      <c r="S29" s="40" t="s">
        <v>31</v>
      </c>
      <c r="T29" s="115">
        <f>1918.28-16826.28-3243.63+3773.23+489.03-2870-2474.17+588.97</f>
        <v>-18644.569999999992</v>
      </c>
      <c r="U29" s="120"/>
      <c r="V29" s="115">
        <f>448.35+138.62+195.9+421.66+138+276.47+421.5+135.2</f>
        <v>2175.6999999999998</v>
      </c>
      <c r="W29" s="40" t="s">
        <v>31</v>
      </c>
      <c r="X29" s="115">
        <f>-3320.69000000001+4930.67-2440.93+3237.84+3290.63-655.21-2531.95+5380.35</f>
        <v>7890.7099999999909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7427673</v>
      </c>
      <c r="H31" s="29"/>
      <c r="I31" s="152">
        <v>7431313</v>
      </c>
      <c r="J31" s="40"/>
      <c r="K31" s="40"/>
      <c r="L31" s="152">
        <v>5710538</v>
      </c>
      <c r="M31" s="129"/>
      <c r="N31" s="38">
        <v>3639.24</v>
      </c>
      <c r="O31" s="40"/>
      <c r="P31" s="45">
        <v>0</v>
      </c>
      <c r="Q31" s="40"/>
      <c r="R31" s="38">
        <f>5423.16+5155.92+4728.88+5047.75+4836.6+168344+5381.14+3639.24</f>
        <v>202556.69</v>
      </c>
      <c r="S31" s="40"/>
      <c r="T31" s="45">
        <v>0</v>
      </c>
      <c r="U31" s="93"/>
      <c r="V31" s="38">
        <f>3751.67+6624.67+3798.96+4836.9+3230.51+165546.35+16719.25+3616.59</f>
        <v>208124.9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-60434</v>
      </c>
      <c r="H32" s="29"/>
      <c r="I32" s="45">
        <v>-97086</v>
      </c>
      <c r="J32" s="40"/>
      <c r="K32" s="40"/>
      <c r="L32" s="45">
        <v>1085887</v>
      </c>
      <c r="M32" s="129"/>
      <c r="N32" s="38"/>
      <c r="O32" s="40"/>
      <c r="P32" s="45">
        <v>-37240.29</v>
      </c>
      <c r="Q32" s="40"/>
      <c r="R32" s="38"/>
      <c r="S32" s="40"/>
      <c r="T32" s="45">
        <f>-25224.97-294202.34-260785.42+366490.23-44949.48-296408-322811.75-37240.29</f>
        <v>-915132.02000000014</v>
      </c>
      <c r="U32" s="119"/>
      <c r="V32" s="38"/>
      <c r="W32" s="40"/>
      <c r="X32" s="45">
        <f>-91069.15+86096.29-168986+245208.78+68202.6-239570-53370.35+256210.34</f>
        <v>102722.51000000001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-563076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6915730</v>
      </c>
      <c r="H35" s="29"/>
      <c r="I35" s="116">
        <f>SUM(I29:I34)</f>
        <v>6882914</v>
      </c>
      <c r="J35" s="40"/>
      <c r="K35" s="40"/>
      <c r="L35" s="116">
        <f>SUM(L29:L34)</f>
        <v>6342880</v>
      </c>
      <c r="M35" s="129"/>
      <c r="N35" s="116">
        <f>SUM(N29:N34)</f>
        <v>3835.2799999999997</v>
      </c>
      <c r="O35" s="40"/>
      <c r="P35" s="116">
        <f>SUM(P29:P34)</f>
        <v>-36651.32</v>
      </c>
      <c r="Q35" s="40"/>
      <c r="R35" s="116">
        <f>SUM(R29:R34)</f>
        <v>204044.29</v>
      </c>
      <c r="S35" s="40"/>
      <c r="T35" s="116">
        <f>SUM(T29:T34)</f>
        <v>-933776.59000000008</v>
      </c>
      <c r="U35" s="120"/>
      <c r="V35" s="116">
        <f>SUM(V29:V34)</f>
        <v>210300.6</v>
      </c>
      <c r="W35" s="40"/>
      <c r="X35" s="116">
        <f>SUM(X29:X34)</f>
        <v>110613.22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10750909.65</v>
      </c>
      <c r="H37" s="29"/>
      <c r="I37" s="107">
        <f>+I35+I25+I19+I11</f>
        <v>12187049.65</v>
      </c>
      <c r="J37" s="92"/>
      <c r="K37" s="92"/>
      <c r="L37" s="107">
        <f>+L35+L25+L19+L11</f>
        <v>12949910.65</v>
      </c>
      <c r="M37" s="129"/>
      <c r="N37" s="107">
        <f>+N35+N25+N19+N11</f>
        <v>3925.1499999999996</v>
      </c>
      <c r="O37" s="92"/>
      <c r="P37" s="107">
        <f>+P35+P25+P19+P11</f>
        <v>-36651.32</v>
      </c>
      <c r="Q37" s="92"/>
      <c r="R37" s="107">
        <f>+R35+R25+R19+R11</f>
        <v>204735.51</v>
      </c>
      <c r="S37" s="92"/>
      <c r="T37" s="107">
        <f>+T35+T25+T19+T11</f>
        <v>-933776.59000000008</v>
      </c>
      <c r="U37" s="120"/>
      <c r="V37" s="107">
        <f>+V35+V25+V19+V11</f>
        <v>211123.13</v>
      </c>
      <c r="W37" s="92"/>
      <c r="X37" s="107">
        <f>+X35+X25+X19+X11</f>
        <v>110613.22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3628449</v>
      </c>
      <c r="H39" s="29"/>
      <c r="I39" s="175">
        <v>3626283</v>
      </c>
      <c r="J39" s="92"/>
      <c r="K39" s="92"/>
      <c r="L39" s="175">
        <v>3444856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Februry 2016
</oddFoot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334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40993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350</v>
      </c>
      <c r="H6" s="102"/>
      <c r="I6" s="80" t="s">
        <v>351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1645309</v>
      </c>
      <c r="H9" s="102"/>
      <c r="I9" s="103">
        <v>1333199</v>
      </c>
      <c r="J9" s="92"/>
      <c r="K9" s="92"/>
      <c r="L9" s="103">
        <v>183432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4.2553883422425481E-5</v>
      </c>
      <c r="F10" s="111"/>
      <c r="G10" s="111">
        <v>2890395</v>
      </c>
      <c r="H10" s="102"/>
      <c r="I10" s="111">
        <v>2890511</v>
      </c>
      <c r="J10" s="92"/>
      <c r="K10" s="92"/>
      <c r="L10" s="111">
        <v>4889308</v>
      </c>
      <c r="M10" s="92"/>
      <c r="N10" s="56">
        <v>123</v>
      </c>
      <c r="O10" s="92"/>
      <c r="P10" s="72"/>
      <c r="Q10" s="42"/>
      <c r="R10" s="56">
        <f>123+104+98.22+98.22+90.54+52+35.37+89.87+123</f>
        <v>814.22</v>
      </c>
      <c r="S10" s="92"/>
      <c r="T10" s="72"/>
      <c r="U10" s="86"/>
      <c r="V10" s="56">
        <f>89.1+55+62.92+122.66+110.8+130.59+118.73+132.73+214.32</f>
        <v>1036.8499999999999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4535704</v>
      </c>
      <c r="H11" s="102"/>
      <c r="I11" s="103">
        <f>SUM(I9:I10)</f>
        <v>4223710</v>
      </c>
      <c r="J11" s="92"/>
      <c r="K11" s="92"/>
      <c r="L11" s="103">
        <f>SUM(L9:L10)</f>
        <v>5072740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814.22</v>
      </c>
      <c r="S11" s="92"/>
      <c r="T11" s="120">
        <f>SUM(T9:T10)</f>
        <v>0</v>
      </c>
      <c r="U11" s="120"/>
      <c r="V11" s="120">
        <f>SUM(V9:V10)</f>
        <v>1036.8499999999999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111764</v>
      </c>
      <c r="H29" s="29"/>
      <c r="I29" s="115">
        <v>112163</v>
      </c>
      <c r="J29" s="40"/>
      <c r="K29" s="40"/>
      <c r="L29" s="115">
        <v>109864</v>
      </c>
      <c r="M29" s="129"/>
      <c r="N29" s="115">
        <v>399</v>
      </c>
      <c r="O29" s="40" t="s">
        <v>31</v>
      </c>
      <c r="P29" s="115">
        <v>4768</v>
      </c>
      <c r="Q29" s="40"/>
      <c r="R29" s="115">
        <f>365.1+134.35+78.95+211.11+79.91+375+47.14+196.04+399</f>
        <v>1886.6000000000001</v>
      </c>
      <c r="S29" s="40" t="s">
        <v>31</v>
      </c>
      <c r="T29" s="115">
        <f>1918.28-16826.28-3243.63+3773.23+489.03-2870-2474.17+588.97+4768</f>
        <v>-13876.569999999992</v>
      </c>
      <c r="U29" s="120"/>
      <c r="V29" s="115">
        <f>448.35+138.62+195.9+421.66+138+276.47+421.5+135.2+332.35</f>
        <v>2508.0499999999997</v>
      </c>
      <c r="W29" s="40" t="s">
        <v>31</v>
      </c>
      <c r="X29" s="115">
        <f>-3320.69000000001+4930.67-2440.93+3237.84+3290.63-655.21-2531.95+5380.35-466.64</f>
        <v>7424.0699999999906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7431313</v>
      </c>
      <c r="H31" s="29"/>
      <c r="I31" s="152">
        <v>7436235</v>
      </c>
      <c r="J31" s="40"/>
      <c r="K31" s="40"/>
      <c r="L31" s="152">
        <v>5713719</v>
      </c>
      <c r="M31" s="129"/>
      <c r="N31" s="38">
        <v>4923</v>
      </c>
      <c r="O31" s="40"/>
      <c r="P31" s="45">
        <v>0</v>
      </c>
      <c r="Q31" s="40"/>
      <c r="R31" s="38">
        <f>5423.16+5155.92+4728.88+5047.75+4836.6+168344+5381.14+3639.24+4923</f>
        <v>207479.69</v>
      </c>
      <c r="S31" s="40"/>
      <c r="T31" s="45">
        <v>0</v>
      </c>
      <c r="U31" s="93"/>
      <c r="V31" s="38">
        <f>3751.67+6624.67+3798.96+4836.9+3230.51+165546.35+16719.25+3616.59+3181.52</f>
        <v>211306.41999999998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-97086</v>
      </c>
      <c r="H32" s="29"/>
      <c r="I32" s="45">
        <v>316779</v>
      </c>
      <c r="J32" s="40"/>
      <c r="K32" s="40"/>
      <c r="L32" s="45">
        <v>1034173</v>
      </c>
      <c r="M32" s="129"/>
      <c r="N32" s="38"/>
      <c r="O32" s="40"/>
      <c r="P32" s="45">
        <v>409097</v>
      </c>
      <c r="Q32" s="40"/>
      <c r="R32" s="38"/>
      <c r="S32" s="40"/>
      <c r="T32" s="45">
        <f>-25224.97-294202.34-260785.42+366490.23-44949.48-296408-322811.75-37240.29+409097</f>
        <v>-506035.02000000014</v>
      </c>
      <c r="U32" s="119"/>
      <c r="V32" s="38"/>
      <c r="W32" s="40"/>
      <c r="X32" s="45">
        <f>-91069.15+86096.29-168986+245208.78+68202.6-239570-53370.35+256210.34-51247.33</f>
        <v>51475.180000000008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6882914</v>
      </c>
      <c r="H35" s="29"/>
      <c r="I35" s="116">
        <f>SUM(I29:I34)</f>
        <v>7302100</v>
      </c>
      <c r="J35" s="40"/>
      <c r="K35" s="40"/>
      <c r="L35" s="116">
        <f>SUM(L29:L34)</f>
        <v>6294679</v>
      </c>
      <c r="M35" s="129"/>
      <c r="N35" s="116">
        <f>SUM(N29:N34)</f>
        <v>5322</v>
      </c>
      <c r="O35" s="40"/>
      <c r="P35" s="116">
        <f>SUM(P29:P34)</f>
        <v>413865</v>
      </c>
      <c r="Q35" s="40"/>
      <c r="R35" s="116">
        <f>SUM(R29:R34)</f>
        <v>209366.29</v>
      </c>
      <c r="S35" s="40"/>
      <c r="T35" s="116">
        <f>SUM(T29:T34)</f>
        <v>-519911.59000000014</v>
      </c>
      <c r="U35" s="120"/>
      <c r="V35" s="116">
        <f>SUM(V29:V34)</f>
        <v>213814.46999999997</v>
      </c>
      <c r="W35" s="40"/>
      <c r="X35" s="116">
        <f>SUM(X29:X34)</f>
        <v>58899.25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12187049.65</v>
      </c>
      <c r="H37" s="29"/>
      <c r="I37" s="107">
        <f>+I35+I25+I19+I11</f>
        <v>12294241.65</v>
      </c>
      <c r="J37" s="92"/>
      <c r="K37" s="92"/>
      <c r="L37" s="107">
        <f>+L35+L25+L19+L11</f>
        <v>12135850.65</v>
      </c>
      <c r="M37" s="129"/>
      <c r="N37" s="107">
        <f>+N35+N25+N19+N11</f>
        <v>5445</v>
      </c>
      <c r="O37" s="92"/>
      <c r="P37" s="107">
        <f>+P35+P25+P19+P11</f>
        <v>413865</v>
      </c>
      <c r="Q37" s="92"/>
      <c r="R37" s="107">
        <f>+R35+R25+R19+R11</f>
        <v>210180.51</v>
      </c>
      <c r="S37" s="92"/>
      <c r="T37" s="107">
        <f>+T35+T25+T19+T11</f>
        <v>-519911.59000000014</v>
      </c>
      <c r="U37" s="120"/>
      <c r="V37" s="107">
        <f>+V35+V25+V19+V11</f>
        <v>214851.31999999998</v>
      </c>
      <c r="W37" s="92"/>
      <c r="X37" s="107">
        <f>+X35+X25+X19+X11</f>
        <v>58899.25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3626283</v>
      </c>
      <c r="H39" s="29"/>
      <c r="I39" s="175">
        <v>3901034</v>
      </c>
      <c r="J39" s="92"/>
      <c r="K39" s="92"/>
      <c r="L39" s="175">
        <v>3477419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2016
</oddFoot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FF00"/>
    <pageSetUpPr fitToPage="1"/>
  </sheetPr>
  <dimension ref="A1:AD60"/>
  <sheetViews>
    <sheetView showGridLines="0" topLeftCell="A5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334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41024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352</v>
      </c>
      <c r="H6" s="102"/>
      <c r="I6" s="80" t="s">
        <v>353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1333199</v>
      </c>
      <c r="H9" s="102"/>
      <c r="I9" s="103">
        <v>724799</v>
      </c>
      <c r="J9" s="92"/>
      <c r="K9" s="92"/>
      <c r="L9" s="103">
        <v>625374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3.9729257082957833E-5</v>
      </c>
      <c r="F10" s="111"/>
      <c r="G10" s="111">
        <v>2890511</v>
      </c>
      <c r="H10" s="102"/>
      <c r="I10" s="111">
        <v>2890619</v>
      </c>
      <c r="J10" s="92"/>
      <c r="K10" s="92"/>
      <c r="L10" s="111">
        <v>3889471</v>
      </c>
      <c r="M10" s="92"/>
      <c r="N10" s="56">
        <v>114.84</v>
      </c>
      <c r="O10" s="92"/>
      <c r="P10" s="72"/>
      <c r="Q10" s="42"/>
      <c r="R10" s="56">
        <f>123+104+98.22+98.22+90.54+52+35.37+89.87+123+114.84</f>
        <v>929.06000000000006</v>
      </c>
      <c r="S10" s="92"/>
      <c r="T10" s="72"/>
      <c r="U10" s="86"/>
      <c r="V10" s="56">
        <f>89.1+55+62.92+122.66+110.8+130.59+118.73+132.73+214.32+170</f>
        <v>1206.8499999999999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4223710</v>
      </c>
      <c r="H11" s="102"/>
      <c r="I11" s="103">
        <f>SUM(I9:I10)</f>
        <v>3615418</v>
      </c>
      <c r="J11" s="92"/>
      <c r="K11" s="92"/>
      <c r="L11" s="103">
        <f>SUM(L9:L10)</f>
        <v>4514845</v>
      </c>
      <c r="M11" s="92"/>
      <c r="N11" s="120">
        <f>SUM(N9:N10)</f>
        <v>114.84</v>
      </c>
      <c r="O11" s="92"/>
      <c r="P11" s="120">
        <f>SUM(P9:P10)</f>
        <v>0</v>
      </c>
      <c r="Q11" s="85"/>
      <c r="R11" s="120">
        <f>SUM(R9:R10)</f>
        <v>929.06000000000006</v>
      </c>
      <c r="S11" s="92"/>
      <c r="T11" s="120">
        <f>SUM(T9:T10)</f>
        <v>0</v>
      </c>
      <c r="U11" s="120"/>
      <c r="V11" s="120">
        <f>SUM(V9:V10)</f>
        <v>1206.8499999999999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112163</v>
      </c>
      <c r="H29" s="29"/>
      <c r="I29" s="115">
        <v>112448</v>
      </c>
      <c r="J29" s="40"/>
      <c r="K29" s="40"/>
      <c r="L29" s="115">
        <v>110003</v>
      </c>
      <c r="M29" s="129"/>
      <c r="N29" s="115">
        <v>285.26</v>
      </c>
      <c r="O29" s="40" t="s">
        <v>31</v>
      </c>
      <c r="P29" s="115">
        <v>579.72</v>
      </c>
      <c r="Q29" s="40"/>
      <c r="R29" s="115">
        <f>365.1+134.35+78.95+211.11+79.91+375+47.14+196.04+399+285.26</f>
        <v>2171.86</v>
      </c>
      <c r="S29" s="40" t="s">
        <v>31</v>
      </c>
      <c r="T29" s="115">
        <f>1918.28-16826.28-3243.63+3773.23+489.03-2870-2474.17+588.97+4768+579.72</f>
        <v>-13296.849999999993</v>
      </c>
      <c r="U29" s="120"/>
      <c r="V29" s="115">
        <f>448.35+138.62+195.9+421.66+138+276.47+421.5+135.2+332.35+139.28</f>
        <v>2647.33</v>
      </c>
      <c r="W29" s="40" t="s">
        <v>31</v>
      </c>
      <c r="X29" s="115">
        <f>-3320.69000000001+4930.67-2440.93+3237.84+3290.63-655.21-2531.95+5380.35-466.64-2016.3</f>
        <v>5407.7699999999904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7436235</v>
      </c>
      <c r="H31" s="29"/>
      <c r="I31" s="152">
        <v>7452235</v>
      </c>
      <c r="J31" s="40"/>
      <c r="K31" s="40"/>
      <c r="L31" s="152">
        <v>5720207</v>
      </c>
      <c r="M31" s="129"/>
      <c r="N31" s="38">
        <v>15999.84</v>
      </c>
      <c r="O31" s="40"/>
      <c r="P31" s="45">
        <v>0</v>
      </c>
      <c r="Q31" s="40"/>
      <c r="R31" s="38">
        <f>5423.16+5155.92+4728.88+5047.75+4836.6+168344+5381.14+3639.24+4923+15999.84</f>
        <v>223479.53</v>
      </c>
      <c r="S31" s="40"/>
      <c r="T31" s="45">
        <v>0</v>
      </c>
      <c r="U31" s="93"/>
      <c r="V31" s="38">
        <f>3751.67+6624.67+3798.96+4836.9+3230.51+165546.35+16719.25+3616.59+3181.52+6487.88</f>
        <v>217794.3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316779</v>
      </c>
      <c r="H32" s="29"/>
      <c r="I32" s="45">
        <v>385732</v>
      </c>
      <c r="J32" s="40"/>
      <c r="K32" s="40"/>
      <c r="L32" s="45">
        <v>1132683</v>
      </c>
      <c r="M32" s="129"/>
      <c r="N32" s="38"/>
      <c r="O32" s="40"/>
      <c r="P32" s="45">
        <v>68372.52</v>
      </c>
      <c r="Q32" s="40"/>
      <c r="R32" s="38"/>
      <c r="S32" s="40"/>
      <c r="T32" s="45">
        <f>-25224.97-294202.34-260785.42+366490.23-44949.48-296408-322811.75-37240.29+409097+68372.52</f>
        <v>-437662.50000000012</v>
      </c>
      <c r="U32" s="119"/>
      <c r="V32" s="38"/>
      <c r="W32" s="40"/>
      <c r="X32" s="45">
        <f>-91069.15+86096.29-168986+245208.78+68202.6-239570-53370.35+256210.34-51247.33+100526.12</f>
        <v>152001.29999999999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7302100</v>
      </c>
      <c r="H35" s="29"/>
      <c r="I35" s="116">
        <f>SUM(I29:I34)</f>
        <v>7387338</v>
      </c>
      <c r="J35" s="40"/>
      <c r="K35" s="40"/>
      <c r="L35" s="116">
        <f>SUM(L29:L34)</f>
        <v>6399816</v>
      </c>
      <c r="M35" s="129"/>
      <c r="N35" s="116">
        <f>SUM(N29:N34)</f>
        <v>16285.1</v>
      </c>
      <c r="O35" s="40"/>
      <c r="P35" s="116">
        <f>SUM(P29:P34)</f>
        <v>68952.240000000005</v>
      </c>
      <c r="Q35" s="40"/>
      <c r="R35" s="116">
        <f>SUM(R29:R34)</f>
        <v>225651.38999999998</v>
      </c>
      <c r="S35" s="40"/>
      <c r="T35" s="116">
        <f>SUM(T29:T34)</f>
        <v>-450959.35000000009</v>
      </c>
      <c r="U35" s="120"/>
      <c r="V35" s="116">
        <f>SUM(V29:V34)</f>
        <v>220441.62999999998</v>
      </c>
      <c r="W35" s="40"/>
      <c r="X35" s="116">
        <f>SUM(X29:X34)</f>
        <v>157409.06999999998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12294241.65</v>
      </c>
      <c r="H37" s="29"/>
      <c r="I37" s="107">
        <f>+I35+I25+I19+I11</f>
        <v>11771187.65</v>
      </c>
      <c r="J37" s="92"/>
      <c r="K37" s="92"/>
      <c r="L37" s="107">
        <f>+L35+L25+L19+L11</f>
        <v>11683092.65</v>
      </c>
      <c r="M37" s="129"/>
      <c r="N37" s="107">
        <f>+N35+N25+N19+N11</f>
        <v>16399.939999999999</v>
      </c>
      <c r="O37" s="92"/>
      <c r="P37" s="107">
        <f>+P35+P25+P19+P11</f>
        <v>68952.240000000005</v>
      </c>
      <c r="Q37" s="92"/>
      <c r="R37" s="107">
        <f>+R35+R25+R19+R11</f>
        <v>226580.44999999998</v>
      </c>
      <c r="S37" s="92"/>
      <c r="T37" s="107">
        <f>+T35+T25+T19+T11</f>
        <v>-450959.35000000009</v>
      </c>
      <c r="U37" s="120"/>
      <c r="V37" s="107">
        <f>+V35+V25+V19+V11</f>
        <v>221648.47999999998</v>
      </c>
      <c r="W37" s="92"/>
      <c r="X37" s="107">
        <f>+X35+X25+X19+X11</f>
        <v>157409.06999999998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3901034</v>
      </c>
      <c r="H39" s="29"/>
      <c r="I39" s="175">
        <v>3917786</v>
      </c>
      <c r="J39" s="92"/>
      <c r="K39" s="92"/>
      <c r="L39" s="175">
        <v>3561316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3400000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2016
</oddFoot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334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41054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354</v>
      </c>
      <c r="H6" s="102"/>
      <c r="I6" s="80" t="s">
        <v>355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724799</v>
      </c>
      <c r="H9" s="102"/>
      <c r="I9" s="103">
        <v>748217</v>
      </c>
      <c r="J9" s="92"/>
      <c r="K9" s="92"/>
      <c r="L9" s="103">
        <v>749379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4.0990433201662793E-5</v>
      </c>
      <c r="F10" s="111"/>
      <c r="G10" s="111">
        <v>2890619</v>
      </c>
      <c r="H10" s="102"/>
      <c r="I10" s="111">
        <v>2890730</v>
      </c>
      <c r="J10" s="92"/>
      <c r="K10" s="92"/>
      <c r="L10" s="111">
        <v>3889619</v>
      </c>
      <c r="M10" s="92"/>
      <c r="N10" s="56">
        <v>118.49</v>
      </c>
      <c r="O10" s="92"/>
      <c r="P10" s="72"/>
      <c r="Q10" s="42"/>
      <c r="R10" s="56">
        <f>123+104+98.22+98.22+90.54+52+35.37+89.87+123+114.84+118.49</f>
        <v>1047.55</v>
      </c>
      <c r="S10" s="92"/>
      <c r="T10" s="72"/>
      <c r="U10" s="86"/>
      <c r="V10" s="56">
        <f>89.1+55+62.92+122.66+110.8+130.59+118.73+132.73+214.32+170+154.52</f>
        <v>1361.37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3615418</v>
      </c>
      <c r="H11" s="102"/>
      <c r="I11" s="103">
        <f>SUM(I9:I10)</f>
        <v>3638947</v>
      </c>
      <c r="J11" s="92"/>
      <c r="K11" s="92"/>
      <c r="L11" s="103">
        <f>SUM(L9:L10)</f>
        <v>4638998</v>
      </c>
      <c r="M11" s="92"/>
      <c r="N11" s="120">
        <f>SUM(N9:N10)</f>
        <v>118.49</v>
      </c>
      <c r="O11" s="92"/>
      <c r="P11" s="120">
        <f>SUM(P9:P10)</f>
        <v>0</v>
      </c>
      <c r="Q11" s="85"/>
      <c r="R11" s="120">
        <f>SUM(R9:R10)</f>
        <v>1047.55</v>
      </c>
      <c r="S11" s="92"/>
      <c r="T11" s="120">
        <f>SUM(T9:T10)</f>
        <v>0</v>
      </c>
      <c r="U11" s="120"/>
      <c r="V11" s="120">
        <f>SUM(V9:V10)</f>
        <v>1361.37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112448</v>
      </c>
      <c r="H29" s="29"/>
      <c r="I29" s="115">
        <v>112648</v>
      </c>
      <c r="J29" s="40"/>
      <c r="K29" s="40"/>
      <c r="L29" s="115">
        <v>110143</v>
      </c>
      <c r="M29" s="129"/>
      <c r="N29" s="115">
        <v>199.42</v>
      </c>
      <c r="O29" s="40" t="s">
        <v>31</v>
      </c>
      <c r="P29" s="115">
        <v>288.88</v>
      </c>
      <c r="Q29" s="40"/>
      <c r="R29" s="115">
        <f>365.1+134.35+78.95+211.11+79.91+375+47.14+196.04+399+285.26+199.42</f>
        <v>2371.2800000000002</v>
      </c>
      <c r="S29" s="40" t="s">
        <v>31</v>
      </c>
      <c r="T29" s="115">
        <f>1918.28-16826.28-3243.63+3773.23+489.03-2870-2474.17+588.97+4768+579.72+288.88</f>
        <v>-13007.969999999994</v>
      </c>
      <c r="U29" s="120"/>
      <c r="V29" s="115">
        <f>448.35+138.62+195.9+421.66+138+276.47+421.5+135.2+332.35+139.28+139.61</f>
        <v>2786.94</v>
      </c>
      <c r="W29" s="40" t="s">
        <v>31</v>
      </c>
      <c r="X29" s="115">
        <f>-3320.69000000001+4930.67-2440.93+3237.84+3290.63-655.21-2531.95+5380.35-466.64-2016.3+1341.95</f>
        <v>6749.7199999999903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7452235</v>
      </c>
      <c r="H31" s="29"/>
      <c r="I31" s="152">
        <v>7457623</v>
      </c>
      <c r="J31" s="40"/>
      <c r="K31" s="40"/>
      <c r="L31" s="152">
        <v>5723850</v>
      </c>
      <c r="M31" s="129"/>
      <c r="N31" s="38">
        <v>5388</v>
      </c>
      <c r="O31" s="40"/>
      <c r="P31" s="45">
        <v>0</v>
      </c>
      <c r="Q31" s="40"/>
      <c r="R31" s="38">
        <f>5423.16+5155.92+4728.88+5047.75+4836.6+168344+5381.14+3639.24+4923+15999.84+5388</f>
        <v>228867.53</v>
      </c>
      <c r="S31" s="40"/>
      <c r="T31" s="45">
        <v>0</v>
      </c>
      <c r="U31" s="93"/>
      <c r="V31" s="38">
        <f>3751.67+6624.67+3798.96+4836.9+3230.51+165546.35+16719.25+3616.59+3181.52+6487.88+3642.57</f>
        <v>221436.87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385732</v>
      </c>
      <c r="H32" s="29"/>
      <c r="I32" s="45">
        <v>388828</v>
      </c>
      <c r="J32" s="40"/>
      <c r="K32" s="40"/>
      <c r="L32" s="45">
        <v>1126537</v>
      </c>
      <c r="M32" s="129"/>
      <c r="N32" s="38"/>
      <c r="O32" s="40"/>
      <c r="P32" s="45">
        <v>2808.4</v>
      </c>
      <c r="Q32" s="40"/>
      <c r="R32" s="38"/>
      <c r="S32" s="40"/>
      <c r="T32" s="45">
        <f>-25224.97-294202.34-260785.42+366490.23-44949.48-296408-322811.75-37240.29+409097+68372.52+2808.4</f>
        <v>-434854.10000000009</v>
      </c>
      <c r="U32" s="119"/>
      <c r="V32" s="38"/>
      <c r="W32" s="40"/>
      <c r="X32" s="45">
        <f>-91069.15+86096.29-168986+245208.78+68202.6-239570-53370.35+256210.34-51247.33+100526.12-7487.5</f>
        <v>144513.79999999999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7387338</v>
      </c>
      <c r="H35" s="29"/>
      <c r="I35" s="116">
        <f>SUM(I29:I34)</f>
        <v>7396022</v>
      </c>
      <c r="J35" s="40"/>
      <c r="K35" s="40"/>
      <c r="L35" s="116">
        <f>SUM(L29:L34)</f>
        <v>6397453</v>
      </c>
      <c r="M35" s="129"/>
      <c r="N35" s="116">
        <f>SUM(N29:N34)</f>
        <v>5587.42</v>
      </c>
      <c r="O35" s="40"/>
      <c r="P35" s="116">
        <f>SUM(P29:P34)</f>
        <v>3097.28</v>
      </c>
      <c r="Q35" s="40"/>
      <c r="R35" s="116">
        <f>SUM(R29:R34)</f>
        <v>231238.81</v>
      </c>
      <c r="S35" s="40"/>
      <c r="T35" s="116">
        <f>SUM(T29:T34)</f>
        <v>-447862.07000000007</v>
      </c>
      <c r="U35" s="120"/>
      <c r="V35" s="116">
        <f>SUM(V29:V34)</f>
        <v>224223.81</v>
      </c>
      <c r="W35" s="40"/>
      <c r="X35" s="116">
        <f>SUM(X29:X34)</f>
        <v>151263.51999999999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11771187.65</v>
      </c>
      <c r="H37" s="29"/>
      <c r="I37" s="107">
        <f>+I35+I25+I19+I11</f>
        <v>11803400.65</v>
      </c>
      <c r="J37" s="92"/>
      <c r="K37" s="92"/>
      <c r="L37" s="107">
        <f>+L35+L25+L19+L11</f>
        <v>11804882.65</v>
      </c>
      <c r="M37" s="129"/>
      <c r="N37" s="107">
        <f>+N35+N25+N19+N11</f>
        <v>5705.91</v>
      </c>
      <c r="O37" s="92"/>
      <c r="P37" s="107">
        <f>+P35+P25+P19+P11</f>
        <v>3097.28</v>
      </c>
      <c r="Q37" s="92"/>
      <c r="R37" s="107">
        <f>+R35+R25+R19+R11</f>
        <v>232286.36</v>
      </c>
      <c r="S37" s="92"/>
      <c r="T37" s="107">
        <f>+T35+T25+T19+T11</f>
        <v>-447862.07000000007</v>
      </c>
      <c r="U37" s="120"/>
      <c r="V37" s="107">
        <f>+V35+V25+V19+V11</f>
        <v>225585.18</v>
      </c>
      <c r="W37" s="92"/>
      <c r="X37" s="107">
        <f>+X35+X25+X19+X11</f>
        <v>151263.51999999999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3917786</v>
      </c>
      <c r="H39" s="29"/>
      <c r="I39" s="175">
        <v>3992345</v>
      </c>
      <c r="J39" s="92"/>
      <c r="K39" s="92"/>
      <c r="L39" s="175">
        <v>3567952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3400000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2016
</oddFoot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tabColor rgb="FFFFFF00"/>
    <pageSetUpPr fitToPage="1"/>
  </sheetPr>
  <dimension ref="A1:AD60"/>
  <sheetViews>
    <sheetView showGridLines="0" topLeftCell="A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334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365954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7380001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10990715.65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334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365733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7379780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10990494.65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tabColor rgb="FFFFFF00"/>
    <pageSetUpPr fitToPage="1"/>
  </sheetPr>
  <dimension ref="A1:AD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358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41119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359</v>
      </c>
      <c r="H6" s="102"/>
      <c r="I6" s="80" t="s">
        <v>360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951482</v>
      </c>
      <c r="H9" s="102"/>
      <c r="I9" s="103">
        <v>140712</v>
      </c>
      <c r="J9" s="92"/>
      <c r="K9" s="92"/>
      <c r="L9" s="103">
        <v>2552295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4.3880151118364878E-5</v>
      </c>
      <c r="F10" s="111"/>
      <c r="G10" s="111">
        <v>1890801</v>
      </c>
      <c r="H10" s="102"/>
      <c r="I10" s="111">
        <v>1390865</v>
      </c>
      <c r="J10" s="92"/>
      <c r="K10" s="92"/>
      <c r="L10" s="111">
        <v>0</v>
      </c>
      <c r="M10" s="92"/>
      <c r="N10" s="56">
        <v>72</v>
      </c>
      <c r="O10" s="92"/>
      <c r="P10" s="72"/>
      <c r="Q10" s="42"/>
      <c r="R10" s="56">
        <v>72</v>
      </c>
      <c r="S10" s="92"/>
      <c r="T10" s="72"/>
      <c r="U10" s="86"/>
      <c r="V10" s="56">
        <v>123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2842283</v>
      </c>
      <c r="H11" s="102"/>
      <c r="I11" s="103">
        <f>SUM(I9:I10)</f>
        <v>1531577</v>
      </c>
      <c r="J11" s="92"/>
      <c r="K11" s="92"/>
      <c r="L11" s="103">
        <f>SUM(L9:L10)</f>
        <v>2552295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72</v>
      </c>
      <c r="S11" s="92"/>
      <c r="T11" s="120">
        <f>SUM(T9:T10)</f>
        <v>0</v>
      </c>
      <c r="U11" s="120"/>
      <c r="V11" s="120">
        <f>SUM(V9:V10)</f>
        <v>123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113042</v>
      </c>
      <c r="H29" s="29"/>
      <c r="I29" s="115">
        <v>113330</v>
      </c>
      <c r="J29" s="40"/>
      <c r="K29" s="40"/>
      <c r="L29" s="115">
        <v>110641</v>
      </c>
      <c r="M29" s="129"/>
      <c r="N29" s="115">
        <v>288.33999999999997</v>
      </c>
      <c r="O29" s="40" t="s">
        <v>31</v>
      </c>
      <c r="P29" s="115">
        <v>1275.6199999999999</v>
      </c>
      <c r="Q29" s="40"/>
      <c r="R29" s="115">
        <v>288.33999999999997</v>
      </c>
      <c r="S29" s="40" t="s">
        <v>31</v>
      </c>
      <c r="T29" s="115">
        <v>1275.6199999999999</v>
      </c>
      <c r="U29" s="120"/>
      <c r="V29" s="115">
        <v>365.1</v>
      </c>
      <c r="W29" s="40" t="s">
        <v>31</v>
      </c>
      <c r="X29" s="115">
        <v>1918.28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7464082</v>
      </c>
      <c r="H31" s="29"/>
      <c r="I31" s="152">
        <v>7469923</v>
      </c>
      <c r="J31" s="40"/>
      <c r="K31" s="40"/>
      <c r="L31" s="152">
        <v>5734180</v>
      </c>
      <c r="M31" s="129"/>
      <c r="N31" s="38">
        <v>5840.27</v>
      </c>
      <c r="O31" s="40"/>
      <c r="P31" s="45">
        <v>0</v>
      </c>
      <c r="Q31" s="40"/>
      <c r="R31" s="38">
        <v>5840.27</v>
      </c>
      <c r="S31" s="40"/>
      <c r="T31" s="45">
        <v>0</v>
      </c>
      <c r="U31" s="93"/>
      <c r="V31" s="38">
        <v>5423.16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365733</v>
      </c>
      <c r="H32" s="29"/>
      <c r="I32" s="45">
        <v>628103</v>
      </c>
      <c r="J32" s="40"/>
      <c r="K32" s="40"/>
      <c r="L32" s="45">
        <v>813383</v>
      </c>
      <c r="M32" s="129"/>
      <c r="N32" s="38"/>
      <c r="O32" s="40"/>
      <c r="P32" s="45">
        <v>261094.23</v>
      </c>
      <c r="Q32" s="40"/>
      <c r="R32" s="38"/>
      <c r="S32" s="40"/>
      <c r="T32" s="45">
        <v>261094.23</v>
      </c>
      <c r="U32" s="119"/>
      <c r="V32" s="38"/>
      <c r="W32" s="40"/>
      <c r="X32" s="45">
        <v>-25224.97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20000</v>
      </c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7379780</v>
      </c>
      <c r="H35" s="29"/>
      <c r="I35" s="116">
        <f>SUM(I29:I34)</f>
        <v>7648279</v>
      </c>
      <c r="J35" s="40"/>
      <c r="K35" s="40"/>
      <c r="L35" s="116">
        <f>SUM(L29:L34)</f>
        <v>6095127</v>
      </c>
      <c r="M35" s="129"/>
      <c r="N35" s="116">
        <f>SUM(N29:N34)</f>
        <v>26128.61</v>
      </c>
      <c r="O35" s="40"/>
      <c r="P35" s="116">
        <f>SUM(P29:P34)</f>
        <v>262369.85000000003</v>
      </c>
      <c r="Q35" s="40"/>
      <c r="R35" s="116">
        <f>SUM(R29:R34)</f>
        <v>26128.61</v>
      </c>
      <c r="S35" s="40"/>
      <c r="T35" s="116">
        <f>SUM(T29:T34)</f>
        <v>262369.85000000003</v>
      </c>
      <c r="U35" s="120"/>
      <c r="V35" s="116">
        <f>SUM(V29:V34)</f>
        <v>5788.26</v>
      </c>
      <c r="W35" s="40"/>
      <c r="X35" s="116">
        <f>SUM(X29:X34)</f>
        <v>-23306.690000000002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10990494.65</v>
      </c>
      <c r="H37" s="29"/>
      <c r="I37" s="107">
        <f>+I35+I25+I19+I11</f>
        <v>9948287.6500000004</v>
      </c>
      <c r="J37" s="92"/>
      <c r="K37" s="92"/>
      <c r="L37" s="107">
        <f>+L35+L25+L19+L11</f>
        <v>9415853.6500000004</v>
      </c>
      <c r="M37" s="129"/>
      <c r="N37" s="107">
        <f>+N35+N25+N19+N11</f>
        <v>26200.61</v>
      </c>
      <c r="O37" s="92"/>
      <c r="P37" s="107">
        <f>+P35+P25+P19+P11</f>
        <v>262369.85000000003</v>
      </c>
      <c r="Q37" s="92"/>
      <c r="R37" s="107">
        <f>+R35+R25+R19+R11</f>
        <v>26200.61</v>
      </c>
      <c r="S37" s="92"/>
      <c r="T37" s="107">
        <f>+T35+T25+T19+T11</f>
        <v>262369.85000000003</v>
      </c>
      <c r="U37" s="120"/>
      <c r="V37" s="107">
        <f>+V35+V25+V19+V11</f>
        <v>5911.26</v>
      </c>
      <c r="W37" s="92"/>
      <c r="X37" s="107">
        <f>+X35+X25+X19+X11</f>
        <v>-23306.690000000002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4011312</v>
      </c>
      <c r="H39" s="29"/>
      <c r="I39" s="175">
        <v>4169514</v>
      </c>
      <c r="J39" s="92"/>
      <c r="K39" s="92"/>
      <c r="L39" s="175">
        <v>3575423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3550000</v>
      </c>
      <c r="J40" s="92"/>
      <c r="K40" s="92"/>
      <c r="L40" s="120">
        <v>3050000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2016 
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T50"/>
  <sheetViews>
    <sheetView topLeftCell="A2" zoomScale="60" zoomScaleNormal="60" workbookViewId="0">
      <pane xSplit="2" ySplit="7" topLeftCell="D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1" t="s">
        <v>57</v>
      </c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127765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764763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1327097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8897495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58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358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41150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361</v>
      </c>
      <c r="H6" s="102"/>
      <c r="I6" s="80" t="s">
        <v>362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140712</v>
      </c>
      <c r="H9" s="102"/>
      <c r="I9" s="103">
        <v>977268</v>
      </c>
      <c r="J9" s="92"/>
      <c r="K9" s="92"/>
      <c r="L9" s="103">
        <v>658677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2.5811712357797263E-5</v>
      </c>
      <c r="F10" s="111"/>
      <c r="G10" s="111">
        <v>1390865</v>
      </c>
      <c r="H10" s="102"/>
      <c r="I10" s="111">
        <v>2018440</v>
      </c>
      <c r="J10" s="92"/>
      <c r="K10" s="92"/>
      <c r="L10" s="111">
        <v>2389973</v>
      </c>
      <c r="M10" s="92"/>
      <c r="N10" s="56">
        <v>44</v>
      </c>
      <c r="O10" s="92"/>
      <c r="P10" s="72"/>
      <c r="Q10" s="42"/>
      <c r="R10" s="56">
        <f>72+44</f>
        <v>116</v>
      </c>
      <c r="S10" s="92"/>
      <c r="T10" s="72"/>
      <c r="U10" s="86"/>
      <c r="V10" s="56">
        <f>123+104</f>
        <v>227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1531577</v>
      </c>
      <c r="H11" s="102"/>
      <c r="I11" s="103">
        <f>SUM(I9:I10)</f>
        <v>2995708</v>
      </c>
      <c r="J11" s="92"/>
      <c r="K11" s="92"/>
      <c r="L11" s="103">
        <f>SUM(L9:L10)</f>
        <v>3048650</v>
      </c>
      <c r="M11" s="92"/>
      <c r="N11" s="120">
        <f>SUM(N9:N10)</f>
        <v>44</v>
      </c>
      <c r="O11" s="92"/>
      <c r="P11" s="120">
        <f>SUM(P9:P10)</f>
        <v>0</v>
      </c>
      <c r="Q11" s="85"/>
      <c r="R11" s="120">
        <f>SUM(R9:R10)</f>
        <v>116</v>
      </c>
      <c r="S11" s="92"/>
      <c r="T11" s="120">
        <f>SUM(T9:T10)</f>
        <v>0</v>
      </c>
      <c r="U11" s="120"/>
      <c r="V11" s="120">
        <f>SUM(V9:V10)</f>
        <v>227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113330</v>
      </c>
      <c r="H29" s="29"/>
      <c r="I29" s="115">
        <v>113525</v>
      </c>
      <c r="J29" s="40"/>
      <c r="K29" s="40"/>
      <c r="L29" s="115">
        <v>110776</v>
      </c>
      <c r="M29" s="129"/>
      <c r="N29" s="115">
        <v>195.28</v>
      </c>
      <c r="O29" s="40" t="s">
        <v>31</v>
      </c>
      <c r="P29" s="115">
        <v>-693</v>
      </c>
      <c r="Q29" s="40"/>
      <c r="R29" s="115">
        <f>288.34+195.28</f>
        <v>483.62</v>
      </c>
      <c r="S29" s="40" t="s">
        <v>31</v>
      </c>
      <c r="T29" s="115">
        <f>1275.62-693.03</f>
        <v>582.58999999999992</v>
      </c>
      <c r="U29" s="120"/>
      <c r="V29" s="115">
        <f>365.1+134.35</f>
        <v>499.45000000000005</v>
      </c>
      <c r="W29" s="40" t="s">
        <v>31</v>
      </c>
      <c r="X29" s="115">
        <f>1918.28-16826.28</f>
        <v>-14907.999999999998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7469923</v>
      </c>
      <c r="H31" s="29"/>
      <c r="I31" s="152">
        <v>7478975</v>
      </c>
      <c r="J31" s="40"/>
      <c r="K31" s="40"/>
      <c r="L31" s="152">
        <v>6739336</v>
      </c>
      <c r="M31" s="129"/>
      <c r="N31" s="38">
        <v>9052.74</v>
      </c>
      <c r="O31" s="40"/>
      <c r="P31" s="45">
        <v>0</v>
      </c>
      <c r="Q31" s="40"/>
      <c r="R31" s="38">
        <f>5840.27+9052.74</f>
        <v>14893.01</v>
      </c>
      <c r="S31" s="40"/>
      <c r="T31" s="45">
        <v>0</v>
      </c>
      <c r="U31" s="93"/>
      <c r="V31" s="38">
        <f>5423.16+5155.92</f>
        <v>10579.08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628103</v>
      </c>
      <c r="H32" s="29"/>
      <c r="I32" s="45">
        <v>654749</v>
      </c>
      <c r="J32" s="40"/>
      <c r="K32" s="40"/>
      <c r="L32" s="45">
        <v>502354</v>
      </c>
      <c r="M32" s="129"/>
      <c r="N32" s="38"/>
      <c r="O32" s="40"/>
      <c r="P32" s="45">
        <v>27338</v>
      </c>
      <c r="Q32" s="40"/>
      <c r="R32" s="38"/>
      <c r="S32" s="40"/>
      <c r="T32" s="45">
        <f>261094.23+27337.93</f>
        <v>288432.16000000003</v>
      </c>
      <c r="U32" s="119"/>
      <c r="V32" s="38"/>
      <c r="W32" s="40"/>
      <c r="X32" s="45">
        <f>-25224.97-294202.34</f>
        <v>-319427.31000000006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7648279</v>
      </c>
      <c r="H35" s="29"/>
      <c r="I35" s="116">
        <f>SUM(I29:I34)</f>
        <v>7684172</v>
      </c>
      <c r="J35" s="40"/>
      <c r="K35" s="40"/>
      <c r="L35" s="116">
        <f>SUM(L29:L34)</f>
        <v>6789389</v>
      </c>
      <c r="M35" s="129"/>
      <c r="N35" s="116">
        <f>SUM(N29:N34)</f>
        <v>9248.02</v>
      </c>
      <c r="O35" s="40"/>
      <c r="P35" s="116">
        <f>SUM(P29:P34)</f>
        <v>26645</v>
      </c>
      <c r="Q35" s="40"/>
      <c r="R35" s="116">
        <f>SUM(R29:R34)</f>
        <v>35376.630000000005</v>
      </c>
      <c r="S35" s="40"/>
      <c r="T35" s="116">
        <f>SUM(T29:T34)</f>
        <v>289014.75000000006</v>
      </c>
      <c r="U35" s="120"/>
      <c r="V35" s="116">
        <f>SUM(V29:V34)</f>
        <v>11078.53</v>
      </c>
      <c r="W35" s="40"/>
      <c r="X35" s="116">
        <f>SUM(X29:X34)</f>
        <v>-334335.31000000006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9948287.6500000004</v>
      </c>
      <c r="H37" s="29"/>
      <c r="I37" s="107">
        <f>+I35+I25+I19+I11</f>
        <v>11448311.65</v>
      </c>
      <c r="J37" s="92"/>
      <c r="K37" s="92"/>
      <c r="L37" s="107">
        <f>+L35+L25+L19+L11</f>
        <v>10606470.65</v>
      </c>
      <c r="M37" s="129"/>
      <c r="N37" s="107">
        <f>+N35+N25+N19+N11</f>
        <v>9292.02</v>
      </c>
      <c r="O37" s="92"/>
      <c r="P37" s="107">
        <f>+P35+P25+P19+P11</f>
        <v>26645</v>
      </c>
      <c r="Q37" s="92"/>
      <c r="R37" s="107">
        <f>+R35+R25+R19+R11</f>
        <v>35492.630000000005</v>
      </c>
      <c r="S37" s="92"/>
      <c r="T37" s="107">
        <f>+T35+T25+T19+T11</f>
        <v>289014.75000000006</v>
      </c>
      <c r="U37" s="120"/>
      <c r="V37" s="107">
        <f>+V35+V25+V19+V11</f>
        <v>11305.53</v>
      </c>
      <c r="W37" s="92"/>
      <c r="X37" s="107">
        <f>+X35+X25+X19+X11</f>
        <v>-334335.31000000006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4169514</v>
      </c>
      <c r="H39" s="29"/>
      <c r="I39" s="175">
        <v>4242509</v>
      </c>
      <c r="J39" s="92"/>
      <c r="K39" s="92"/>
      <c r="L39" s="175">
        <v>3502363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3550000</v>
      </c>
      <c r="H40" s="29"/>
      <c r="I40" s="120">
        <v>3600000</v>
      </c>
      <c r="J40" s="92"/>
      <c r="K40" s="92"/>
      <c r="L40" s="120">
        <v>3100000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August 2016 
</oddFoot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358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41181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363</v>
      </c>
      <c r="H6" s="102"/>
      <c r="I6" s="80" t="s">
        <v>364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977268</v>
      </c>
      <c r="H9" s="102"/>
      <c r="I9" s="103">
        <v>2336959</v>
      </c>
      <c r="J9" s="92"/>
      <c r="K9" s="92"/>
      <c r="L9" s="103">
        <v>1534786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3.7593554080849064E-5</v>
      </c>
      <c r="F10" s="111"/>
      <c r="G10" s="111">
        <v>2018440</v>
      </c>
      <c r="H10" s="102"/>
      <c r="I10" s="111">
        <v>3390998</v>
      </c>
      <c r="J10" s="92"/>
      <c r="K10" s="92"/>
      <c r="L10" s="111">
        <v>2390064</v>
      </c>
      <c r="M10" s="92"/>
      <c r="N10" s="56">
        <v>101.68</v>
      </c>
      <c r="O10" s="92"/>
      <c r="P10" s="72"/>
      <c r="Q10" s="42"/>
      <c r="R10" s="56">
        <f>72+44+101.68</f>
        <v>217.68</v>
      </c>
      <c r="S10" s="92"/>
      <c r="T10" s="72"/>
      <c r="U10" s="86"/>
      <c r="V10" s="56">
        <f>123+104+98.22</f>
        <v>325.22000000000003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2995708</v>
      </c>
      <c r="H11" s="102"/>
      <c r="I11" s="103">
        <f>SUM(I9:I10)</f>
        <v>5727957</v>
      </c>
      <c r="J11" s="92"/>
      <c r="K11" s="92"/>
      <c r="L11" s="103">
        <f>SUM(L9:L10)</f>
        <v>3924850</v>
      </c>
      <c r="M11" s="92"/>
      <c r="N11" s="120">
        <f>SUM(N9:N10)</f>
        <v>101.68</v>
      </c>
      <c r="O11" s="92"/>
      <c r="P11" s="120">
        <f>SUM(P9:P10)</f>
        <v>0</v>
      </c>
      <c r="Q11" s="85"/>
      <c r="R11" s="120">
        <f>SUM(R9:R10)</f>
        <v>217.68</v>
      </c>
      <c r="S11" s="92"/>
      <c r="T11" s="120">
        <f>SUM(T9:T10)</f>
        <v>0</v>
      </c>
      <c r="U11" s="120"/>
      <c r="V11" s="120">
        <f>SUM(V9:V10)</f>
        <v>325.22000000000003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113525</v>
      </c>
      <c r="H29" s="29"/>
      <c r="I29" s="115">
        <v>113929</v>
      </c>
      <c r="J29" s="40"/>
      <c r="K29" s="40"/>
      <c r="L29" s="115">
        <v>110855</v>
      </c>
      <c r="M29" s="129"/>
      <c r="N29" s="115">
        <v>403</v>
      </c>
      <c r="O29" s="40" t="s">
        <v>31</v>
      </c>
      <c r="P29" s="115">
        <v>-1029</v>
      </c>
      <c r="Q29" s="40"/>
      <c r="R29" s="115">
        <f>288.34+195.28+403</f>
        <v>886.62</v>
      </c>
      <c r="S29" s="40" t="s">
        <v>31</v>
      </c>
      <c r="T29" s="115">
        <f>1275.62-693.03-1029</f>
        <v>-446.41000000000008</v>
      </c>
      <c r="U29" s="120"/>
      <c r="V29" s="115">
        <f>365.1+134.35+78.95</f>
        <v>578.40000000000009</v>
      </c>
      <c r="W29" s="40" t="s">
        <v>31</v>
      </c>
      <c r="X29" s="115">
        <f>1918.28-16826.28-3243.63</f>
        <v>-18151.629999999997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7478975</v>
      </c>
      <c r="H31" s="29"/>
      <c r="I31" s="152">
        <v>7487602</v>
      </c>
      <c r="J31" s="40"/>
      <c r="K31" s="40"/>
      <c r="L31" s="152">
        <v>7244065</v>
      </c>
      <c r="M31" s="129"/>
      <c r="N31" s="38">
        <v>8627</v>
      </c>
      <c r="O31" s="40"/>
      <c r="P31" s="45">
        <v>0</v>
      </c>
      <c r="Q31" s="40"/>
      <c r="R31" s="38">
        <f>5840.27+9052.74+8627</f>
        <v>23520.010000000002</v>
      </c>
      <c r="S31" s="40"/>
      <c r="T31" s="45">
        <v>0</v>
      </c>
      <c r="U31" s="93"/>
      <c r="V31" s="38">
        <f>5423.16+5155.92+4728.88</f>
        <v>15307.96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654749</v>
      </c>
      <c r="H32" s="29"/>
      <c r="I32" s="45">
        <v>702532</v>
      </c>
      <c r="J32" s="40"/>
      <c r="K32" s="40"/>
      <c r="L32" s="45">
        <v>238325</v>
      </c>
      <c r="M32" s="129"/>
      <c r="N32" s="38"/>
      <c r="O32" s="40"/>
      <c r="P32" s="45">
        <v>48813</v>
      </c>
      <c r="Q32" s="40"/>
      <c r="R32" s="38"/>
      <c r="S32" s="40"/>
      <c r="T32" s="45">
        <f>261094.23+27337.93+48813</f>
        <v>337245.16000000003</v>
      </c>
      <c r="U32" s="119"/>
      <c r="V32" s="38"/>
      <c r="W32" s="40"/>
      <c r="X32" s="45">
        <f>-25224.97-294202.34-260785.42</f>
        <v>-580212.7300000001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7684172</v>
      </c>
      <c r="H35" s="29"/>
      <c r="I35" s="116">
        <f>SUM(I29:I34)</f>
        <v>7740986</v>
      </c>
      <c r="J35" s="40"/>
      <c r="K35" s="40"/>
      <c r="L35" s="116">
        <f>SUM(L29:L34)</f>
        <v>7030168</v>
      </c>
      <c r="M35" s="129"/>
      <c r="N35" s="116">
        <f>SUM(N29:N34)</f>
        <v>9030</v>
      </c>
      <c r="O35" s="40"/>
      <c r="P35" s="116">
        <f>SUM(P29:P34)</f>
        <v>47784</v>
      </c>
      <c r="Q35" s="40"/>
      <c r="R35" s="116">
        <f>SUM(R29:R34)</f>
        <v>44406.630000000005</v>
      </c>
      <c r="S35" s="40"/>
      <c r="T35" s="116">
        <f>SUM(T29:T34)</f>
        <v>336798.75000000006</v>
      </c>
      <c r="U35" s="120"/>
      <c r="V35" s="116">
        <f>SUM(V29:V34)</f>
        <v>15886.359999999999</v>
      </c>
      <c r="W35" s="40"/>
      <c r="X35" s="116">
        <f>SUM(X29:X34)</f>
        <v>-598364.3600000001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11448311.65</v>
      </c>
      <c r="H37" s="29"/>
      <c r="I37" s="107">
        <f>+I35+I25+I19+I11</f>
        <v>14237374.65</v>
      </c>
      <c r="J37" s="92"/>
      <c r="K37" s="92"/>
      <c r="L37" s="107">
        <f>+L35+L25+L19+L11</f>
        <v>11723449.65</v>
      </c>
      <c r="M37" s="129"/>
      <c r="N37" s="107">
        <f>+N35+N25+N19+N11</f>
        <v>9131.68</v>
      </c>
      <c r="O37" s="92"/>
      <c r="P37" s="107">
        <f>+P35+P25+P19+P11</f>
        <v>47784</v>
      </c>
      <c r="Q37" s="92"/>
      <c r="R37" s="107">
        <f>+R35+R25+R19+R11</f>
        <v>44624.310000000005</v>
      </c>
      <c r="S37" s="92"/>
      <c r="T37" s="107">
        <f>+T35+T25+T19+T11</f>
        <v>336798.75000000006</v>
      </c>
      <c r="U37" s="120"/>
      <c r="V37" s="107">
        <f>+V35+V25+V19+V11</f>
        <v>16211.579999999998</v>
      </c>
      <c r="W37" s="92"/>
      <c r="X37" s="107">
        <f>+X35+X25+X19+X11</f>
        <v>-598364.3600000001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4242509</v>
      </c>
      <c r="H39" s="29"/>
      <c r="I39" s="175">
        <v>4309126</v>
      </c>
      <c r="J39" s="92"/>
      <c r="K39" s="92"/>
      <c r="L39" s="175">
        <v>3492295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3600000</v>
      </c>
      <c r="H40" s="29"/>
      <c r="I40" s="120">
        <v>3650000</v>
      </c>
      <c r="J40" s="92"/>
      <c r="K40" s="92"/>
      <c r="L40" s="120">
        <v>3150000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2016 
</oddFooter>
  </headerFooter>
  <legacy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358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41211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365</v>
      </c>
      <c r="H6" s="102"/>
      <c r="I6" s="80" t="s">
        <v>366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2336959</v>
      </c>
      <c r="H9" s="102"/>
      <c r="I9" s="103">
        <v>456374</v>
      </c>
      <c r="J9" s="92"/>
      <c r="K9" s="92"/>
      <c r="L9" s="103">
        <v>822324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4.4539047914974033E-5</v>
      </c>
      <c r="F10" s="111"/>
      <c r="G10" s="111">
        <v>3390998</v>
      </c>
      <c r="H10" s="102"/>
      <c r="I10" s="111">
        <v>2891130</v>
      </c>
      <c r="J10" s="92"/>
      <c r="K10" s="92"/>
      <c r="L10" s="111">
        <v>2390155</v>
      </c>
      <c r="M10" s="92"/>
      <c r="N10" s="56">
        <v>139.9</v>
      </c>
      <c r="O10" s="92"/>
      <c r="P10" s="72"/>
      <c r="Q10" s="42"/>
      <c r="R10" s="56">
        <f>72+44+101.68+139.9</f>
        <v>357.58000000000004</v>
      </c>
      <c r="S10" s="92"/>
      <c r="T10" s="72"/>
      <c r="U10" s="86"/>
      <c r="V10" s="56">
        <f>123+104+98.22+98.22</f>
        <v>423.44000000000005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5727957</v>
      </c>
      <c r="H11" s="102"/>
      <c r="I11" s="103">
        <f>SUM(I9:I10)</f>
        <v>3347504</v>
      </c>
      <c r="J11" s="92"/>
      <c r="K11" s="92"/>
      <c r="L11" s="103">
        <f>SUM(L9:L10)</f>
        <v>3212479</v>
      </c>
      <c r="M11" s="92"/>
      <c r="N11" s="120">
        <f>SUM(N9:N10)</f>
        <v>139.9</v>
      </c>
      <c r="O11" s="92"/>
      <c r="P11" s="120">
        <f>SUM(P9:P10)</f>
        <v>0</v>
      </c>
      <c r="Q11" s="85"/>
      <c r="R11" s="120">
        <f>SUM(R9:R10)</f>
        <v>357.58000000000004</v>
      </c>
      <c r="S11" s="92"/>
      <c r="T11" s="120">
        <f>SUM(T9:T10)</f>
        <v>0</v>
      </c>
      <c r="U11" s="120"/>
      <c r="V11" s="120">
        <f>SUM(V9:V10)</f>
        <v>423.44000000000005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113929</v>
      </c>
      <c r="H29" s="29"/>
      <c r="I29" s="115">
        <v>114211</v>
      </c>
      <c r="J29" s="40"/>
      <c r="K29" s="40"/>
      <c r="L29" s="115">
        <v>111066</v>
      </c>
      <c r="M29" s="129"/>
      <c r="N29" s="115">
        <v>282.49</v>
      </c>
      <c r="O29" s="40" t="s">
        <v>31</v>
      </c>
      <c r="P29" s="115">
        <v>-3058.98</v>
      </c>
      <c r="Q29" s="40"/>
      <c r="R29" s="115">
        <f>288.34+195.28+403+282.49</f>
        <v>1169.1100000000001</v>
      </c>
      <c r="S29" s="40" t="s">
        <v>31</v>
      </c>
      <c r="T29" s="115">
        <f>1275.62-693.03-1029-3058.98</f>
        <v>-3505.3900000000003</v>
      </c>
      <c r="U29" s="120"/>
      <c r="V29" s="115">
        <f>365.1+134.35+78.95+211.11</f>
        <v>789.5100000000001</v>
      </c>
      <c r="W29" s="40" t="s">
        <v>31</v>
      </c>
      <c r="X29" s="115">
        <f>1918.28-16826.28-3243.63+3773.23</f>
        <v>-14378.399999999998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7487602</v>
      </c>
      <c r="H31" s="29"/>
      <c r="I31" s="152">
        <v>7493228</v>
      </c>
      <c r="J31" s="40"/>
      <c r="K31" s="40"/>
      <c r="L31" s="152">
        <v>7249112</v>
      </c>
      <c r="M31" s="129"/>
      <c r="N31" s="38">
        <v>5625.42</v>
      </c>
      <c r="O31" s="40"/>
      <c r="P31" s="45">
        <v>0</v>
      </c>
      <c r="Q31" s="40"/>
      <c r="R31" s="38">
        <f>5840.27+9052.74+8627+5625.42</f>
        <v>29145.43</v>
      </c>
      <c r="S31" s="40"/>
      <c r="T31" s="45">
        <v>0</v>
      </c>
      <c r="U31" s="93"/>
      <c r="V31" s="38">
        <f>5423.16+5155.92+4728.88+5047.75</f>
        <v>20355.71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702532</v>
      </c>
      <c r="H32" s="29"/>
      <c r="I32" s="45">
        <v>546748</v>
      </c>
      <c r="J32" s="40"/>
      <c r="K32" s="40"/>
      <c r="L32" s="45">
        <v>608589</v>
      </c>
      <c r="M32" s="129"/>
      <c r="N32" s="38"/>
      <c r="O32" s="40"/>
      <c r="P32" s="45">
        <v>-152724.76</v>
      </c>
      <c r="Q32" s="40"/>
      <c r="R32" s="38"/>
      <c r="S32" s="40"/>
      <c r="T32" s="45">
        <f>261094.23+27337.93+48813-152724.76</f>
        <v>184520.40000000002</v>
      </c>
      <c r="U32" s="119"/>
      <c r="V32" s="38"/>
      <c r="W32" s="40"/>
      <c r="X32" s="45">
        <f>-25224.97-294202.34-260785.42+366490.23</f>
        <v>-213722.50000000012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7740986</v>
      </c>
      <c r="H35" s="29"/>
      <c r="I35" s="116">
        <f>SUM(I29:I34)</f>
        <v>7591110</v>
      </c>
      <c r="J35" s="40"/>
      <c r="K35" s="40"/>
      <c r="L35" s="116">
        <f>SUM(L29:L34)</f>
        <v>7405690</v>
      </c>
      <c r="M35" s="129"/>
      <c r="N35" s="116">
        <f>SUM(N29:N34)</f>
        <v>5907.91</v>
      </c>
      <c r="O35" s="40"/>
      <c r="P35" s="116">
        <f>SUM(P29:P34)</f>
        <v>-155783.74000000002</v>
      </c>
      <c r="Q35" s="40"/>
      <c r="R35" s="116">
        <f>SUM(R29:R34)</f>
        <v>50314.54</v>
      </c>
      <c r="S35" s="40"/>
      <c r="T35" s="116">
        <f>SUM(T29:T34)</f>
        <v>181015.01</v>
      </c>
      <c r="U35" s="120"/>
      <c r="V35" s="116">
        <f>SUM(V29:V34)</f>
        <v>21145.219999999998</v>
      </c>
      <c r="W35" s="40"/>
      <c r="X35" s="116">
        <f>SUM(X29:X34)</f>
        <v>-228100.90000000011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14237374.65</v>
      </c>
      <c r="H37" s="29"/>
      <c r="I37" s="107">
        <f>+I35+I25+I19+I11</f>
        <v>11707045.65</v>
      </c>
      <c r="J37" s="92"/>
      <c r="K37" s="92"/>
      <c r="L37" s="107">
        <f>+L35+L25+L19+L11</f>
        <v>11386600.65</v>
      </c>
      <c r="M37" s="129"/>
      <c r="N37" s="107">
        <f>+N35+N25+N19+N11</f>
        <v>6047.8099999999995</v>
      </c>
      <c r="O37" s="92"/>
      <c r="P37" s="107">
        <f>+P35+P25+P19+P11</f>
        <v>-155783.74000000002</v>
      </c>
      <c r="Q37" s="92"/>
      <c r="R37" s="107">
        <f>+R35+R25+R19+R11</f>
        <v>50672.12</v>
      </c>
      <c r="S37" s="92"/>
      <c r="T37" s="107">
        <f>+T35+T25+T19+T11</f>
        <v>181015.01</v>
      </c>
      <c r="U37" s="120"/>
      <c r="V37" s="107">
        <f>+V35+V25+V19+V11</f>
        <v>21568.659999999996</v>
      </c>
      <c r="W37" s="92"/>
      <c r="X37" s="107">
        <f>+X35+X25+X19+X11</f>
        <v>-228100.90000000011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4309126</v>
      </c>
      <c r="H39" s="29"/>
      <c r="I39" s="175">
        <v>4309016</v>
      </c>
      <c r="J39" s="92"/>
      <c r="K39" s="92"/>
      <c r="L39" s="175">
        <v>3662083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3650000</v>
      </c>
      <c r="H40" s="29"/>
      <c r="I40" s="120">
        <v>3700000</v>
      </c>
      <c r="J40" s="92"/>
      <c r="K40" s="92"/>
      <c r="L40" s="120">
        <v>3200000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2016 
</oddFooter>
  </headerFooter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358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41242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367</v>
      </c>
      <c r="H6" s="102"/>
      <c r="I6" s="80" t="s">
        <v>368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456374</v>
      </c>
      <c r="H9" s="102"/>
      <c r="I9" s="103">
        <v>1057086</v>
      </c>
      <c r="J9" s="92"/>
      <c r="K9" s="92"/>
      <c r="L9" s="103">
        <v>857009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3.765936487617053E-5</v>
      </c>
      <c r="F10" s="111"/>
      <c r="G10" s="111">
        <v>2891130</v>
      </c>
      <c r="H10" s="102"/>
      <c r="I10" s="111">
        <v>1891213</v>
      </c>
      <c r="J10" s="92"/>
      <c r="K10" s="92"/>
      <c r="L10" s="111">
        <v>1390239</v>
      </c>
      <c r="M10" s="92"/>
      <c r="N10" s="56">
        <v>90.05</v>
      </c>
      <c r="O10" s="92"/>
      <c r="P10" s="72"/>
      <c r="Q10" s="42"/>
      <c r="R10" s="56">
        <f>72+44+101.68+139.9+90</f>
        <v>447.58000000000004</v>
      </c>
      <c r="S10" s="92"/>
      <c r="T10" s="72"/>
      <c r="U10" s="86"/>
      <c r="V10" s="56">
        <f>123+104+98.22+98.22+90.54</f>
        <v>513.98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3347504</v>
      </c>
      <c r="H11" s="102"/>
      <c r="I11" s="103">
        <f>SUM(I9:I10)</f>
        <v>2948299</v>
      </c>
      <c r="J11" s="92"/>
      <c r="K11" s="92"/>
      <c r="L11" s="103">
        <f>SUM(L9:L10)</f>
        <v>2247248</v>
      </c>
      <c r="M11" s="92"/>
      <c r="N11" s="120">
        <f>SUM(N9:N10)</f>
        <v>90.05</v>
      </c>
      <c r="O11" s="92"/>
      <c r="P11" s="120">
        <f>SUM(P9:P10)</f>
        <v>0</v>
      </c>
      <c r="Q11" s="85"/>
      <c r="R11" s="120">
        <f>SUM(R9:R10)</f>
        <v>447.58000000000004</v>
      </c>
      <c r="S11" s="92"/>
      <c r="T11" s="120">
        <f>SUM(T9:T10)</f>
        <v>0</v>
      </c>
      <c r="U11" s="120"/>
      <c r="V11" s="120">
        <f>SUM(V9:V10)</f>
        <v>513.98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114211</v>
      </c>
      <c r="H29" s="29"/>
      <c r="I29" s="115">
        <v>114373</v>
      </c>
      <c r="J29" s="40"/>
      <c r="K29" s="40"/>
      <c r="L29" s="115">
        <v>111146</v>
      </c>
      <c r="M29" s="129"/>
      <c r="N29" s="115">
        <v>161.91</v>
      </c>
      <c r="O29" s="40" t="s">
        <v>31</v>
      </c>
      <c r="P29" s="115">
        <v>5778.42</v>
      </c>
      <c r="Q29" s="40"/>
      <c r="R29" s="115">
        <f>288.34+195.28+403+282.49+162.91</f>
        <v>1332.0200000000002</v>
      </c>
      <c r="S29" s="40" t="s">
        <v>31</v>
      </c>
      <c r="T29" s="115">
        <f>1275.62-693.03-1029-3058.98+5778.42</f>
        <v>2273.0299999999997</v>
      </c>
      <c r="U29" s="120"/>
      <c r="V29" s="115">
        <f>365.1+134.35+78.95+211.11+79.91</f>
        <v>869.42000000000007</v>
      </c>
      <c r="W29" s="40" t="s">
        <v>31</v>
      </c>
      <c r="X29" s="115">
        <f>1918.28-16826.28-3243.63+3773.23+489.03</f>
        <v>-13889.369999999997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7493228</v>
      </c>
      <c r="H31" s="29"/>
      <c r="I31" s="152">
        <v>7498752</v>
      </c>
      <c r="J31" s="40"/>
      <c r="K31" s="40"/>
      <c r="L31" s="152">
        <v>7253949</v>
      </c>
      <c r="M31" s="129"/>
      <c r="N31" s="38">
        <v>5524.48</v>
      </c>
      <c r="O31" s="40"/>
      <c r="P31" s="45">
        <v>0</v>
      </c>
      <c r="Q31" s="40"/>
      <c r="R31" s="38">
        <f>5840.27+9052.74+8627+5625.42+5524.48</f>
        <v>34669.910000000003</v>
      </c>
      <c r="S31" s="40"/>
      <c r="T31" s="45">
        <v>0</v>
      </c>
      <c r="U31" s="93"/>
      <c r="V31" s="38">
        <f>5423.16+5155.92+4728.88+5047.75+4836.6</f>
        <v>25192.309999999998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546748</v>
      </c>
      <c r="H32" s="29"/>
      <c r="I32" s="45">
        <v>548149</v>
      </c>
      <c r="J32" s="40"/>
      <c r="K32" s="40"/>
      <c r="L32" s="45">
        <v>564128</v>
      </c>
      <c r="M32" s="129"/>
      <c r="N32" s="38"/>
      <c r="O32" s="40"/>
      <c r="P32" s="45">
        <v>-4377.8599999999997</v>
      </c>
      <c r="Q32" s="40"/>
      <c r="R32" s="38"/>
      <c r="S32" s="40"/>
      <c r="T32" s="45">
        <f>261094.23+27337.93+48813-152724.76-4377.86</f>
        <v>180142.54000000004</v>
      </c>
      <c r="U32" s="119"/>
      <c r="V32" s="38"/>
      <c r="W32" s="40"/>
      <c r="X32" s="45">
        <f>-25224.97-294202.34-260785.42+366490.23-44949.48</f>
        <v>-258671.98000000013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7591110</v>
      </c>
      <c r="H35" s="29"/>
      <c r="I35" s="116">
        <f>SUM(I29:I34)</f>
        <v>7598197</v>
      </c>
      <c r="J35" s="40"/>
      <c r="K35" s="40"/>
      <c r="L35" s="116">
        <f>SUM(L29:L34)</f>
        <v>7366146</v>
      </c>
      <c r="M35" s="129"/>
      <c r="N35" s="116">
        <f>SUM(N29:N34)</f>
        <v>5686.3899999999994</v>
      </c>
      <c r="O35" s="40"/>
      <c r="P35" s="116">
        <f>SUM(P29:P34)</f>
        <v>1400.5600000000004</v>
      </c>
      <c r="Q35" s="40"/>
      <c r="R35" s="116">
        <f>SUM(R29:R34)</f>
        <v>56001.93</v>
      </c>
      <c r="S35" s="40"/>
      <c r="T35" s="116">
        <f>SUM(T29:T34)</f>
        <v>182415.57000000004</v>
      </c>
      <c r="U35" s="120"/>
      <c r="V35" s="116">
        <f>SUM(V29:V34)</f>
        <v>26061.729999999996</v>
      </c>
      <c r="W35" s="40"/>
      <c r="X35" s="116">
        <f>SUM(X29:X34)</f>
        <v>-272561.35000000015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11707045.65</v>
      </c>
      <c r="H37" s="29"/>
      <c r="I37" s="107">
        <f>+I35+I25+I19+I11</f>
        <v>11314927.65</v>
      </c>
      <c r="J37" s="92"/>
      <c r="K37" s="92"/>
      <c r="L37" s="107">
        <f>+L35+L25+L19+L11</f>
        <v>10381825.65</v>
      </c>
      <c r="M37" s="129"/>
      <c r="N37" s="107">
        <f>+N35+N25+N19+N11</f>
        <v>5776.44</v>
      </c>
      <c r="O37" s="92"/>
      <c r="P37" s="107">
        <f>+P35+P25+P19+P11</f>
        <v>1400.5600000000004</v>
      </c>
      <c r="Q37" s="92"/>
      <c r="R37" s="107">
        <f>+R35+R25+R19+R11</f>
        <v>56449.51</v>
      </c>
      <c r="S37" s="92"/>
      <c r="T37" s="107">
        <f>+T35+T25+T19+T11</f>
        <v>182415.57000000004</v>
      </c>
      <c r="U37" s="120"/>
      <c r="V37" s="107">
        <f>+V35+V25+V19+V11</f>
        <v>26575.709999999995</v>
      </c>
      <c r="W37" s="92"/>
      <c r="X37" s="107">
        <f>+X35+X25+X19+X11</f>
        <v>-272561.35000000015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4309016</v>
      </c>
      <c r="H39" s="29"/>
      <c r="I39" s="175">
        <v>4345450</v>
      </c>
      <c r="J39" s="92"/>
      <c r="K39" s="92"/>
      <c r="L39" s="175">
        <v>3706573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3700000</v>
      </c>
      <c r="H40" s="29"/>
      <c r="I40" s="120">
        <v>3750000</v>
      </c>
      <c r="J40" s="92"/>
      <c r="K40" s="92"/>
      <c r="L40" s="120">
        <v>3250000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>
        <f>-5524.48-161.91</f>
        <v>-5686.3899999999994</v>
      </c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>
        <f>4377.86-5778.42</f>
        <v>-1400.5600000000004</v>
      </c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2016 
</oddFooter>
  </headerFooter>
  <legacy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tabColor rgb="FFFFFF00"/>
    <pageSetUpPr fitToPage="1"/>
  </sheetPr>
  <dimension ref="A1:AD60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358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41273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369</v>
      </c>
      <c r="H6" s="102"/>
      <c r="I6" s="80" t="s">
        <v>370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1057086</v>
      </c>
      <c r="H9" s="102"/>
      <c r="I9" s="103">
        <v>406128</v>
      </c>
      <c r="J9" s="92"/>
      <c r="K9" s="92"/>
      <c r="L9" s="103">
        <v>672189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4.1094546803341812E-5</v>
      </c>
      <c r="F10" s="111"/>
      <c r="G10" s="111">
        <v>1891213</v>
      </c>
      <c r="H10" s="102"/>
      <c r="I10" s="111">
        <v>1891284</v>
      </c>
      <c r="J10" s="92"/>
      <c r="K10" s="92"/>
      <c r="L10" s="111">
        <v>890284</v>
      </c>
      <c r="M10" s="92"/>
      <c r="N10" s="56">
        <v>77.72</v>
      </c>
      <c r="O10" s="92"/>
      <c r="P10" s="72"/>
      <c r="Q10" s="42"/>
      <c r="R10" s="56">
        <f>72+44+101.68+139.9+90+78</f>
        <v>525.58000000000004</v>
      </c>
      <c r="S10" s="92"/>
      <c r="T10" s="72"/>
      <c r="U10" s="86"/>
      <c r="V10" s="56">
        <f>123+104+98.22+98.22+90.54+52</f>
        <v>565.98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2948299</v>
      </c>
      <c r="H11" s="102"/>
      <c r="I11" s="103">
        <f>SUM(I9:I10)</f>
        <v>2297412</v>
      </c>
      <c r="J11" s="92"/>
      <c r="K11" s="92"/>
      <c r="L11" s="103">
        <f>SUM(L9:L10)</f>
        <v>1562473</v>
      </c>
      <c r="M11" s="92"/>
      <c r="N11" s="120">
        <f>SUM(N9:N10)</f>
        <v>77.72</v>
      </c>
      <c r="O11" s="92"/>
      <c r="P11" s="120">
        <f>SUM(P9:P10)</f>
        <v>0</v>
      </c>
      <c r="Q11" s="85"/>
      <c r="R11" s="120">
        <f>SUM(R9:R10)</f>
        <v>525.58000000000004</v>
      </c>
      <c r="S11" s="92"/>
      <c r="T11" s="120">
        <f>SUM(T9:T10)</f>
        <v>0</v>
      </c>
      <c r="U11" s="120"/>
      <c r="V11" s="120">
        <f>SUM(V9:V10)</f>
        <v>565.98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114373</v>
      </c>
      <c r="H29" s="29"/>
      <c r="I29" s="115">
        <v>115049</v>
      </c>
      <c r="J29" s="40"/>
      <c r="K29" s="40"/>
      <c r="L29" s="115">
        <v>111521</v>
      </c>
      <c r="M29" s="129"/>
      <c r="N29" s="115">
        <v>676.12</v>
      </c>
      <c r="O29" s="40" t="s">
        <v>31</v>
      </c>
      <c r="P29" s="115">
        <v>2497.4599999999982</v>
      </c>
      <c r="Q29" s="40"/>
      <c r="R29" s="115">
        <f>288.34+195.28+403+282.49+162.91+676.12</f>
        <v>2008.1400000000003</v>
      </c>
      <c r="S29" s="40" t="s">
        <v>31</v>
      </c>
      <c r="T29" s="115">
        <f>1275.62-693.03-1029-3058.98+5778.42+2497.12</f>
        <v>4770.1499999999996</v>
      </c>
      <c r="U29" s="120"/>
      <c r="V29" s="115">
        <f>365.1+134.35+78.95+211.11+79.91+375</f>
        <v>1244.42</v>
      </c>
      <c r="W29" s="40" t="s">
        <v>31</v>
      </c>
      <c r="X29" s="115">
        <f>1918.28-16826.28-3243.63+3773.23+489.03-2870</f>
        <v>-16759.369999999995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7498752</v>
      </c>
      <c r="H31" s="29"/>
      <c r="I31" s="152">
        <v>7580139</v>
      </c>
      <c r="J31" s="40"/>
      <c r="K31" s="40"/>
      <c r="L31" s="152">
        <v>7422292</v>
      </c>
      <c r="M31" s="129"/>
      <c r="N31" s="38">
        <v>81386.12</v>
      </c>
      <c r="O31" s="40"/>
      <c r="P31" s="45">
        <v>0</v>
      </c>
      <c r="Q31" s="40"/>
      <c r="R31" s="38">
        <f>5840.27+9052.74+8627+5625.42+5524.48+81386.12</f>
        <v>116056.03</v>
      </c>
      <c r="S31" s="40"/>
      <c r="T31" s="45">
        <v>0</v>
      </c>
      <c r="U31" s="93"/>
      <c r="V31" s="38">
        <f>5423.16+5155.92+4728.88+5047.75+4836.6+168344</f>
        <v>193536.31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548149</v>
      </c>
      <c r="H32" s="29"/>
      <c r="I32" s="45">
        <v>536933</v>
      </c>
      <c r="J32" s="40"/>
      <c r="K32" s="40"/>
      <c r="L32" s="45">
        <v>264851</v>
      </c>
      <c r="M32" s="129"/>
      <c r="N32" s="38"/>
      <c r="O32" s="40"/>
      <c r="P32" s="45">
        <v>-13713.160000000062</v>
      </c>
      <c r="Q32" s="40"/>
      <c r="R32" s="38"/>
      <c r="S32" s="40"/>
      <c r="T32" s="45">
        <f>261094.23+27337.93+48813-152724.76-4377.86-13713.12</f>
        <v>166429.42000000004</v>
      </c>
      <c r="U32" s="119"/>
      <c r="V32" s="38"/>
      <c r="W32" s="40"/>
      <c r="X32" s="45">
        <f>-25224.97-294202.34-260785.42+366490.23-44949.48-296408</f>
        <v>-555079.9800000001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7598197</v>
      </c>
      <c r="H35" s="29"/>
      <c r="I35" s="116">
        <f>SUM(I29:I34)</f>
        <v>7669044</v>
      </c>
      <c r="J35" s="40"/>
      <c r="K35" s="40"/>
      <c r="L35" s="116">
        <f>SUM(L29:L34)</f>
        <v>7235587</v>
      </c>
      <c r="M35" s="129"/>
      <c r="N35" s="116">
        <f>SUM(N29:N34)</f>
        <v>82062.239999999991</v>
      </c>
      <c r="O35" s="40"/>
      <c r="P35" s="116">
        <f>SUM(P29:P34)</f>
        <v>-11215.700000000063</v>
      </c>
      <c r="Q35" s="40"/>
      <c r="R35" s="116">
        <f>SUM(R29:R34)</f>
        <v>138064.16999999998</v>
      </c>
      <c r="S35" s="40"/>
      <c r="T35" s="116">
        <f>SUM(T29:T34)</f>
        <v>171199.57000000004</v>
      </c>
      <c r="U35" s="120"/>
      <c r="V35" s="116">
        <f>SUM(V29:V34)</f>
        <v>194780.73</v>
      </c>
      <c r="W35" s="40"/>
      <c r="X35" s="116">
        <f>SUM(X29:X34)</f>
        <v>-571839.35000000009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11314927.65</v>
      </c>
      <c r="H37" s="29"/>
      <c r="I37" s="107">
        <f>+I35+I25+I19+I11</f>
        <v>10734887.65</v>
      </c>
      <c r="J37" s="92"/>
      <c r="K37" s="92"/>
      <c r="L37" s="107">
        <f>+L35+L25+L19+L11</f>
        <v>9566491.6500000004</v>
      </c>
      <c r="M37" s="129"/>
      <c r="N37" s="107">
        <f>+N35+N25+N19+N11</f>
        <v>82139.959999999992</v>
      </c>
      <c r="O37" s="92"/>
      <c r="P37" s="107">
        <f>+P35+P25+P19+P11</f>
        <v>-11215.700000000063</v>
      </c>
      <c r="Q37" s="92"/>
      <c r="R37" s="107">
        <f>+R35+R25+R19+R11</f>
        <v>138589.74999999997</v>
      </c>
      <c r="S37" s="92"/>
      <c r="T37" s="107">
        <f>+T35+T25+T19+T11</f>
        <v>171199.57000000004</v>
      </c>
      <c r="U37" s="120"/>
      <c r="V37" s="107">
        <f>+V35+V25+V19+V11</f>
        <v>195346.71000000002</v>
      </c>
      <c r="W37" s="92"/>
      <c r="X37" s="107">
        <f>+X35+X25+X19+X11</f>
        <v>-571839.35000000009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4345450</v>
      </c>
      <c r="H39" s="29"/>
      <c r="I39" s="175">
        <v>4446452</v>
      </c>
      <c r="J39" s="92"/>
      <c r="K39" s="92"/>
      <c r="L39" s="175">
        <v>3697868.79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3750000</v>
      </c>
      <c r="H40" s="29"/>
      <c r="I40" s="120">
        <v>3800000</v>
      </c>
      <c r="J40" s="92"/>
      <c r="K40" s="92"/>
      <c r="L40" s="120">
        <v>3300000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>
        <v>-85137</v>
      </c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>
        <f>+N42+N37</f>
        <v>-2997.0400000000081</v>
      </c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2016 
</oddFooter>
  </headerFooter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358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41274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371</v>
      </c>
      <c r="H6" s="102"/>
      <c r="I6" s="80" t="s">
        <v>372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406128</v>
      </c>
      <c r="H9" s="102"/>
      <c r="I9" s="103">
        <v>2813069</v>
      </c>
      <c r="J9" s="92"/>
      <c r="K9" s="92"/>
      <c r="L9" s="103">
        <v>2176436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>
        <v>1891284</v>
      </c>
      <c r="H10" s="102"/>
      <c r="I10" s="111" t="s">
        <v>373</v>
      </c>
      <c r="J10" s="92"/>
      <c r="K10" s="92"/>
      <c r="L10" s="111">
        <v>890312</v>
      </c>
      <c r="M10" s="92"/>
      <c r="N10" s="56">
        <v>54.83</v>
      </c>
      <c r="O10" s="92"/>
      <c r="P10" s="72"/>
      <c r="Q10" s="42"/>
      <c r="R10" s="56">
        <f>72+44+101.68+139.9+90+78+54.83</f>
        <v>580.41000000000008</v>
      </c>
      <c r="S10" s="92"/>
      <c r="T10" s="72"/>
      <c r="U10" s="86"/>
      <c r="V10" s="56">
        <f>123+104+98.22+98.22+90.54+52+35.37</f>
        <v>601.35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2297412</v>
      </c>
      <c r="H11" s="102"/>
      <c r="I11" s="103">
        <f>SUM(I9:I10)</f>
        <v>2813069</v>
      </c>
      <c r="J11" s="92"/>
      <c r="K11" s="92"/>
      <c r="L11" s="103">
        <f>SUM(L9:L10)</f>
        <v>3066748</v>
      </c>
      <c r="M11" s="92"/>
      <c r="N11" s="120">
        <f>SUM(N9:N10)</f>
        <v>54.83</v>
      </c>
      <c r="O11" s="92"/>
      <c r="P11" s="120">
        <f>SUM(P9:P10)</f>
        <v>0</v>
      </c>
      <c r="Q11" s="85"/>
      <c r="R11" s="120">
        <f>SUM(R9:R10)</f>
        <v>580.41000000000008</v>
      </c>
      <c r="S11" s="92"/>
      <c r="T11" s="120">
        <f>SUM(T9:T10)</f>
        <v>0</v>
      </c>
      <c r="U11" s="120"/>
      <c r="V11" s="120">
        <f>SUM(V9:V10)</f>
        <v>601.35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115049</v>
      </c>
      <c r="H29" s="29"/>
      <c r="I29" s="115">
        <v>115099</v>
      </c>
      <c r="J29" s="40"/>
      <c r="K29" s="40"/>
      <c r="L29" s="115">
        <v>111568</v>
      </c>
      <c r="M29" s="129"/>
      <c r="N29" s="115">
        <v>49.59</v>
      </c>
      <c r="O29" s="40" t="s">
        <v>31</v>
      </c>
      <c r="P29" s="115">
        <v>853.58</v>
      </c>
      <c r="Q29" s="40"/>
      <c r="R29" s="115">
        <f>288.34+195.28+403+282.49+162.91+676.12+49.59</f>
        <v>2057.7300000000005</v>
      </c>
      <c r="S29" s="40" t="s">
        <v>31</v>
      </c>
      <c r="T29" s="115">
        <f>1275.62-693.03-1029-3058.98+5778.42+2497.12+853.58</f>
        <v>5623.73</v>
      </c>
      <c r="U29" s="120"/>
      <c r="V29" s="115">
        <f>365.1+134.35+78.95+211.11+79.91+375+47.14</f>
        <v>1291.5600000000002</v>
      </c>
      <c r="W29" s="40" t="s">
        <v>31</v>
      </c>
      <c r="X29" s="115">
        <f>1918.28-16826.28-3243.63+3773.23+489.03-2870-2474.17</f>
        <v>-19233.539999999994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7580139</v>
      </c>
      <c r="H31" s="29"/>
      <c r="I31" s="152">
        <v>7587023</v>
      </c>
      <c r="J31" s="40"/>
      <c r="K31" s="40"/>
      <c r="L31" s="152">
        <v>7427673</v>
      </c>
      <c r="M31" s="129"/>
      <c r="N31" s="38">
        <v>6884.63</v>
      </c>
      <c r="O31" s="40"/>
      <c r="P31" s="45">
        <v>0</v>
      </c>
      <c r="Q31" s="40"/>
      <c r="R31" s="38">
        <f>5840.27+9052.74+8627+5625.42+5524.48+81386.12+6884.63</f>
        <v>122940.66</v>
      </c>
      <c r="S31" s="40"/>
      <c r="T31" s="45">
        <v>0</v>
      </c>
      <c r="U31" s="93"/>
      <c r="V31" s="38">
        <f>5423.16+5155.92+4728.88+5047.75+4836.6+168344+5381.14</f>
        <v>198917.45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536933</v>
      </c>
      <c r="H32" s="29"/>
      <c r="I32" s="45">
        <v>716774</v>
      </c>
      <c r="J32" s="40"/>
      <c r="K32" s="40"/>
      <c r="L32" s="45">
        <v>-60434</v>
      </c>
      <c r="M32" s="129"/>
      <c r="N32" s="38"/>
      <c r="O32" s="40"/>
      <c r="P32" s="45">
        <v>178987.02</v>
      </c>
      <c r="Q32" s="40"/>
      <c r="R32" s="38"/>
      <c r="S32" s="40"/>
      <c r="T32" s="45">
        <f>261094.23+27337.93+48813-152724.76-4377.86-13713.12+178987</f>
        <v>345416.42000000004</v>
      </c>
      <c r="U32" s="119"/>
      <c r="V32" s="38"/>
      <c r="W32" s="40"/>
      <c r="X32" s="45">
        <f>-25224.97-294202.34-260785.42+366490.23-44949.48-296408-322811.75</f>
        <v>-877891.7300000001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7669044</v>
      </c>
      <c r="H35" s="29"/>
      <c r="I35" s="116">
        <f>SUM(I29:I34)</f>
        <v>7855819</v>
      </c>
      <c r="J35" s="40"/>
      <c r="K35" s="40"/>
      <c r="L35" s="116">
        <f>SUM(L29:L34)</f>
        <v>6915730</v>
      </c>
      <c r="M35" s="129"/>
      <c r="N35" s="116">
        <f>SUM(N29:N34)</f>
        <v>6934.22</v>
      </c>
      <c r="O35" s="40"/>
      <c r="P35" s="116">
        <f>SUM(P29:P34)</f>
        <v>179840.59999999998</v>
      </c>
      <c r="Q35" s="40"/>
      <c r="R35" s="116">
        <f>SUM(R29:R34)</f>
        <v>144998.39000000001</v>
      </c>
      <c r="S35" s="40"/>
      <c r="T35" s="116">
        <f>SUM(T29:T34)</f>
        <v>351040.15</v>
      </c>
      <c r="U35" s="120"/>
      <c r="V35" s="116">
        <f>SUM(V29:V34)</f>
        <v>200209.01</v>
      </c>
      <c r="W35" s="40"/>
      <c r="X35" s="116">
        <f>SUM(X29:X34)</f>
        <v>-897125.27000000014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10734887.65</v>
      </c>
      <c r="H37" s="29"/>
      <c r="I37" s="107">
        <f>+I35+I25+I19+I11</f>
        <v>11437319.65</v>
      </c>
      <c r="J37" s="92"/>
      <c r="K37" s="92"/>
      <c r="L37" s="107">
        <f>+L35+L25+L19+L11</f>
        <v>10750909.65</v>
      </c>
      <c r="M37" s="129"/>
      <c r="N37" s="107">
        <f>+N35+N25+N19+N11</f>
        <v>6989.05</v>
      </c>
      <c r="O37" s="92"/>
      <c r="P37" s="107">
        <f>+P35+P25+P19+P11</f>
        <v>179840.59999999998</v>
      </c>
      <c r="Q37" s="92"/>
      <c r="R37" s="107">
        <f>+R35+R25+R19+R11</f>
        <v>145578.80000000002</v>
      </c>
      <c r="S37" s="92"/>
      <c r="T37" s="107">
        <f>+T35+T25+T19+T11</f>
        <v>351040.15</v>
      </c>
      <c r="U37" s="120"/>
      <c r="V37" s="107">
        <f>+V35+V25+V19+V11</f>
        <v>200810.36000000002</v>
      </c>
      <c r="W37" s="92"/>
      <c r="X37" s="107">
        <f>+X35+X25+X19+X11</f>
        <v>-897125.27000000014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4446452</v>
      </c>
      <c r="H39" s="29"/>
      <c r="I39" s="175">
        <v>4566096.22</v>
      </c>
      <c r="J39" s="92"/>
      <c r="K39" s="92"/>
      <c r="L39" s="175">
        <v>3628449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3800000</v>
      </c>
      <c r="H40" s="29"/>
      <c r="I40" s="120">
        <v>3850000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2017 
</oddFooter>
  </headerFooter>
  <legacy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tabColor rgb="FFFFFF00"/>
    <pageSetUpPr fitToPage="1"/>
  </sheetPr>
  <dimension ref="A1:AD60"/>
  <sheetViews>
    <sheetView showGridLines="0" topLeftCell="A1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358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41305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374</v>
      </c>
      <c r="H6" s="102"/>
      <c r="I6" s="80" t="s">
        <v>375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2813069</v>
      </c>
      <c r="H9" s="102"/>
      <c r="I9" s="103">
        <v>2538760</v>
      </c>
      <c r="J9" s="92"/>
      <c r="K9" s="92"/>
      <c r="L9" s="103">
        <v>1645309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 t="s">
        <v>373</v>
      </c>
      <c r="H10" s="102"/>
      <c r="I10" s="111">
        <v>2891400</v>
      </c>
      <c r="J10" s="92"/>
      <c r="K10" s="92"/>
      <c r="L10" s="111">
        <v>2890395</v>
      </c>
      <c r="M10" s="92"/>
      <c r="N10" s="56">
        <v>75.28</v>
      </c>
      <c r="O10" s="92"/>
      <c r="P10" s="72"/>
      <c r="Q10" s="42"/>
      <c r="R10" s="56">
        <f>72+44+101.68+139.9+90+78+54.83+75.28</f>
        <v>655.69</v>
      </c>
      <c r="S10" s="92"/>
      <c r="T10" s="72"/>
      <c r="U10" s="86"/>
      <c r="V10" s="56">
        <f>123+104+98.22+98.22+90.54+52+35.37+89.87</f>
        <v>691.22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2813069</v>
      </c>
      <c r="H11" s="102"/>
      <c r="I11" s="103">
        <f>SUM(I9:I10)</f>
        <v>5430160</v>
      </c>
      <c r="J11" s="92"/>
      <c r="K11" s="92"/>
      <c r="L11" s="103">
        <f>SUM(L9:L10)</f>
        <v>4535704</v>
      </c>
      <c r="M11" s="92"/>
      <c r="N11" s="120">
        <f>SUM(N9:N10)</f>
        <v>75.28</v>
      </c>
      <c r="O11" s="92"/>
      <c r="P11" s="120">
        <f>SUM(P9:P10)</f>
        <v>0</v>
      </c>
      <c r="Q11" s="85"/>
      <c r="R11" s="120">
        <f>SUM(R9:R10)</f>
        <v>655.69</v>
      </c>
      <c r="S11" s="92"/>
      <c r="T11" s="120">
        <f>SUM(T9:T10)</f>
        <v>0</v>
      </c>
      <c r="U11" s="120"/>
      <c r="V11" s="120">
        <f>SUM(V9:V10)</f>
        <v>691.22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115099</v>
      </c>
      <c r="H29" s="29"/>
      <c r="I29" s="115">
        <v>115256</v>
      </c>
      <c r="J29" s="40"/>
      <c r="K29" s="40"/>
      <c r="L29" s="115">
        <v>111764</v>
      </c>
      <c r="M29" s="129"/>
      <c r="N29" s="115">
        <v>157</v>
      </c>
      <c r="O29" s="40" t="s">
        <v>31</v>
      </c>
      <c r="P29" s="115">
        <v>2371.98</v>
      </c>
      <c r="Q29" s="40"/>
      <c r="R29" s="115">
        <f>288.34+195.28+403+282.49+162.91+676.12+49.59+157</f>
        <v>2214.7300000000005</v>
      </c>
      <c r="S29" s="40" t="s">
        <v>31</v>
      </c>
      <c r="T29" s="115">
        <f>1275.62-693.03-1029-3058.98+5778.42+2497.12+853.58+2371.98</f>
        <v>7995.7099999999991</v>
      </c>
      <c r="U29" s="120"/>
      <c r="V29" s="115">
        <f>365.1+134.35+78.95+211.11+79.91+375+47.14+196.04</f>
        <v>1487.6000000000001</v>
      </c>
      <c r="W29" s="40" t="s">
        <v>31</v>
      </c>
      <c r="X29" s="115">
        <f>1918.28-16826.28-3243.63+3773.23+489.03-2870-2474.17+588.97</f>
        <v>-18644.569999999992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7587023</v>
      </c>
      <c r="H31" s="29"/>
      <c r="I31" s="152">
        <v>7593972</v>
      </c>
      <c r="J31" s="40"/>
      <c r="K31" s="40"/>
      <c r="L31" s="152">
        <v>7431313</v>
      </c>
      <c r="M31" s="129"/>
      <c r="N31" s="38">
        <v>6949.59</v>
      </c>
      <c r="O31" s="40"/>
      <c r="P31" s="45">
        <v>0</v>
      </c>
      <c r="Q31" s="40"/>
      <c r="R31" s="38">
        <f>5840.27+9052.74+8627+5625.42+5524.48+81386.12+6884.63+6959.49</f>
        <v>129900.15000000001</v>
      </c>
      <c r="S31" s="40"/>
      <c r="T31" s="45">
        <v>0</v>
      </c>
      <c r="U31" s="93"/>
      <c r="V31" s="38">
        <f>5423.16+5155.92+4728.88+5047.75+4836.6+168344+5381.14+3639.24</f>
        <v>202556.69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716774</v>
      </c>
      <c r="H32" s="29"/>
      <c r="I32" s="45">
        <v>872043</v>
      </c>
      <c r="J32" s="40"/>
      <c r="K32" s="40"/>
      <c r="L32" s="45">
        <v>-97086</v>
      </c>
      <c r="M32" s="129"/>
      <c r="N32" s="38"/>
      <c r="O32" s="40"/>
      <c r="P32" s="45">
        <v>152897.57999999999</v>
      </c>
      <c r="Q32" s="40"/>
      <c r="R32" s="38"/>
      <c r="S32" s="40"/>
      <c r="T32" s="45">
        <f>261094.23+27337.93+48813-152724.76-4377.86-13713.12+178987+152897.58</f>
        <v>498314</v>
      </c>
      <c r="U32" s="119"/>
      <c r="V32" s="38"/>
      <c r="W32" s="40"/>
      <c r="X32" s="45">
        <f>-25224.97-294202.34-260785.42+366490.23-44949.48-296408-322811.75-37240.29</f>
        <v>-915132.02000000014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7855819</v>
      </c>
      <c r="H35" s="29"/>
      <c r="I35" s="116">
        <f>SUM(I29:I34)</f>
        <v>8018194</v>
      </c>
      <c r="J35" s="40"/>
      <c r="K35" s="40"/>
      <c r="L35" s="116">
        <f>SUM(L29:L34)</f>
        <v>6882914</v>
      </c>
      <c r="M35" s="129"/>
      <c r="N35" s="116">
        <f>SUM(N29:N34)</f>
        <v>7106.59</v>
      </c>
      <c r="O35" s="40"/>
      <c r="P35" s="116">
        <f>SUM(P29:P34)</f>
        <v>155269.56</v>
      </c>
      <c r="Q35" s="40"/>
      <c r="R35" s="116">
        <f>SUM(R29:R34)</f>
        <v>152114.88</v>
      </c>
      <c r="S35" s="40"/>
      <c r="T35" s="116">
        <f>SUM(T29:T34)</f>
        <v>506309.71</v>
      </c>
      <c r="U35" s="120"/>
      <c r="V35" s="116">
        <f>SUM(V29:V34)</f>
        <v>204044.29</v>
      </c>
      <c r="W35" s="40"/>
      <c r="X35" s="116">
        <f>SUM(X29:X34)</f>
        <v>-933776.59000000008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11437319.65</v>
      </c>
      <c r="H37" s="29"/>
      <c r="I37" s="107">
        <f>+I35+I25+I19+I11</f>
        <v>14216785.65</v>
      </c>
      <c r="J37" s="92"/>
      <c r="K37" s="92"/>
      <c r="L37" s="107">
        <f>+L35+L25+L19+L11</f>
        <v>12187049.65</v>
      </c>
      <c r="M37" s="129"/>
      <c r="N37" s="107">
        <f>+N35+N25+N19+N11</f>
        <v>7181.87</v>
      </c>
      <c r="O37" s="92"/>
      <c r="P37" s="107">
        <f>+P35+P25+P19+P11</f>
        <v>155269.56</v>
      </c>
      <c r="Q37" s="92"/>
      <c r="R37" s="107">
        <f>+R35+R25+R19+R11</f>
        <v>152770.57</v>
      </c>
      <c r="S37" s="92"/>
      <c r="T37" s="107">
        <f>+T35+T25+T19+T11</f>
        <v>506309.71</v>
      </c>
      <c r="U37" s="120"/>
      <c r="V37" s="107">
        <f>+V35+V25+V19+V11</f>
        <v>204735.51</v>
      </c>
      <c r="W37" s="92"/>
      <c r="X37" s="107">
        <f>+X35+X25+X19+X11</f>
        <v>-933776.59000000008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4566096.22</v>
      </c>
      <c r="H39" s="29"/>
      <c r="I39" s="175">
        <v>4687482</v>
      </c>
      <c r="J39" s="92"/>
      <c r="K39" s="92"/>
      <c r="L39" s="175">
        <v>3626283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3850000</v>
      </c>
      <c r="H40" s="29"/>
      <c r="I40" s="120">
        <v>3900000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2017 
</oddFooter>
  </headerFooter>
  <legacy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358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41333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376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2538760</v>
      </c>
      <c r="H9" s="102"/>
      <c r="I9" s="103">
        <v>1908547</v>
      </c>
      <c r="J9" s="92"/>
      <c r="K9" s="92"/>
      <c r="L9" s="103">
        <v>1333199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4.2466465015227614E-5</v>
      </c>
      <c r="F10" s="111"/>
      <c r="G10" s="111">
        <v>2891400</v>
      </c>
      <c r="H10" s="102"/>
      <c r="I10" s="111">
        <v>2891516</v>
      </c>
      <c r="J10" s="92"/>
      <c r="K10" s="92"/>
      <c r="L10" s="111">
        <v>2890511</v>
      </c>
      <c r="M10" s="92"/>
      <c r="N10" s="56">
        <v>122.79</v>
      </c>
      <c r="O10" s="92"/>
      <c r="P10" s="72"/>
      <c r="Q10" s="42"/>
      <c r="R10" s="56">
        <f>72+44+101.68+139.9+90+78+54.83+75.28+122.79</f>
        <v>778.48</v>
      </c>
      <c r="S10" s="92"/>
      <c r="T10" s="72"/>
      <c r="U10" s="86"/>
      <c r="V10" s="56">
        <f>123+104+98.22+98.22+90.54+52+35.37+89.87+123</f>
        <v>814.22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5430160</v>
      </c>
      <c r="H11" s="102"/>
      <c r="I11" s="103">
        <f>SUM(I9:I10)</f>
        <v>4800063</v>
      </c>
      <c r="J11" s="92"/>
      <c r="K11" s="92"/>
      <c r="L11" s="103">
        <f>SUM(L9:L10)</f>
        <v>4223710</v>
      </c>
      <c r="M11" s="92"/>
      <c r="N11" s="120">
        <f>SUM(N9:N10)</f>
        <v>122.79</v>
      </c>
      <c r="O11" s="92"/>
      <c r="P11" s="120">
        <f>SUM(P9:P10)</f>
        <v>0</v>
      </c>
      <c r="Q11" s="85"/>
      <c r="R11" s="120">
        <f>SUM(R9:R10)</f>
        <v>778.48</v>
      </c>
      <c r="S11" s="92"/>
      <c r="T11" s="120">
        <f>SUM(T9:T10)</f>
        <v>0</v>
      </c>
      <c r="U11" s="120"/>
      <c r="V11" s="120">
        <f>SUM(V9:V10)</f>
        <v>814.22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115256</v>
      </c>
      <c r="H29" s="29"/>
      <c r="I29" s="115">
        <v>115516</v>
      </c>
      <c r="J29" s="40"/>
      <c r="K29" s="40"/>
      <c r="L29" s="115">
        <v>112163</v>
      </c>
      <c r="M29" s="129"/>
      <c r="N29" s="115">
        <v>260.42</v>
      </c>
      <c r="O29" s="40" t="s">
        <v>31</v>
      </c>
      <c r="P29" s="115">
        <v>582.33000000000004</v>
      </c>
      <c r="Q29" s="40"/>
      <c r="R29" s="115">
        <f>288.34+195.28+403+282.49+162.91+676.12+49.59+157+260.42</f>
        <v>2475.1500000000005</v>
      </c>
      <c r="S29" s="40" t="s">
        <v>31</v>
      </c>
      <c r="T29" s="115">
        <f>1275.62-693.03-1029-3058.98+5778.42+2497.12+853.58+2371.98+582.33</f>
        <v>8578.0399999999991</v>
      </c>
      <c r="U29" s="120"/>
      <c r="V29" s="115">
        <f>365.1+134.35+78.95+211.11+79.91+375+47.14+196.04+399</f>
        <v>1886.6000000000001</v>
      </c>
      <c r="W29" s="40" t="s">
        <v>31</v>
      </c>
      <c r="X29" s="115">
        <f>1918.28-16826.28-3243.63+3773.23+489.03-2870-2474.17+588.97+4768</f>
        <v>-13876.569999999992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7593972</v>
      </c>
      <c r="H31" s="29"/>
      <c r="I31" s="152">
        <v>7604430</v>
      </c>
      <c r="J31" s="40"/>
      <c r="K31" s="40"/>
      <c r="L31" s="152">
        <v>7436235</v>
      </c>
      <c r="M31" s="129"/>
      <c r="N31" s="38">
        <v>10457.73</v>
      </c>
      <c r="O31" s="40"/>
      <c r="P31" s="45">
        <v>0</v>
      </c>
      <c r="Q31" s="40"/>
      <c r="R31" s="38">
        <f>5840.27+9052.74+8627+5625.42+5524.48+81386.12+6884.63+6959.49+10457.73</f>
        <v>140357.88</v>
      </c>
      <c r="S31" s="40"/>
      <c r="T31" s="45">
        <v>0</v>
      </c>
      <c r="U31" s="93"/>
      <c r="V31" s="38">
        <f>5423.16+5155.92+4728.88+5047.75+4836.6+168344+5381.14+3639.24+4923</f>
        <v>207479.69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872043</v>
      </c>
      <c r="H32" s="29"/>
      <c r="I32" s="45">
        <v>986826</v>
      </c>
      <c r="J32" s="40"/>
      <c r="K32" s="40"/>
      <c r="L32" s="45">
        <v>316779</v>
      </c>
      <c r="M32" s="129"/>
      <c r="N32" s="38"/>
      <c r="O32" s="40"/>
      <c r="P32" s="45">
        <v>114200.71000000004</v>
      </c>
      <c r="Q32" s="40"/>
      <c r="R32" s="38"/>
      <c r="S32" s="40"/>
      <c r="T32" s="45">
        <f>261094.23+27337.93+48813-152724.76-4377.86-13713.12+178987+152897.58+114200.71</f>
        <v>612514.71</v>
      </c>
      <c r="U32" s="119"/>
      <c r="V32" s="38"/>
      <c r="W32" s="40"/>
      <c r="X32" s="45">
        <f>-25224.97-294202.34-260785.42+366490.23-44949.48-296408-322811.75-37240.29+409097</f>
        <v>-506035.02000000014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8018194</v>
      </c>
      <c r="H35" s="29"/>
      <c r="I35" s="116">
        <f>SUM(I29:I34)</f>
        <v>8143695</v>
      </c>
      <c r="J35" s="40"/>
      <c r="K35" s="40"/>
      <c r="L35" s="116">
        <f>SUM(L29:L34)</f>
        <v>7302100</v>
      </c>
      <c r="M35" s="129"/>
      <c r="N35" s="116">
        <f>SUM(N29:N34)</f>
        <v>10718.15</v>
      </c>
      <c r="O35" s="40"/>
      <c r="P35" s="116">
        <f>SUM(P29:P34)</f>
        <v>114783.04000000004</v>
      </c>
      <c r="Q35" s="40"/>
      <c r="R35" s="116">
        <f>SUM(R29:R34)</f>
        <v>162833.03</v>
      </c>
      <c r="S35" s="40"/>
      <c r="T35" s="116">
        <f>SUM(T29:T34)</f>
        <v>621092.75</v>
      </c>
      <c r="U35" s="120"/>
      <c r="V35" s="116">
        <f>SUM(V29:V34)</f>
        <v>209366.29</v>
      </c>
      <c r="W35" s="40"/>
      <c r="X35" s="116">
        <f>SUM(X29:X34)</f>
        <v>-519911.59000000014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14216785.65</v>
      </c>
      <c r="H37" s="29"/>
      <c r="I37" s="107">
        <f>+I35+I25+I19+I11</f>
        <v>13712189.65</v>
      </c>
      <c r="J37" s="92"/>
      <c r="K37" s="92"/>
      <c r="L37" s="107">
        <f>+L35+L25+L19+L11</f>
        <v>12294241.65</v>
      </c>
      <c r="M37" s="129"/>
      <c r="N37" s="107">
        <f>+N35+N25+N19+N11</f>
        <v>10840.94</v>
      </c>
      <c r="O37" s="92"/>
      <c r="P37" s="107">
        <f>+P35+P25+P19+P11</f>
        <v>114783.04000000004</v>
      </c>
      <c r="Q37" s="92"/>
      <c r="R37" s="107">
        <f>+R35+R25+R19+R11</f>
        <v>163611.51</v>
      </c>
      <c r="S37" s="92"/>
      <c r="T37" s="107">
        <f>+T35+T25+T19+T11</f>
        <v>621092.75</v>
      </c>
      <c r="U37" s="120"/>
      <c r="V37" s="107">
        <f>+V35+V25+V19+V11</f>
        <v>210180.51</v>
      </c>
      <c r="W37" s="92"/>
      <c r="X37" s="107">
        <f>+X35+X25+X19+X11</f>
        <v>-519911.59000000014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4687482</v>
      </c>
      <c r="H39" s="29"/>
      <c r="I39" s="175">
        <v>4767594</v>
      </c>
      <c r="J39" s="92"/>
      <c r="K39" s="92"/>
      <c r="L39" s="175">
        <v>3901034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3900000</v>
      </c>
      <c r="H40" s="29"/>
      <c r="I40" s="120">
        <v>3950000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2017 
</oddFooter>
  </headerFooter>
  <legacy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358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41364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378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1908547</v>
      </c>
      <c r="H9" s="102"/>
      <c r="I9" s="103">
        <v>1731939</v>
      </c>
      <c r="J9" s="92"/>
      <c r="K9" s="92"/>
      <c r="L9" s="103">
        <v>724799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3.8356351986188809E-5</v>
      </c>
      <c r="F10" s="111"/>
      <c r="G10" s="111">
        <v>2891516</v>
      </c>
      <c r="H10" s="102"/>
      <c r="I10" s="111">
        <v>2891620</v>
      </c>
      <c r="J10" s="92"/>
      <c r="K10" s="92"/>
      <c r="L10" s="111">
        <v>2890619</v>
      </c>
      <c r="M10" s="92"/>
      <c r="N10" s="56">
        <v>110.91</v>
      </c>
      <c r="O10" s="92"/>
      <c r="P10" s="72"/>
      <c r="Q10" s="42"/>
      <c r="R10" s="56">
        <f>72+44+101.68+139.9+90+78+54.83+75.28+122.79+110.91</f>
        <v>889.39</v>
      </c>
      <c r="S10" s="92"/>
      <c r="T10" s="72"/>
      <c r="U10" s="86"/>
      <c r="V10" s="56">
        <f>123+104+98.22+98.22+90.54+52+35.37+89.87+123+114.84</f>
        <v>929.06000000000006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4800063</v>
      </c>
      <c r="H11" s="102"/>
      <c r="I11" s="103">
        <f>SUM(I9:I10)</f>
        <v>4623559</v>
      </c>
      <c r="J11" s="92"/>
      <c r="K11" s="92"/>
      <c r="L11" s="103">
        <f>SUM(L9:L10)</f>
        <v>3615418</v>
      </c>
      <c r="M11" s="92"/>
      <c r="N11" s="120">
        <f>SUM(N9:N10)</f>
        <v>110.91</v>
      </c>
      <c r="O11" s="92"/>
      <c r="P11" s="120">
        <f>SUM(P9:P10)</f>
        <v>0</v>
      </c>
      <c r="Q11" s="85"/>
      <c r="R11" s="120">
        <f>SUM(R9:R10)</f>
        <v>889.39</v>
      </c>
      <c r="S11" s="92"/>
      <c r="T11" s="120">
        <f>SUM(T9:T10)</f>
        <v>0</v>
      </c>
      <c r="U11" s="120"/>
      <c r="V11" s="120">
        <f>SUM(V9:V10)</f>
        <v>929.06000000000006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115516</v>
      </c>
      <c r="H29" s="29"/>
      <c r="I29" s="115">
        <v>115684</v>
      </c>
      <c r="J29" s="40"/>
      <c r="K29" s="40"/>
      <c r="L29" s="115">
        <v>112448</v>
      </c>
      <c r="M29" s="129"/>
      <c r="N29" s="115">
        <v>167.81</v>
      </c>
      <c r="O29" s="40" t="s">
        <v>31</v>
      </c>
      <c r="P29" s="115">
        <v>-1056.55</v>
      </c>
      <c r="Q29" s="40"/>
      <c r="R29" s="115">
        <f>288.34+195.28+403+282.49+162.91+676.12+49.59+157+260.42+167.81</f>
        <v>2642.9600000000005</v>
      </c>
      <c r="S29" s="40" t="s">
        <v>31</v>
      </c>
      <c r="T29" s="115">
        <f>1275.62-693.03-1029-3058.98+5778.42+2497.12+853.58+2371.98+582.33-1056.55</f>
        <v>7521.4899999999989</v>
      </c>
      <c r="U29" s="120"/>
      <c r="V29" s="115">
        <f>365.1+134.35+78.95+211.11+79.91+375+47.14+196.04+399+285.26</f>
        <v>2171.86</v>
      </c>
      <c r="W29" s="40" t="s">
        <v>31</v>
      </c>
      <c r="X29" s="115">
        <f>1918.28-16826.28-3243.63+3773.23+489.03-2870-2474.17+588.97+4768+579.72</f>
        <v>-13296.849999999993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>
        <v>1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7604430</v>
      </c>
      <c r="H31" s="29"/>
      <c r="I31" s="152">
        <v>7612991</v>
      </c>
      <c r="J31" s="40"/>
      <c r="K31" s="40"/>
      <c r="L31" s="152">
        <v>7452235</v>
      </c>
      <c r="M31" s="129"/>
      <c r="N31" s="38">
        <v>8560.9500000000007</v>
      </c>
      <c r="O31" s="40"/>
      <c r="P31" s="45">
        <v>0</v>
      </c>
      <c r="Q31" s="40"/>
      <c r="R31" s="38">
        <f>5840.27+9052.74+8627+5625.42+5524.48+81386.12+6884.63+6959.49+10457.73+8560.95</f>
        <v>148918.83000000002</v>
      </c>
      <c r="S31" s="40"/>
      <c r="T31" s="45">
        <v>0</v>
      </c>
      <c r="U31" s="93"/>
      <c r="V31" s="38">
        <f>5423.16+5155.92+4728.88+5047.75+4836.6+168344+5381.14+3639.24+4923+15999.84</f>
        <v>223479.53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986826</v>
      </c>
      <c r="H32" s="29"/>
      <c r="I32" s="45">
        <v>1095585</v>
      </c>
      <c r="J32" s="40"/>
      <c r="K32" s="40"/>
      <c r="L32" s="45">
        <v>385732</v>
      </c>
      <c r="M32" s="129"/>
      <c r="N32" s="38"/>
      <c r="O32" s="40"/>
      <c r="P32" s="45">
        <v>109815.7</v>
      </c>
      <c r="Q32" s="40"/>
      <c r="R32" s="38"/>
      <c r="S32" s="40"/>
      <c r="T32" s="45">
        <f>261094.23+27337.93+48813-152724.76-4377.86-13713.12+178987+152897.58+114200.71+109815.7</f>
        <v>722330.40999999992</v>
      </c>
      <c r="U32" s="119"/>
      <c r="V32" s="38"/>
      <c r="W32" s="40"/>
      <c r="X32" s="45">
        <f>-25224.97-294202.34-260785.42+366490.23-44949.48-296408-322811.75-37240.29+409097+68372.52</f>
        <v>-437662.50000000012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8143695</v>
      </c>
      <c r="H35" s="29"/>
      <c r="I35" s="116">
        <f>SUM(I29:I34)</f>
        <v>8261184</v>
      </c>
      <c r="J35" s="40"/>
      <c r="K35" s="40"/>
      <c r="L35" s="116">
        <f>SUM(L29:L34)</f>
        <v>7387338</v>
      </c>
      <c r="M35" s="129"/>
      <c r="N35" s="116">
        <f>SUM(N29:N34)</f>
        <v>8728.76</v>
      </c>
      <c r="O35" s="40"/>
      <c r="P35" s="116">
        <f>SUM(P29:P34)</f>
        <v>108759.15</v>
      </c>
      <c r="Q35" s="40"/>
      <c r="R35" s="116">
        <f>SUM(R29:R34)</f>
        <v>171561.79</v>
      </c>
      <c r="S35" s="40"/>
      <c r="T35" s="116">
        <f>SUM(T29:T34)</f>
        <v>729851.89999999991</v>
      </c>
      <c r="U35" s="120"/>
      <c r="V35" s="116">
        <f>SUM(V29:V34)</f>
        <v>225651.38999999998</v>
      </c>
      <c r="W35" s="40"/>
      <c r="X35" s="116">
        <f>SUM(X29:X34)</f>
        <v>-450959.35000000009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13712189.65</v>
      </c>
      <c r="H37" s="29"/>
      <c r="I37" s="107">
        <f>+I35+I25+I19+I11</f>
        <v>13653174.65</v>
      </c>
      <c r="J37" s="92"/>
      <c r="K37" s="92"/>
      <c r="L37" s="107">
        <f>+L35+L25+L19+L11</f>
        <v>11771187.65</v>
      </c>
      <c r="M37" s="129"/>
      <c r="N37" s="107">
        <f>+N35+N25+N19+N11</f>
        <v>8839.67</v>
      </c>
      <c r="O37" s="92"/>
      <c r="P37" s="107">
        <f>+P35+P25+P19+P11</f>
        <v>108759.15</v>
      </c>
      <c r="Q37" s="92"/>
      <c r="R37" s="107">
        <f>+R35+R25+R19+R11</f>
        <v>172451.18000000002</v>
      </c>
      <c r="S37" s="92"/>
      <c r="T37" s="107">
        <f>+T35+T25+T19+T11</f>
        <v>729851.89999999991</v>
      </c>
      <c r="U37" s="120"/>
      <c r="V37" s="107">
        <f>+V35+V25+V19+V11</f>
        <v>226580.44999999998</v>
      </c>
      <c r="W37" s="92"/>
      <c r="X37" s="107">
        <f>+X35+X25+X19+X11</f>
        <v>-450959.35000000009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4767594</v>
      </c>
      <c r="H39" s="29"/>
      <c r="I39" s="175">
        <v>4865344</v>
      </c>
      <c r="J39" s="92"/>
      <c r="K39" s="92"/>
      <c r="L39" s="175">
        <v>3917786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3950000</v>
      </c>
      <c r="H40" s="29"/>
      <c r="I40" s="120">
        <v>4000000</v>
      </c>
      <c r="J40" s="92"/>
      <c r="K40" s="92"/>
      <c r="L40" s="120">
        <v>3400000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2017 
</oddFooter>
  </headerFooter>
  <legacy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tabColor rgb="FFFFFF00"/>
    <pageSetUpPr fitToPage="1"/>
  </sheetPr>
  <dimension ref="A1:AD60"/>
  <sheetViews>
    <sheetView showGridLines="0" topLeftCell="A1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358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41394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379</v>
      </c>
      <c r="H6" s="102"/>
      <c r="I6" s="80" t="s">
        <v>380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1731939</v>
      </c>
      <c r="H9" s="102"/>
      <c r="I9" s="103">
        <v>945825</v>
      </c>
      <c r="J9" s="92"/>
      <c r="K9" s="92"/>
      <c r="L9" s="103">
        <v>748217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4.5205523982235942E-5</v>
      </c>
      <c r="F10" s="111"/>
      <c r="G10" s="111">
        <v>2891620</v>
      </c>
      <c r="H10" s="102"/>
      <c r="I10" s="111">
        <v>2891744</v>
      </c>
      <c r="J10" s="92"/>
      <c r="K10" s="92"/>
      <c r="L10" s="111">
        <v>2890730</v>
      </c>
      <c r="M10" s="92"/>
      <c r="N10" s="56">
        <v>130.72</v>
      </c>
      <c r="O10" s="92"/>
      <c r="P10" s="72"/>
      <c r="Q10" s="42"/>
      <c r="R10" s="56">
        <f>72+44+101.68+139.9+90+78+54.83+75.28+122.79+110.91+130.72</f>
        <v>1020.11</v>
      </c>
      <c r="S10" s="92"/>
      <c r="T10" s="72"/>
      <c r="U10" s="86"/>
      <c r="V10" s="56">
        <f>123+104+98.22+98.22+90.54+52+35.37+89.87+123+114.84+118.49</f>
        <v>1047.55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4623559</v>
      </c>
      <c r="H11" s="102"/>
      <c r="I11" s="103">
        <f>SUM(I9:I10)</f>
        <v>3837569</v>
      </c>
      <c r="J11" s="92"/>
      <c r="K11" s="92"/>
      <c r="L11" s="103">
        <f>SUM(L9:L10)</f>
        <v>3638947</v>
      </c>
      <c r="M11" s="92"/>
      <c r="N11" s="120">
        <f>SUM(N9:N10)</f>
        <v>130.72</v>
      </c>
      <c r="O11" s="92"/>
      <c r="P11" s="120">
        <f>SUM(P9:P10)</f>
        <v>0</v>
      </c>
      <c r="Q11" s="85"/>
      <c r="R11" s="120">
        <f>SUM(R9:R10)</f>
        <v>1020.11</v>
      </c>
      <c r="S11" s="92"/>
      <c r="T11" s="120">
        <f>SUM(T9:T10)</f>
        <v>0</v>
      </c>
      <c r="U11" s="120"/>
      <c r="V11" s="120">
        <f>SUM(V9:V10)</f>
        <v>1047.55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115684</v>
      </c>
      <c r="H29" s="29"/>
      <c r="I29" s="115">
        <v>115953</v>
      </c>
      <c r="J29" s="40"/>
      <c r="K29" s="40"/>
      <c r="L29" s="115">
        <v>112648</v>
      </c>
      <c r="M29" s="129"/>
      <c r="N29" s="115">
        <v>268.76</v>
      </c>
      <c r="O29" s="40" t="s">
        <v>31</v>
      </c>
      <c r="P29" s="115">
        <v>1046.01</v>
      </c>
      <c r="Q29" s="40"/>
      <c r="R29" s="115">
        <f>288.34+195.28+403+282.49+162.91+676.12+49.59+157+260.42+167.81+268.76</f>
        <v>2911.7200000000003</v>
      </c>
      <c r="S29" s="40" t="s">
        <v>31</v>
      </c>
      <c r="T29" s="115">
        <f>1275.62-693.03-1029-3058.98+5778.42+2497.12+853.58+2371.98+582.33-1056.55+1046.01</f>
        <v>8567.4999999999982</v>
      </c>
      <c r="U29" s="120"/>
      <c r="V29" s="115">
        <f>365.1+134.35+78.95+211.11+79.91+375+47.14+196.04+399+285.26+199.42</f>
        <v>2371.2800000000002</v>
      </c>
      <c r="W29" s="40" t="s">
        <v>31</v>
      </c>
      <c r="X29" s="115">
        <f>1918.28-16826.28-3243.63+3773.23+489.03-2870-2474.17+588.97+4768+579.72+288.88</f>
        <v>-13007.969999999994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1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7612991</v>
      </c>
      <c r="H31" s="29"/>
      <c r="I31" s="152">
        <v>7620169</v>
      </c>
      <c r="J31" s="40"/>
      <c r="K31" s="40"/>
      <c r="L31" s="152">
        <v>7457623</v>
      </c>
      <c r="M31" s="129"/>
      <c r="N31" s="38">
        <v>7178</v>
      </c>
      <c r="O31" s="40"/>
      <c r="P31" s="45">
        <v>0</v>
      </c>
      <c r="Q31" s="40"/>
      <c r="R31" s="38">
        <f>5840.27+9052.74+8627+5625.42+5524.48+81386.12+6884.63+6959.49+10457.73+8560.95+7178</f>
        <v>156096.83000000002</v>
      </c>
      <c r="S31" s="40"/>
      <c r="T31" s="45">
        <v>0</v>
      </c>
      <c r="U31" s="93"/>
      <c r="V31" s="38">
        <f>5423.16+5155.92+4728.88+5047.75+4836.6+168344+5381.14+3639.24+4923+15999.84+5388</f>
        <v>228867.53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1095585</v>
      </c>
      <c r="H32" s="29"/>
      <c r="I32" s="45">
        <v>1197023</v>
      </c>
      <c r="J32" s="40"/>
      <c r="K32" s="40"/>
      <c r="L32" s="45">
        <v>388828</v>
      </c>
      <c r="M32" s="129"/>
      <c r="N32" s="38"/>
      <c r="O32" s="40"/>
      <c r="P32" s="45">
        <v>100391.51</v>
      </c>
      <c r="Q32" s="40"/>
      <c r="R32" s="38"/>
      <c r="S32" s="40"/>
      <c r="T32" s="45">
        <f>261094.23+27337.93+48813-152724.76-4377.86-13713.12+178987+152897.58+114200.71+109815.7+100391.51</f>
        <v>822721.91999999993</v>
      </c>
      <c r="U32" s="119"/>
      <c r="V32" s="38"/>
      <c r="W32" s="40"/>
      <c r="X32" s="45">
        <f>-25224.97-294202.34-260785.42+366490.23-44949.48-296408-322811.75-37240.29+409097+68372.52+2808.4</f>
        <v>-434854.10000000009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8261184</v>
      </c>
      <c r="H35" s="29"/>
      <c r="I35" s="116">
        <f>SUM(I29:I34)</f>
        <v>8370068</v>
      </c>
      <c r="J35" s="40"/>
      <c r="K35" s="40"/>
      <c r="L35" s="116">
        <f>SUM(L29:L34)</f>
        <v>7396022</v>
      </c>
      <c r="M35" s="129"/>
      <c r="N35" s="116">
        <f>SUM(N29:N34)</f>
        <v>7446.76</v>
      </c>
      <c r="O35" s="40"/>
      <c r="P35" s="116">
        <f>SUM(P29:P34)</f>
        <v>101437.51999999999</v>
      </c>
      <c r="Q35" s="40"/>
      <c r="R35" s="116">
        <f>SUM(R29:R34)</f>
        <v>179008.55000000002</v>
      </c>
      <c r="S35" s="40"/>
      <c r="T35" s="116">
        <f>SUM(T29:T34)</f>
        <v>831289.41999999993</v>
      </c>
      <c r="U35" s="120"/>
      <c r="V35" s="116">
        <f>SUM(V29:V34)</f>
        <v>231238.81</v>
      </c>
      <c r="W35" s="40"/>
      <c r="X35" s="116">
        <f>SUM(X29:X34)</f>
        <v>-447862.07000000007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13653174.65</v>
      </c>
      <c r="H37" s="29"/>
      <c r="I37" s="107">
        <f>+I35+I25+I19+I11</f>
        <v>12976068.65</v>
      </c>
      <c r="J37" s="92"/>
      <c r="K37" s="92"/>
      <c r="L37" s="107">
        <f>+L35+L25+L19+L11</f>
        <v>11803400.65</v>
      </c>
      <c r="M37" s="129"/>
      <c r="N37" s="107">
        <f>+N35+N25+N19+N11</f>
        <v>7577.4800000000005</v>
      </c>
      <c r="O37" s="92"/>
      <c r="P37" s="107">
        <f>+P35+P25+P19+P11</f>
        <v>101437.51999999999</v>
      </c>
      <c r="Q37" s="92"/>
      <c r="R37" s="107">
        <f>+R35+R25+R19+R11</f>
        <v>180028.66</v>
      </c>
      <c r="S37" s="92"/>
      <c r="T37" s="107">
        <f>+T35+T25+T19+T11</f>
        <v>831289.41999999993</v>
      </c>
      <c r="U37" s="120"/>
      <c r="V37" s="107">
        <f>+V35+V25+V19+V11</f>
        <v>232286.36</v>
      </c>
      <c r="W37" s="92"/>
      <c r="X37" s="107">
        <f>+X35+X25+X19+X11</f>
        <v>-447862.07000000007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4865344</v>
      </c>
      <c r="H39" s="29"/>
      <c r="I39" s="175">
        <v>4923767</v>
      </c>
      <c r="J39" s="92"/>
      <c r="K39" s="92"/>
      <c r="L39" s="175">
        <v>3992345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May 2017 
&amp;Rjm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T50"/>
  <sheetViews>
    <sheetView topLeftCell="A2" workbookViewId="0">
      <pane xSplit="2" ySplit="7" topLeftCell="C10" activePane="bottomRight" state="frozen"/>
      <selection pane="topRight" activeCell="I40" sqref="I40:I42"/>
      <selection pane="bottomLeft" activeCell="I40" sqref="I40:I42"/>
      <selection pane="bottomRight" activeCell="P11" sqref="P11:P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59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37836</v>
      </c>
      <c r="I7" s="4"/>
      <c r="J7" s="18">
        <v>37801</v>
      </c>
      <c r="K7" s="4"/>
      <c r="L7" s="18">
        <v>37472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422</v>
      </c>
      <c r="Q11" s="13"/>
      <c r="R11" s="12">
        <v>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5.42</v>
      </c>
      <c r="G14" s="11"/>
      <c r="H14" s="12">
        <v>127982</v>
      </c>
      <c r="I14" s="13"/>
      <c r="J14" s="12">
        <v>127482</v>
      </c>
      <c r="K14" s="13"/>
      <c r="L14" s="12">
        <v>128738</v>
      </c>
      <c r="M14" s="13"/>
      <c r="N14" s="12">
        <v>500</v>
      </c>
      <c r="O14" s="13"/>
      <c r="P14" s="12">
        <v>500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4.8499999999999996</v>
      </c>
      <c r="G15" s="11"/>
      <c r="H15" s="15">
        <v>74121</v>
      </c>
      <c r="I15" s="13"/>
      <c r="J15" s="15">
        <v>73921</v>
      </c>
      <c r="K15" s="13"/>
      <c r="L15" s="15">
        <v>70654</v>
      </c>
      <c r="M15" s="13"/>
      <c r="N15" s="15">
        <v>200</v>
      </c>
      <c r="O15" s="13"/>
      <c r="P15" s="15">
        <v>200</v>
      </c>
      <c r="Q15" s="13"/>
      <c r="R15" s="15">
        <v>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765180</v>
      </c>
      <c r="I17" s="13"/>
      <c r="J17" s="16">
        <f>SUM(J11:J15)</f>
        <v>764480</v>
      </c>
      <c r="K17" s="13"/>
      <c r="L17" s="16">
        <f>SUM(L11:L15)</f>
        <v>762469</v>
      </c>
      <c r="M17" s="13"/>
      <c r="N17" s="16">
        <f>SUM(N11:N15)</f>
        <v>1122</v>
      </c>
      <c r="O17" s="13"/>
      <c r="P17" s="16">
        <f>SUM(P11:P15)</f>
        <v>1122</v>
      </c>
      <c r="Q17" s="13"/>
      <c r="R17" s="16">
        <f>SUM(R11:R15)</f>
        <v>1050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4.68</v>
      </c>
      <c r="G24" s="7"/>
      <c r="H24" s="15">
        <v>421956</v>
      </c>
      <c r="I24" s="13"/>
      <c r="J24" s="15">
        <v>420303</v>
      </c>
      <c r="K24" s="15">
        <v>425705</v>
      </c>
      <c r="L24" s="15">
        <v>448681</v>
      </c>
      <c r="M24" s="13"/>
      <c r="N24" s="15">
        <v>1653</v>
      </c>
      <c r="O24" s="13"/>
      <c r="P24" s="15">
        <v>1653</v>
      </c>
      <c r="Q24" s="13"/>
      <c r="R24" s="15">
        <v>1698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421956</v>
      </c>
      <c r="I26" s="13"/>
      <c r="J26" s="16">
        <f>SUM(J23:J24)</f>
        <v>420303</v>
      </c>
      <c r="K26" s="13"/>
      <c r="L26" s="16">
        <f>SUM(L23:L24)</f>
        <v>448681</v>
      </c>
      <c r="M26" s="13"/>
      <c r="N26" s="16">
        <f>SUM(N23:N24)</f>
        <v>1653</v>
      </c>
      <c r="O26" s="13"/>
      <c r="P26" s="16">
        <f>SUM(P23:P24)</f>
        <v>1653</v>
      </c>
      <c r="Q26" s="13"/>
      <c r="R26" s="16">
        <f>SUM(R23:R24)</f>
        <v>1698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1329080</v>
      </c>
      <c r="I32" s="13"/>
      <c r="J32" s="12">
        <v>1323429</v>
      </c>
      <c r="K32" s="13"/>
      <c r="L32" s="12">
        <v>1322909</v>
      </c>
      <c r="M32" s="13"/>
      <c r="N32" s="12">
        <v>5651</v>
      </c>
      <c r="O32" s="13" t="s">
        <v>31</v>
      </c>
      <c r="P32" s="12">
        <v>5651</v>
      </c>
      <c r="Q32" s="13"/>
      <c r="R32" s="12">
        <v>5374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5092</v>
      </c>
      <c r="I34" s="13"/>
      <c r="J34" s="12">
        <v>5072</v>
      </c>
      <c r="K34" s="13"/>
      <c r="L34" s="12">
        <v>4858</v>
      </c>
      <c r="M34" s="13"/>
      <c r="N34" s="12">
        <v>20</v>
      </c>
      <c r="O34" s="13"/>
      <c r="P34" s="12">
        <v>20</v>
      </c>
      <c r="Q34" s="13"/>
      <c r="R34" s="12">
        <v>17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7089279</v>
      </c>
      <c r="I35" s="13"/>
      <c r="J35" s="15">
        <v>7556767</v>
      </c>
      <c r="K35" s="13"/>
      <c r="L35" s="15">
        <v>6166549</v>
      </c>
      <c r="M35" s="13"/>
      <c r="N35" s="15">
        <v>32090</v>
      </c>
      <c r="O35" s="13"/>
      <c r="P35" s="15">
        <v>32090</v>
      </c>
      <c r="Q35" s="13"/>
      <c r="R35" s="15">
        <v>29702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8432010</v>
      </c>
      <c r="I37" s="13"/>
      <c r="J37" s="16">
        <f>SUM(J32:J35)</f>
        <v>8893827</v>
      </c>
      <c r="K37" s="13"/>
      <c r="L37" s="16">
        <f>SUM(L32:L35)</f>
        <v>7502940</v>
      </c>
      <c r="M37" s="13"/>
      <c r="N37" s="16">
        <f>SUM(N32:N35)</f>
        <v>37761</v>
      </c>
      <c r="O37" s="13"/>
      <c r="P37" s="16">
        <f>SUM(P32:P35)</f>
        <v>37761</v>
      </c>
      <c r="Q37" s="13"/>
      <c r="R37" s="16">
        <f>SUM(R32:R35)</f>
        <v>35093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tabColor rgb="FFFFFF00"/>
    <pageSetUpPr fitToPage="1"/>
  </sheetPr>
  <dimension ref="A1:AD60"/>
  <sheetViews>
    <sheetView showGridLines="0" topLeftCell="A11" zoomScale="80" zoomScaleNormal="80" workbookViewId="0">
      <selection activeCell="AD47" sqref="AD4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358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 t="s">
        <v>381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1207433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8389802</v>
      </c>
      <c r="J35" s="40"/>
      <c r="K35" s="40"/>
      <c r="L35" s="116">
        <f>SUM(L29:L34)</f>
        <v>7379780</v>
      </c>
      <c r="M35" s="129"/>
      <c r="N35" s="116">
        <f>SUM(N29:N34)</f>
        <v>9324.35</v>
      </c>
      <c r="O35" s="40"/>
      <c r="P35" s="116">
        <f>SUM(P29:P34)</f>
        <v>10409.25</v>
      </c>
      <c r="Q35" s="40"/>
      <c r="R35" s="116">
        <f>SUM(R29:R34)</f>
        <v>188332.90000000002</v>
      </c>
      <c r="S35" s="40"/>
      <c r="T35" s="116">
        <f>SUM(T29:T34)</f>
        <v>841698.84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13374003.65</v>
      </c>
      <c r="J37" s="92"/>
      <c r="K37" s="92"/>
      <c r="L37" s="107">
        <f>+L35+L25+L19+L11</f>
        <v>10990494.65</v>
      </c>
      <c r="M37" s="129"/>
      <c r="N37" s="107">
        <f>+N35+N25+N19+N11</f>
        <v>9443.19</v>
      </c>
      <c r="O37" s="92"/>
      <c r="P37" s="107">
        <f>+P35+P25+P19+P11</f>
        <v>10409.25</v>
      </c>
      <c r="Q37" s="92"/>
      <c r="R37" s="107">
        <f>+R35+R25+R19+R11</f>
        <v>189471.85000000003</v>
      </c>
      <c r="S37" s="92"/>
      <c r="T37" s="107">
        <f>+T35+T25+T19+T11</f>
        <v>841698.84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tabColor rgb="FF92D050"/>
    <pageSetUpPr fitToPage="1"/>
  </sheetPr>
  <dimension ref="A1:AD73"/>
  <sheetViews>
    <sheetView showGridLines="0" topLeftCell="A13" zoomScale="80" zoomScaleNormal="80" workbookViewId="0">
      <selection activeCell="N44" sqref="N4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358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 t="s">
        <v>384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316666</v>
      </c>
      <c r="O30" s="40"/>
      <c r="P30" s="37">
        <v>-288093</v>
      </c>
      <c r="Q30" s="40"/>
      <c r="R30" s="38">
        <v>316666</v>
      </c>
      <c r="S30" s="40"/>
      <c r="T30" s="37">
        <v>-288093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1206452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386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80">
        <v>-28572</v>
      </c>
      <c r="Q33" s="181"/>
      <c r="R33" s="180"/>
      <c r="S33" s="181"/>
      <c r="T33" s="180">
        <v>-28572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8388821</v>
      </c>
      <c r="J35" s="40"/>
      <c r="K35" s="40"/>
      <c r="L35" s="116">
        <f>SUM(L29:L34)</f>
        <v>7379780</v>
      </c>
      <c r="M35" s="129"/>
      <c r="N35" s="116">
        <f>SUM(N29:N34)</f>
        <v>325990.34999999998</v>
      </c>
      <c r="O35" s="40"/>
      <c r="P35" s="116">
        <f>SUM(P29:P34)</f>
        <v>-306255.75</v>
      </c>
      <c r="Q35" s="40"/>
      <c r="R35" s="116">
        <f>SUM(R29:R34)</f>
        <v>504998.9</v>
      </c>
      <c r="S35" s="40"/>
      <c r="T35" s="116">
        <f>SUM(T29:T34)</f>
        <v>525033.84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13373022.65</v>
      </c>
      <c r="J37" s="92"/>
      <c r="K37" s="92"/>
      <c r="L37" s="107">
        <f>+L35+L25+L19+L11</f>
        <v>10990494.65</v>
      </c>
      <c r="M37" s="129"/>
      <c r="N37" s="107">
        <f>+N35+N25+N19+N11</f>
        <v>326109.19</v>
      </c>
      <c r="O37" s="92"/>
      <c r="P37" s="107">
        <f>+P35+P25+P19+P11</f>
        <v>-306255.75</v>
      </c>
      <c r="Q37" s="92"/>
      <c r="R37" s="107">
        <f>+R35+R25+R19+R11</f>
        <v>506137.85000000003</v>
      </c>
      <c r="S37" s="92"/>
      <c r="T37" s="107">
        <f>+T35+T25+T19+T11</f>
        <v>525033.84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398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41485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399</v>
      </c>
      <c r="H6" s="102"/>
      <c r="I6" s="80" t="s">
        <v>400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1323914</v>
      </c>
      <c r="H9" s="102"/>
      <c r="I9" s="103">
        <v>74516</v>
      </c>
      <c r="J9" s="92"/>
      <c r="K9" s="92"/>
      <c r="L9" s="103">
        <v>140712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4.2466692036259037E-5</v>
      </c>
      <c r="F10" s="111"/>
      <c r="G10" s="111">
        <v>2891856</v>
      </c>
      <c r="H10" s="102"/>
      <c r="I10" s="111">
        <v>2891971</v>
      </c>
      <c r="J10" s="92"/>
      <c r="K10" s="92"/>
      <c r="L10" s="111">
        <v>1390865</v>
      </c>
      <c r="M10" s="92"/>
      <c r="N10" s="56">
        <v>122.81</v>
      </c>
      <c r="O10" s="92"/>
      <c r="P10" s="72"/>
      <c r="Q10" s="42"/>
      <c r="R10" s="56">
        <v>122.81</v>
      </c>
      <c r="S10" s="92"/>
      <c r="T10" s="72"/>
      <c r="U10" s="86"/>
      <c r="V10" s="56">
        <v>72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4215770</v>
      </c>
      <c r="H11" s="102"/>
      <c r="I11" s="103">
        <f>SUM(I9:I10)</f>
        <v>2966487</v>
      </c>
      <c r="J11" s="92"/>
      <c r="K11" s="92"/>
      <c r="L11" s="103">
        <f>SUM(L9:L10)</f>
        <v>1531577</v>
      </c>
      <c r="M11" s="92"/>
      <c r="N11" s="120">
        <f>SUM(N9:N10)</f>
        <v>122.81</v>
      </c>
      <c r="O11" s="92"/>
      <c r="P11" s="120">
        <f>SUM(P9:P10)</f>
        <v>0</v>
      </c>
      <c r="Q11" s="85"/>
      <c r="R11" s="120">
        <f>SUM(R9:R10)</f>
        <v>122.81</v>
      </c>
      <c r="S11" s="92"/>
      <c r="T11" s="120">
        <f>SUM(T9:T10)</f>
        <v>0</v>
      </c>
      <c r="U11" s="120"/>
      <c r="V11" s="120">
        <f>SUM(V9:V10)</f>
        <v>72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116275</v>
      </c>
      <c r="H29" s="29"/>
      <c r="I29" s="115">
        <v>116487</v>
      </c>
      <c r="J29" s="40"/>
      <c r="K29" s="40"/>
      <c r="L29" s="115">
        <v>113330</v>
      </c>
      <c r="M29" s="129"/>
      <c r="N29" s="115">
        <v>211.25</v>
      </c>
      <c r="O29" s="40" t="s">
        <v>31</v>
      </c>
      <c r="P29" s="115">
        <v>5251.69</v>
      </c>
      <c r="Q29" s="40"/>
      <c r="R29" s="115">
        <v>211.25</v>
      </c>
      <c r="S29" s="40" t="s">
        <v>31</v>
      </c>
      <c r="T29" s="115">
        <v>5251.69</v>
      </c>
      <c r="U29" s="120"/>
      <c r="V29" s="115">
        <v>288.33999999999997</v>
      </c>
      <c r="W29" s="40" t="s">
        <v>31</v>
      </c>
      <c r="X29" s="115">
        <v>1275.6199999999999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7629171</v>
      </c>
      <c r="H31" s="29"/>
      <c r="I31" s="152">
        <v>7641425</v>
      </c>
      <c r="J31" s="40"/>
      <c r="K31" s="40"/>
      <c r="L31" s="152">
        <v>7469923</v>
      </c>
      <c r="M31" s="129"/>
      <c r="N31" s="38">
        <v>12254.87</v>
      </c>
      <c r="O31" s="40"/>
      <c r="P31" s="45"/>
      <c r="Q31" s="40"/>
      <c r="R31" s="38">
        <v>12254.87</v>
      </c>
      <c r="S31" s="40"/>
      <c r="T31" s="45"/>
      <c r="U31" s="93"/>
      <c r="V31" s="38">
        <v>5840.27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1206452</v>
      </c>
      <c r="H32" s="29"/>
      <c r="I32" s="45">
        <v>1393840</v>
      </c>
      <c r="J32" s="40"/>
      <c r="K32" s="40"/>
      <c r="L32" s="45">
        <v>628103</v>
      </c>
      <c r="M32" s="129"/>
      <c r="N32" s="38"/>
      <c r="O32" s="40"/>
      <c r="P32" s="45">
        <v>190411.34</v>
      </c>
      <c r="Q32" s="40"/>
      <c r="R32" s="38"/>
      <c r="S32" s="40"/>
      <c r="T32" s="45">
        <v>190411.34</v>
      </c>
      <c r="U32" s="119"/>
      <c r="V32" s="38"/>
      <c r="W32" s="40"/>
      <c r="X32" s="45">
        <v>261094.23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-8274.9699999999993</v>
      </c>
      <c r="Q33" s="181"/>
      <c r="R33" s="180"/>
      <c r="S33" s="181"/>
      <c r="T33" s="194">
        <v>-8274.9699999999993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8388821</v>
      </c>
      <c r="H35" s="29"/>
      <c r="I35" s="116">
        <f>SUM(I29:I34)</f>
        <v>8588675</v>
      </c>
      <c r="J35" s="40"/>
      <c r="K35" s="40"/>
      <c r="L35" s="116">
        <f>SUM(L29:L34)</f>
        <v>7648279</v>
      </c>
      <c r="M35" s="129"/>
      <c r="N35" s="116">
        <f>SUM(N29:N34)</f>
        <v>12466.12</v>
      </c>
      <c r="O35" s="40"/>
      <c r="P35" s="116">
        <f>SUM(P29:P34)</f>
        <v>187388.06</v>
      </c>
      <c r="Q35" s="40"/>
      <c r="R35" s="116">
        <f>SUM(R29:R34)</f>
        <v>12466.12</v>
      </c>
      <c r="S35" s="40"/>
      <c r="T35" s="116">
        <f>SUM(T29:T34)</f>
        <v>187388.06</v>
      </c>
      <c r="U35" s="120"/>
      <c r="V35" s="116">
        <f>SUM(V29:V34)</f>
        <v>26128.61</v>
      </c>
      <c r="W35" s="40"/>
      <c r="X35" s="116">
        <f>SUM(X29:X34)</f>
        <v>262369.85000000003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13373022.65</v>
      </c>
      <c r="H37" s="29"/>
      <c r="I37" s="107">
        <f>+I35+I25+I19+I11</f>
        <v>12323593.65</v>
      </c>
      <c r="J37" s="92"/>
      <c r="K37" s="92"/>
      <c r="L37" s="107">
        <f>+L35+L25+L19+L11</f>
        <v>9948287.6500000004</v>
      </c>
      <c r="M37" s="129"/>
      <c r="N37" s="107">
        <f>+N35+N25+N19+N11</f>
        <v>12588.93</v>
      </c>
      <c r="O37" s="92"/>
      <c r="P37" s="107">
        <f>+P35+P25+P19+P11</f>
        <v>187388.06</v>
      </c>
      <c r="Q37" s="92"/>
      <c r="R37" s="107">
        <f>+R35+R25+R19+R11</f>
        <v>12588.93</v>
      </c>
      <c r="S37" s="92"/>
      <c r="T37" s="107">
        <f>+T35+T25+T19+T11</f>
        <v>187388.06</v>
      </c>
      <c r="U37" s="120"/>
      <c r="V37" s="107">
        <f>+V35+V25+V19+V11</f>
        <v>26200.61</v>
      </c>
      <c r="W37" s="92"/>
      <c r="X37" s="107">
        <f>+X35+X25+X19+X11</f>
        <v>262369.85000000003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4956112</v>
      </c>
      <c r="H39" s="29"/>
      <c r="I39" s="175">
        <v>5029522.71</v>
      </c>
      <c r="J39" s="92"/>
      <c r="K39" s="92"/>
      <c r="L39" s="175">
        <v>4169514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2017
</oddFooter>
  </headerFooter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398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41515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416</v>
      </c>
      <c r="H6" s="102"/>
      <c r="I6" s="80" t="s">
        <v>417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74516</v>
      </c>
      <c r="H9" s="102"/>
      <c r="I9" s="103">
        <v>1414004</v>
      </c>
      <c r="J9" s="92"/>
      <c r="K9" s="92"/>
      <c r="L9" s="103">
        <v>977268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3.8737231471053261E-5</v>
      </c>
      <c r="F10" s="111"/>
      <c r="G10" s="111">
        <v>2891971</v>
      </c>
      <c r="H10" s="102"/>
      <c r="I10" s="111">
        <v>1892057</v>
      </c>
      <c r="J10" s="92"/>
      <c r="K10" s="92"/>
      <c r="L10" s="111">
        <v>2018440</v>
      </c>
      <c r="M10" s="92"/>
      <c r="N10" s="56">
        <v>92.66</v>
      </c>
      <c r="O10" s="92"/>
      <c r="P10" s="72"/>
      <c r="Q10" s="42"/>
      <c r="R10" s="56">
        <f>122.81+92.66</f>
        <v>215.47</v>
      </c>
      <c r="S10" s="92"/>
      <c r="T10" s="72"/>
      <c r="U10" s="86"/>
      <c r="V10" s="56">
        <f>72+44</f>
        <v>116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2966487</v>
      </c>
      <c r="H11" s="102"/>
      <c r="I11" s="103">
        <f>SUM(I9:I10)</f>
        <v>3306061</v>
      </c>
      <c r="J11" s="92"/>
      <c r="K11" s="92"/>
      <c r="L11" s="103">
        <f>SUM(L9:L10)</f>
        <v>2995708</v>
      </c>
      <c r="M11" s="92"/>
      <c r="N11" s="120">
        <f>SUM(N9:N10)</f>
        <v>92.66</v>
      </c>
      <c r="O11" s="92"/>
      <c r="P11" s="120">
        <f>SUM(P9:P10)</f>
        <v>0</v>
      </c>
      <c r="Q11" s="85"/>
      <c r="R11" s="120">
        <f>SUM(R9:R10)</f>
        <v>215.47</v>
      </c>
      <c r="S11" s="92"/>
      <c r="T11" s="120">
        <f>SUM(T9:T10)</f>
        <v>0</v>
      </c>
      <c r="U11" s="120"/>
      <c r="V11" s="120">
        <f>SUM(V9:V10)</f>
        <v>116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113525</v>
      </c>
      <c r="M29" s="129"/>
      <c r="N29" s="115">
        <v>181.67</v>
      </c>
      <c r="O29" s="40" t="s">
        <v>31</v>
      </c>
      <c r="P29" s="115">
        <v>-591.9</v>
      </c>
      <c r="Q29" s="40"/>
      <c r="R29" s="115">
        <f>211.25+181.67</f>
        <v>392.91999999999996</v>
      </c>
      <c r="S29" s="40" t="s">
        <v>31</v>
      </c>
      <c r="T29" s="115">
        <f>5251.69-591.9</f>
        <v>4659.79</v>
      </c>
      <c r="U29" s="120"/>
      <c r="V29" s="115">
        <f>288.34+195.28</f>
        <v>483.62</v>
      </c>
      <c r="W29" s="40" t="s">
        <v>31</v>
      </c>
      <c r="X29" s="115">
        <f>1275.62-693.03</f>
        <v>582.58999999999992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7641425</v>
      </c>
      <c r="H31" s="29"/>
      <c r="I31" s="152">
        <v>7652945</v>
      </c>
      <c r="J31" s="40"/>
      <c r="K31" s="40"/>
      <c r="L31" s="152">
        <v>7478975</v>
      </c>
      <c r="M31" s="129"/>
      <c r="N31" s="38">
        <v>11338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</f>
        <v>14893.01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1393840</v>
      </c>
      <c r="H32" s="29"/>
      <c r="I32" s="45">
        <v>1434716</v>
      </c>
      <c r="J32" s="40"/>
      <c r="K32" s="40"/>
      <c r="L32" s="45">
        <v>654749</v>
      </c>
      <c r="M32" s="129"/>
      <c r="N32" s="38"/>
      <c r="O32" s="40"/>
      <c r="P32" s="45">
        <v>42151.07</v>
      </c>
      <c r="Q32" s="40"/>
      <c r="R32" s="38"/>
      <c r="S32" s="40"/>
      <c r="T32" s="45">
        <f>190411.34+42151.07</f>
        <v>232562.41</v>
      </c>
      <c r="U32" s="119"/>
      <c r="V32" s="38"/>
      <c r="W32" s="40"/>
      <c r="X32" s="45">
        <f>261094.23+27337.93</f>
        <v>288432.16000000003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-683.39</v>
      </c>
      <c r="Q33" s="181"/>
      <c r="R33" s="180"/>
      <c r="S33" s="181"/>
      <c r="T33" s="194">
        <f>-8274.97-683.39</f>
        <v>-8958.3599999999988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8588675</v>
      </c>
      <c r="H35" s="29"/>
      <c r="I35" s="116">
        <f>SUM(I29:I34)</f>
        <v>8641071</v>
      </c>
      <c r="J35" s="40"/>
      <c r="K35" s="40"/>
      <c r="L35" s="116">
        <f>SUM(L29:L34)</f>
        <v>7684172</v>
      </c>
      <c r="M35" s="129"/>
      <c r="N35" s="116">
        <f>SUM(N29:N34)</f>
        <v>11519.67</v>
      </c>
      <c r="O35" s="40"/>
      <c r="P35" s="116">
        <f>SUM(P29:P34)</f>
        <v>40875.78</v>
      </c>
      <c r="Q35" s="40"/>
      <c r="R35" s="116">
        <f>SUM(R29:R34)</f>
        <v>23985.79</v>
      </c>
      <c r="S35" s="40"/>
      <c r="T35" s="116">
        <f>SUM(T29:T34)</f>
        <v>228263.84000000003</v>
      </c>
      <c r="U35" s="120"/>
      <c r="V35" s="116">
        <f>SUM(V29:V34)</f>
        <v>35376.630000000005</v>
      </c>
      <c r="W35" s="40"/>
      <c r="X35" s="116">
        <f>SUM(X29:X34)</f>
        <v>289014.75000000006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12323593.65</v>
      </c>
      <c r="H37" s="29"/>
      <c r="I37" s="107">
        <f>+I35+I25+I19+I11</f>
        <v>12715563.65</v>
      </c>
      <c r="J37" s="92"/>
      <c r="K37" s="92"/>
      <c r="L37" s="107">
        <f>+L35+L25+L19+L11</f>
        <v>11448311.65</v>
      </c>
      <c r="M37" s="129"/>
      <c r="N37" s="107">
        <f>+N35+N25+N19+N11</f>
        <v>11612.33</v>
      </c>
      <c r="O37" s="92"/>
      <c r="P37" s="107">
        <f>+P35+P25+P19+P11</f>
        <v>40875.78</v>
      </c>
      <c r="Q37" s="92"/>
      <c r="R37" s="107">
        <f>+R35+R25+R19+R11</f>
        <v>24201.260000000002</v>
      </c>
      <c r="S37" s="92"/>
      <c r="T37" s="107">
        <f>+T35+T25+T19+T11</f>
        <v>228263.84000000003</v>
      </c>
      <c r="U37" s="120"/>
      <c r="V37" s="107">
        <f>+V35+V25+V19+V11</f>
        <v>35492.630000000005</v>
      </c>
      <c r="W37" s="92"/>
      <c r="X37" s="107">
        <f>+X35+X25+X19+X11</f>
        <v>289014.75000000006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5029522.71</v>
      </c>
      <c r="H39" s="29"/>
      <c r="I39" s="175">
        <v>5051586</v>
      </c>
      <c r="J39" s="92"/>
      <c r="K39" s="92"/>
      <c r="L39" s="175">
        <v>4242509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 2017
</oddFooter>
  </headerFooter>
  <legacy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398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41546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418</v>
      </c>
      <c r="H6" s="102"/>
      <c r="I6" s="80" t="s">
        <v>419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1414004</v>
      </c>
      <c r="H9" s="102"/>
      <c r="I9" s="103">
        <v>1174204</v>
      </c>
      <c r="J9" s="92"/>
      <c r="K9" s="92"/>
      <c r="L9" s="103">
        <v>2336959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3.9723247983315813E-5</v>
      </c>
      <c r="F10" s="111"/>
      <c r="G10" s="111">
        <v>1892057</v>
      </c>
      <c r="H10" s="102"/>
      <c r="I10" s="111">
        <v>1892125</v>
      </c>
      <c r="J10" s="92"/>
      <c r="K10" s="92"/>
      <c r="L10" s="111">
        <v>3390998</v>
      </c>
      <c r="M10" s="92"/>
      <c r="N10" s="56">
        <v>75.16</v>
      </c>
      <c r="O10" s="92"/>
      <c r="P10" s="72"/>
      <c r="Q10" s="42"/>
      <c r="R10" s="56">
        <f>122.81+92.66+75.16</f>
        <v>290.63</v>
      </c>
      <c r="S10" s="92"/>
      <c r="T10" s="72"/>
      <c r="U10" s="86"/>
      <c r="V10" s="56">
        <f>72+44+101.68</f>
        <v>217.68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3306061</v>
      </c>
      <c r="H11" s="102"/>
      <c r="I11" s="103">
        <f>SUM(I9:I10)</f>
        <v>3066329</v>
      </c>
      <c r="J11" s="92"/>
      <c r="K11" s="92"/>
      <c r="L11" s="103">
        <f>SUM(L9:L10)</f>
        <v>5727957</v>
      </c>
      <c r="M11" s="92"/>
      <c r="N11" s="120">
        <f>SUM(N9:N10)</f>
        <v>75.16</v>
      </c>
      <c r="O11" s="92"/>
      <c r="P11" s="120">
        <f>SUM(P9:P10)</f>
        <v>0</v>
      </c>
      <c r="Q11" s="85"/>
      <c r="R11" s="120">
        <f>SUM(R9:R10)</f>
        <v>290.63</v>
      </c>
      <c r="S11" s="92"/>
      <c r="T11" s="120">
        <f>SUM(T9:T10)</f>
        <v>0</v>
      </c>
      <c r="U11" s="120"/>
      <c r="V11" s="120">
        <f>SUM(V9:V10)</f>
        <v>217.68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113929</v>
      </c>
      <c r="M29" s="129"/>
      <c r="N29" s="115">
        <v>235.23</v>
      </c>
      <c r="O29" s="40" t="s">
        <v>31</v>
      </c>
      <c r="P29" s="115">
        <v>4817.97</v>
      </c>
      <c r="Q29" s="40"/>
      <c r="R29" s="115">
        <f>211.25+181.67+225.23</f>
        <v>618.15</v>
      </c>
      <c r="S29" s="40" t="s">
        <v>31</v>
      </c>
      <c r="T29" s="115">
        <f>5251.69-591.9+4817.97</f>
        <v>9477.76</v>
      </c>
      <c r="U29" s="120"/>
      <c r="V29" s="115">
        <f>288.34+195.28+403</f>
        <v>886.62</v>
      </c>
      <c r="W29" s="40" t="s">
        <v>31</v>
      </c>
      <c r="X29" s="115">
        <f>1275.62-693.03-1029</f>
        <v>-446.41000000000008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7652945</v>
      </c>
      <c r="H31" s="29"/>
      <c r="I31" s="152">
        <v>7665136</v>
      </c>
      <c r="J31" s="40"/>
      <c r="K31" s="40"/>
      <c r="L31" s="152">
        <v>7487602</v>
      </c>
      <c r="M31" s="129"/>
      <c r="N31" s="38">
        <v>11955.56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5840.27+9052.74+8627</f>
        <v>23520.010000000002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1434716</v>
      </c>
      <c r="H32" s="29"/>
      <c r="I32" s="45">
        <v>1593566</v>
      </c>
      <c r="J32" s="40"/>
      <c r="K32" s="40"/>
      <c r="L32" s="45">
        <v>702532</v>
      </c>
      <c r="M32" s="129"/>
      <c r="N32" s="38"/>
      <c r="O32" s="40"/>
      <c r="P32" s="45">
        <v>153701.85</v>
      </c>
      <c r="Q32" s="40"/>
      <c r="R32" s="38"/>
      <c r="S32" s="40"/>
      <c r="T32" s="45">
        <f>190411.34+42151.07+153701.85</f>
        <v>386264.26</v>
      </c>
      <c r="U32" s="119"/>
      <c r="V32" s="38"/>
      <c r="W32" s="40"/>
      <c r="X32" s="45">
        <f>261094.23+27337.93+48813</f>
        <v>337245.16000000003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330.76</v>
      </c>
      <c r="Q33" s="181"/>
      <c r="R33" s="180"/>
      <c r="S33" s="181"/>
      <c r="T33" s="194">
        <f>-8274.97-683.39+330.76</f>
        <v>-8627.5999999999985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8641071</v>
      </c>
      <c r="H35" s="29"/>
      <c r="I35" s="116">
        <f>SUM(I29:I34)</f>
        <v>8812112</v>
      </c>
      <c r="J35" s="40"/>
      <c r="K35" s="40"/>
      <c r="L35" s="116">
        <f>SUM(L29:L34)</f>
        <v>7740986</v>
      </c>
      <c r="M35" s="129"/>
      <c r="N35" s="116">
        <f>SUM(N29:N34)</f>
        <v>12190.789999999999</v>
      </c>
      <c r="O35" s="40"/>
      <c r="P35" s="116">
        <f>SUM(P29:P34)</f>
        <v>158850.58000000002</v>
      </c>
      <c r="Q35" s="40"/>
      <c r="R35" s="116">
        <f>SUM(R29:R34)</f>
        <v>24211.020000000004</v>
      </c>
      <c r="S35" s="40"/>
      <c r="T35" s="116">
        <f>SUM(T29:T34)</f>
        <v>387114.42000000004</v>
      </c>
      <c r="U35" s="120"/>
      <c r="V35" s="116">
        <f>SUM(V29:V34)</f>
        <v>44406.630000000005</v>
      </c>
      <c r="W35" s="40"/>
      <c r="X35" s="116">
        <f>SUM(X29:X34)</f>
        <v>336798.75000000006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12715563.65</v>
      </c>
      <c r="H37" s="29"/>
      <c r="I37" s="107">
        <f>+I35+I25+I19+I11</f>
        <v>12646872.65</v>
      </c>
      <c r="J37" s="92"/>
      <c r="K37" s="92"/>
      <c r="L37" s="107">
        <f>+L35+L25+L19+L11</f>
        <v>14237374.65</v>
      </c>
      <c r="M37" s="129"/>
      <c r="N37" s="107">
        <f>+N35+N25+N19+N11</f>
        <v>12265.949999999999</v>
      </c>
      <c r="O37" s="92"/>
      <c r="P37" s="107">
        <f>+P35+P25+P19+P11</f>
        <v>158850.58000000002</v>
      </c>
      <c r="Q37" s="92"/>
      <c r="R37" s="107">
        <f>+R35+R25+R19+R11</f>
        <v>24501.650000000005</v>
      </c>
      <c r="S37" s="92"/>
      <c r="T37" s="107">
        <f>+T35+T25+T19+T11</f>
        <v>387114.42000000004</v>
      </c>
      <c r="U37" s="120"/>
      <c r="V37" s="107">
        <f>+V35+V25+V19+V11</f>
        <v>44624.310000000005</v>
      </c>
      <c r="W37" s="92"/>
      <c r="X37" s="107">
        <f>+X35+X25+X19+X11</f>
        <v>336798.75000000006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5051586</v>
      </c>
      <c r="H39" s="29"/>
      <c r="I39" s="175">
        <v>5114198</v>
      </c>
      <c r="J39" s="92"/>
      <c r="K39" s="92"/>
      <c r="L39" s="175">
        <v>4309126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2017
</oddFooter>
  </headerFooter>
  <legacy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398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41576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420</v>
      </c>
      <c r="H6" s="102"/>
      <c r="I6" s="80" t="s">
        <v>421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1174204</v>
      </c>
      <c r="H9" s="102"/>
      <c r="I9" s="103">
        <v>222767</v>
      </c>
      <c r="J9" s="92"/>
      <c r="K9" s="92"/>
      <c r="L9" s="103">
        <v>456374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4.383871791172325E-5</v>
      </c>
      <c r="F10" s="111"/>
      <c r="G10" s="111">
        <v>1892125</v>
      </c>
      <c r="H10" s="102"/>
      <c r="I10" s="111">
        <v>1892201</v>
      </c>
      <c r="J10" s="92"/>
      <c r="K10" s="92"/>
      <c r="L10" s="111">
        <v>2891130</v>
      </c>
      <c r="M10" s="92"/>
      <c r="N10" s="56">
        <v>82.95</v>
      </c>
      <c r="O10" s="92"/>
      <c r="P10" s="72"/>
      <c r="Q10" s="42"/>
      <c r="R10" s="56">
        <f>122.81+92.66+75.16+82.95</f>
        <v>373.58</v>
      </c>
      <c r="S10" s="92"/>
      <c r="T10" s="72"/>
      <c r="U10" s="86"/>
      <c r="V10" s="56">
        <f>72+44+101.68+139.9</f>
        <v>357.58000000000004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3066329</v>
      </c>
      <c r="H11" s="102"/>
      <c r="I11" s="103">
        <f>SUM(I9:I10)</f>
        <v>2114968</v>
      </c>
      <c r="J11" s="92"/>
      <c r="K11" s="92"/>
      <c r="L11" s="103">
        <f>SUM(L9:L10)</f>
        <v>3347504</v>
      </c>
      <c r="M11" s="92"/>
      <c r="N11" s="120">
        <f>SUM(N9:N10)</f>
        <v>82.95</v>
      </c>
      <c r="O11" s="92"/>
      <c r="P11" s="120">
        <f>SUM(P9:P10)</f>
        <v>0</v>
      </c>
      <c r="Q11" s="85"/>
      <c r="R11" s="120">
        <f>SUM(R9:R10)</f>
        <v>373.58</v>
      </c>
      <c r="S11" s="92"/>
      <c r="T11" s="120">
        <f>SUM(T9:T10)</f>
        <v>0</v>
      </c>
      <c r="U11" s="120"/>
      <c r="V11" s="120">
        <f>SUM(V9:V10)</f>
        <v>357.58000000000004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117224</v>
      </c>
      <c r="J29" s="40"/>
      <c r="K29" s="40"/>
      <c r="L29" s="115">
        <v>114211</v>
      </c>
      <c r="M29" s="129"/>
      <c r="N29" s="115">
        <v>320.73</v>
      </c>
      <c r="O29" s="40" t="s">
        <v>31</v>
      </c>
      <c r="P29" s="115">
        <v>6393.84</v>
      </c>
      <c r="Q29" s="40"/>
      <c r="R29" s="115">
        <f>211.25+181.67+225.23+320.73</f>
        <v>938.88</v>
      </c>
      <c r="S29" s="40" t="s">
        <v>31</v>
      </c>
      <c r="T29" s="115">
        <f>5251.69-591.9+4817.97+6393.84</f>
        <v>15871.6</v>
      </c>
      <c r="U29" s="120"/>
      <c r="V29" s="115">
        <f>288.34+195.28+403+282.49</f>
        <v>1169.1100000000001</v>
      </c>
      <c r="W29" s="40" t="s">
        <v>31</v>
      </c>
      <c r="X29" s="115">
        <f>1275.62-693.03-1029-3058.98</f>
        <v>-3505.3900000000003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7665136</v>
      </c>
      <c r="H31" s="29"/>
      <c r="I31" s="152">
        <v>7674233</v>
      </c>
      <c r="J31" s="40"/>
      <c r="K31" s="40"/>
      <c r="L31" s="152">
        <v>7493228</v>
      </c>
      <c r="M31" s="129"/>
      <c r="N31" s="38">
        <v>9513.98</v>
      </c>
      <c r="O31" s="40"/>
      <c r="P31" s="45"/>
      <c r="Q31" s="40"/>
      <c r="R31" s="38">
        <f>12254.87+11338+9513.98</f>
        <v>33106.850000000006</v>
      </c>
      <c r="S31" s="40"/>
      <c r="T31" s="45"/>
      <c r="U31" s="93"/>
      <c r="V31" s="38">
        <f>5840.27+9052.74+8627+5625.42</f>
        <v>29145.43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1593566</v>
      </c>
      <c r="H32" s="29"/>
      <c r="I32" s="45">
        <v>1748676</v>
      </c>
      <c r="J32" s="40"/>
      <c r="K32" s="40"/>
      <c r="L32" s="45">
        <v>546748</v>
      </c>
      <c r="M32" s="129"/>
      <c r="N32" s="38"/>
      <c r="O32" s="40"/>
      <c r="P32" s="45">
        <v>156770.58999999994</v>
      </c>
      <c r="Q32" s="40"/>
      <c r="R32" s="38"/>
      <c r="S32" s="40"/>
      <c r="T32" s="45">
        <f>190411.34+42151.07+153701.85+156770.59</f>
        <v>543034.85</v>
      </c>
      <c r="U32" s="119"/>
      <c r="V32" s="38"/>
      <c r="W32" s="40"/>
      <c r="X32" s="45">
        <f>261094.23+27337.93+48813-152724.76</f>
        <v>184520.40000000002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-8056.18</v>
      </c>
      <c r="Q33" s="181"/>
      <c r="R33" s="180"/>
      <c r="S33" s="181"/>
      <c r="T33" s="194">
        <f>-8274.97-683.39+330.76-8056.18</f>
        <v>-16683.78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8812112</v>
      </c>
      <c r="H35" s="29"/>
      <c r="I35" s="116">
        <f>SUM(I29:I34)</f>
        <v>8977056</v>
      </c>
      <c r="J35" s="40"/>
      <c r="K35" s="40"/>
      <c r="L35" s="116">
        <f>SUM(L29:L34)</f>
        <v>7591110</v>
      </c>
      <c r="M35" s="129"/>
      <c r="N35" s="116">
        <f>SUM(N29:N34)</f>
        <v>9834.7099999999991</v>
      </c>
      <c r="O35" s="40"/>
      <c r="P35" s="116">
        <f>SUM(P29:P34)</f>
        <v>155108.24999999994</v>
      </c>
      <c r="Q35" s="40"/>
      <c r="R35" s="116">
        <f>SUM(R29:R34)</f>
        <v>34045.730000000003</v>
      </c>
      <c r="S35" s="40"/>
      <c r="T35" s="116">
        <f>SUM(T29:T34)</f>
        <v>542222.66999999993</v>
      </c>
      <c r="U35" s="120"/>
      <c r="V35" s="116">
        <f>SUM(V29:V34)</f>
        <v>50314.54</v>
      </c>
      <c r="W35" s="40"/>
      <c r="X35" s="116">
        <f>SUM(X29:X34)</f>
        <v>181015.01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12646872.65</v>
      </c>
      <c r="H37" s="29"/>
      <c r="I37" s="107">
        <f>+I35+I25+I19+I11</f>
        <v>11860455.65</v>
      </c>
      <c r="J37" s="92"/>
      <c r="K37" s="92"/>
      <c r="L37" s="107">
        <f>+L35+L25+L19+L11</f>
        <v>11707045.65</v>
      </c>
      <c r="M37" s="129"/>
      <c r="N37" s="107">
        <f>+N35+N25+N19+N11</f>
        <v>9917.66</v>
      </c>
      <c r="O37" s="92"/>
      <c r="P37" s="107">
        <f>+P35+P25+P19+P11</f>
        <v>155108.24999999994</v>
      </c>
      <c r="Q37" s="92"/>
      <c r="R37" s="107">
        <f>+R35+R25+R19+R11</f>
        <v>34419.310000000005</v>
      </c>
      <c r="S37" s="92"/>
      <c r="T37" s="107">
        <f>+T35+T25+T19+T11</f>
        <v>542222.66999999993</v>
      </c>
      <c r="U37" s="120"/>
      <c r="V37" s="107">
        <f>+V35+V25+V19+V11</f>
        <v>50672.12</v>
      </c>
      <c r="W37" s="92"/>
      <c r="X37" s="107">
        <f>+X35+X25+X19+X11</f>
        <v>181015.01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5114198</v>
      </c>
      <c r="H39" s="29"/>
      <c r="I39" s="175">
        <v>5152772</v>
      </c>
      <c r="J39" s="92"/>
      <c r="K39" s="92"/>
      <c r="L39" s="175">
        <v>4309016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2017
</oddFooter>
  </headerFooter>
  <legacy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398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41607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422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222767</v>
      </c>
      <c r="H9" s="102"/>
      <c r="I9" s="103">
        <v>589848</v>
      </c>
      <c r="J9" s="92"/>
      <c r="K9" s="92"/>
      <c r="L9" s="103">
        <v>1057086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5.1975955790758533E-5</v>
      </c>
      <c r="F10" s="111"/>
      <c r="G10" s="111">
        <v>1892201</v>
      </c>
      <c r="H10" s="102"/>
      <c r="I10" s="111">
        <v>2892319</v>
      </c>
      <c r="J10" s="92"/>
      <c r="K10" s="92"/>
      <c r="L10" s="111">
        <v>1891213</v>
      </c>
      <c r="M10" s="92"/>
      <c r="N10" s="56">
        <v>124.34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</f>
        <v>447.58000000000004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2114968</v>
      </c>
      <c r="H11" s="102"/>
      <c r="I11" s="103">
        <f>SUM(I9:I10)</f>
        <v>3482167</v>
      </c>
      <c r="J11" s="92"/>
      <c r="K11" s="92"/>
      <c r="L11" s="103">
        <f>SUM(L9:L10)</f>
        <v>2948299</v>
      </c>
      <c r="M11" s="92"/>
      <c r="N11" s="120">
        <f>SUM(N9:N10)</f>
        <v>124.34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447.58000000000004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117224</v>
      </c>
      <c r="H29" s="29"/>
      <c r="I29" s="115">
        <v>117352</v>
      </c>
      <c r="J29" s="40"/>
      <c r="K29" s="40"/>
      <c r="L29" s="115">
        <v>114373</v>
      </c>
      <c r="M29" s="129"/>
      <c r="N29" s="115">
        <v>127.74</v>
      </c>
      <c r="O29" s="40" t="s">
        <v>31</v>
      </c>
      <c r="P29" s="115">
        <v>669.71</v>
      </c>
      <c r="Q29" s="40"/>
      <c r="R29" s="115">
        <f>211.25+181.67+225.23+320.73+127.74</f>
        <v>1066.6199999999999</v>
      </c>
      <c r="S29" s="40" t="s">
        <v>31</v>
      </c>
      <c r="T29" s="115">
        <f>5251.69-591.9+4817.97+6393.84+669.71</f>
        <v>16541.310000000001</v>
      </c>
      <c r="U29" s="120"/>
      <c r="V29" s="115">
        <f>288.34+195.28+403+282.49+162.91</f>
        <v>1332.0200000000002</v>
      </c>
      <c r="W29" s="40" t="s">
        <v>31</v>
      </c>
      <c r="X29" s="115">
        <f>1275.62-693.03-1029-3058.98+5778.42</f>
        <v>2273.0299999999997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7674233</v>
      </c>
      <c r="H31" s="29"/>
      <c r="I31" s="152">
        <v>7682138</v>
      </c>
      <c r="J31" s="40"/>
      <c r="K31" s="40"/>
      <c r="L31" s="152">
        <v>7498752</v>
      </c>
      <c r="M31" s="129"/>
      <c r="N31" s="38">
        <v>7904.58</v>
      </c>
      <c r="O31" s="40"/>
      <c r="P31" s="45"/>
      <c r="Q31" s="40"/>
      <c r="R31" s="38">
        <f>12254.87+11338+11955.58+9513.98+7904.58</f>
        <v>52967.010000000009</v>
      </c>
      <c r="S31" s="40"/>
      <c r="T31" s="45"/>
      <c r="U31" s="93"/>
      <c r="V31" s="38">
        <f>5840.27+9052.74+8627+5625.42+5524.48</f>
        <v>34669.910000000003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1748676</v>
      </c>
      <c r="H32" s="29"/>
      <c r="I32" s="45">
        <v>1845632</v>
      </c>
      <c r="J32" s="40"/>
      <c r="K32" s="40"/>
      <c r="L32" s="45">
        <v>548149</v>
      </c>
      <c r="M32" s="129"/>
      <c r="N32" s="38"/>
      <c r="O32" s="40"/>
      <c r="P32" s="45">
        <v>97077.67</v>
      </c>
      <c r="Q32" s="40"/>
      <c r="R32" s="38"/>
      <c r="S32" s="40"/>
      <c r="T32" s="45">
        <f>190411.34+42151.07+153701.85+156770.59+97077.67</f>
        <v>640112.52</v>
      </c>
      <c r="U32" s="119"/>
      <c r="V32" s="38"/>
      <c r="W32" s="40"/>
      <c r="X32" s="45">
        <f>261094.23+27337.93+48813-152724.76-4377.86</f>
        <v>180142.54000000004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-789.61</v>
      </c>
      <c r="Q33" s="181"/>
      <c r="R33" s="180"/>
      <c r="S33" s="181"/>
      <c r="T33" s="194">
        <f>-8274.97-683.39+330.76-8056.18-789.61</f>
        <v>-17473.39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8977056</v>
      </c>
      <c r="H35" s="29"/>
      <c r="I35" s="116">
        <f>SUM(I29:I34)</f>
        <v>9082045</v>
      </c>
      <c r="J35" s="40"/>
      <c r="K35" s="40"/>
      <c r="L35" s="116">
        <f>SUM(L29:L34)</f>
        <v>7598197</v>
      </c>
      <c r="M35" s="129"/>
      <c r="N35" s="116">
        <f>SUM(N29:N34)</f>
        <v>8032.32</v>
      </c>
      <c r="O35" s="40"/>
      <c r="P35" s="116">
        <f>SUM(P29:P34)</f>
        <v>96957.77</v>
      </c>
      <c r="Q35" s="40"/>
      <c r="R35" s="116">
        <f>SUM(R29:R34)</f>
        <v>54033.630000000012</v>
      </c>
      <c r="S35" s="40"/>
      <c r="T35" s="116">
        <f>SUM(T29:T34)</f>
        <v>639180.44000000006</v>
      </c>
      <c r="U35" s="120"/>
      <c r="V35" s="116">
        <f>SUM(V29:V34)</f>
        <v>56001.93</v>
      </c>
      <c r="W35" s="40"/>
      <c r="X35" s="116">
        <f>SUM(X29:X34)</f>
        <v>182415.57000000004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11860455.65</v>
      </c>
      <c r="H37" s="29"/>
      <c r="I37" s="107">
        <f>+I35+I25+I19+I11</f>
        <v>13332643.65</v>
      </c>
      <c r="J37" s="92"/>
      <c r="K37" s="92"/>
      <c r="L37" s="107">
        <f>+L35+L25+L19+L11</f>
        <v>11314927.65</v>
      </c>
      <c r="M37" s="129"/>
      <c r="N37" s="107">
        <f>+N35+N25+N19+N11</f>
        <v>8156.66</v>
      </c>
      <c r="O37" s="92"/>
      <c r="P37" s="107">
        <f>+P35+P25+P19+P11</f>
        <v>96957.77</v>
      </c>
      <c r="Q37" s="92"/>
      <c r="R37" s="107">
        <f>+R35+R25+R19+R11</f>
        <v>54531.55000000001</v>
      </c>
      <c r="S37" s="92"/>
      <c r="T37" s="107">
        <f>+T35+T25+T19+T11</f>
        <v>639180.44000000006</v>
      </c>
      <c r="U37" s="120"/>
      <c r="V37" s="107">
        <f>+V35+V25+V19+V11</f>
        <v>56449.51</v>
      </c>
      <c r="W37" s="92"/>
      <c r="X37" s="107">
        <f>+X35+X25+X19+X11</f>
        <v>182415.57000000004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5152772</v>
      </c>
      <c r="H39" s="29"/>
      <c r="I39" s="175">
        <v>5211525</v>
      </c>
      <c r="J39" s="92"/>
      <c r="K39" s="92"/>
      <c r="L39" s="175">
        <v>4345450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2017
</oddFooter>
  </headerFooter>
  <legacy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398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41637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424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589848</v>
      </c>
      <c r="H9" s="102"/>
      <c r="I9" s="103">
        <v>914737</v>
      </c>
      <c r="J9" s="92"/>
      <c r="K9" s="92"/>
      <c r="L9" s="103">
        <v>406128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3.9725173711200755E-5</v>
      </c>
      <c r="F10" s="111"/>
      <c r="G10" s="111">
        <v>2892319</v>
      </c>
      <c r="H10" s="102"/>
      <c r="I10" s="111">
        <v>2892426</v>
      </c>
      <c r="J10" s="92"/>
      <c r="K10" s="92"/>
      <c r="L10" s="111">
        <v>1891284</v>
      </c>
      <c r="M10" s="92"/>
      <c r="N10" s="56">
        <v>114.9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72+44+101.68+139.9+90+78</f>
        <v>525.58000000000004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3482167</v>
      </c>
      <c r="H11" s="102"/>
      <c r="I11" s="103">
        <f>SUM(I9:I10)</f>
        <v>3807163</v>
      </c>
      <c r="J11" s="92"/>
      <c r="K11" s="92"/>
      <c r="L11" s="103">
        <f>SUM(L9:L10)</f>
        <v>2297412</v>
      </c>
      <c r="M11" s="92"/>
      <c r="N11" s="120">
        <f>SUM(N9:N10)</f>
        <v>114.9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525.58000000000004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117352</v>
      </c>
      <c r="H29" s="29"/>
      <c r="I29" s="115">
        <v>118223</v>
      </c>
      <c r="J29" s="40"/>
      <c r="K29" s="40"/>
      <c r="L29" s="115">
        <v>115049</v>
      </c>
      <c r="M29" s="129"/>
      <c r="N29" s="115">
        <v>871.1</v>
      </c>
      <c r="O29" s="40" t="s">
        <v>31</v>
      </c>
      <c r="P29" s="115">
        <v>658.3</v>
      </c>
      <c r="Q29" s="40"/>
      <c r="R29" s="115">
        <f>211.25+181.67+225.23+320.73+127.74+871.1</f>
        <v>1937.7199999999998</v>
      </c>
      <c r="S29" s="40" t="s">
        <v>31</v>
      </c>
      <c r="T29" s="115">
        <f>5251.69-591.9+4817.97+6393.84+669.71+658.3</f>
        <v>17199.61</v>
      </c>
      <c r="U29" s="120"/>
      <c r="V29" s="115">
        <f>288.34+195.28+403+282.49+162.91+676.12</f>
        <v>2008.1400000000003</v>
      </c>
      <c r="W29" s="40" t="s">
        <v>31</v>
      </c>
      <c r="X29" s="115">
        <f>1275.62-693.03-1029-3058.98+5778.42+2497.12</f>
        <v>4770.1499999999996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7682138</v>
      </c>
      <c r="H31" s="29"/>
      <c r="I31" s="152">
        <v>7776857</v>
      </c>
      <c r="J31" s="40"/>
      <c r="K31" s="40"/>
      <c r="L31" s="152">
        <v>7580139</v>
      </c>
      <c r="M31" s="129"/>
      <c r="N31" s="38">
        <v>94719.42</v>
      </c>
      <c r="O31" s="40"/>
      <c r="P31" s="45"/>
      <c r="Q31" s="40"/>
      <c r="R31" s="38">
        <f>12254.87+11338+11955.58+9513.98+7904.58+94719.42</f>
        <v>147686.43</v>
      </c>
      <c r="S31" s="40"/>
      <c r="T31" s="45"/>
      <c r="U31" s="93"/>
      <c r="V31" s="38">
        <f>5840.27+9052.74+8627+5625.42+5524.48+81386.12</f>
        <v>116056.03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1845632</v>
      </c>
      <c r="H32" s="29"/>
      <c r="I32" s="45">
        <v>1864504</v>
      </c>
      <c r="J32" s="40"/>
      <c r="K32" s="40"/>
      <c r="L32" s="45">
        <v>536933</v>
      </c>
      <c r="M32" s="129"/>
      <c r="N32" s="38"/>
      <c r="O32" s="40"/>
      <c r="P32" s="45">
        <v>17948.36</v>
      </c>
      <c r="Q32" s="40"/>
      <c r="R32" s="38"/>
      <c r="S32" s="40"/>
      <c r="T32" s="45">
        <f>190411.34+42151.07+153701.85+156770.59+97077.67+17948.36</f>
        <v>658060.88</v>
      </c>
      <c r="U32" s="119"/>
      <c r="V32" s="38"/>
      <c r="W32" s="40"/>
      <c r="X32" s="45">
        <f>261094.23+27337.93+48813-152724.76-4377.86-13713.12</f>
        <v>166429.42000000004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264.5</v>
      </c>
      <c r="Q33" s="181"/>
      <c r="R33" s="180"/>
      <c r="S33" s="181"/>
      <c r="T33" s="194">
        <f>-8274.97-683.39+330.76-8056.18-789.61+264.5</f>
        <v>-17208.89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9082045</v>
      </c>
      <c r="H35" s="29"/>
      <c r="I35" s="116">
        <f>SUM(I29:I34)</f>
        <v>9196507</v>
      </c>
      <c r="J35" s="40"/>
      <c r="K35" s="40"/>
      <c r="L35" s="116">
        <f>SUM(L29:L34)</f>
        <v>7669044</v>
      </c>
      <c r="M35" s="129"/>
      <c r="N35" s="116">
        <f>SUM(N29:N34)</f>
        <v>95590.52</v>
      </c>
      <c r="O35" s="40"/>
      <c r="P35" s="116">
        <f>SUM(P29:P34)</f>
        <v>18871.16</v>
      </c>
      <c r="Q35" s="40"/>
      <c r="R35" s="116">
        <f>SUM(R29:R34)</f>
        <v>149624.15</v>
      </c>
      <c r="S35" s="40"/>
      <c r="T35" s="116">
        <f>SUM(T29:T34)</f>
        <v>658051.6</v>
      </c>
      <c r="U35" s="120"/>
      <c r="V35" s="116">
        <f>SUM(V29:V34)</f>
        <v>138064.16999999998</v>
      </c>
      <c r="W35" s="40"/>
      <c r="X35" s="116">
        <f>SUM(X29:X34)</f>
        <v>171199.57000000004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13332643.65</v>
      </c>
      <c r="H37" s="29"/>
      <c r="I37" s="107">
        <f>+I35+I25+I19+I11</f>
        <v>13772101.65</v>
      </c>
      <c r="J37" s="92"/>
      <c r="K37" s="92"/>
      <c r="L37" s="107">
        <f>+L35+L25+L19+L11</f>
        <v>10734887.65</v>
      </c>
      <c r="M37" s="129"/>
      <c r="N37" s="107">
        <f>+N35+N25+N19+N11</f>
        <v>95705.42</v>
      </c>
      <c r="O37" s="92"/>
      <c r="P37" s="107">
        <f>+P35+P25+P19+P11</f>
        <v>18871.16</v>
      </c>
      <c r="Q37" s="92"/>
      <c r="R37" s="107">
        <f>+R35+R25+R19+R11</f>
        <v>150122.07</v>
      </c>
      <c r="S37" s="92"/>
      <c r="T37" s="107">
        <f>+T35+T25+T19+T11</f>
        <v>658051.6</v>
      </c>
      <c r="U37" s="120"/>
      <c r="V37" s="107">
        <f>+V35+V25+V19+V11</f>
        <v>138589.74999999997</v>
      </c>
      <c r="W37" s="92"/>
      <c r="X37" s="107">
        <f>+X35+X25+X19+X11</f>
        <v>171199.57000000004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5211525</v>
      </c>
      <c r="H39" s="29"/>
      <c r="I39" s="175">
        <v>5261684</v>
      </c>
      <c r="J39" s="92"/>
      <c r="K39" s="92"/>
      <c r="L39" s="175">
        <v>4446452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2017
</oddFooter>
  </headerFooter>
  <legacy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398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41668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425</v>
      </c>
      <c r="H6" s="102"/>
      <c r="I6" s="80" t="s">
        <v>426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914737</v>
      </c>
      <c r="H9" s="102"/>
      <c r="I9" s="103">
        <v>2047786</v>
      </c>
      <c r="J9" s="92"/>
      <c r="K9" s="92"/>
      <c r="L9" s="103">
        <v>2813069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7.1692997302761469E-5</v>
      </c>
      <c r="F10" s="111"/>
      <c r="G10" s="111">
        <v>2892426</v>
      </c>
      <c r="H10" s="102"/>
      <c r="I10" s="111">
        <v>2392609</v>
      </c>
      <c r="J10" s="92"/>
      <c r="K10" s="92"/>
      <c r="L10" s="111" t="s">
        <v>373</v>
      </c>
      <c r="M10" s="92"/>
      <c r="N10" s="56">
        <v>189.45</v>
      </c>
      <c r="O10" s="92"/>
      <c r="P10" s="72"/>
      <c r="Q10" s="42"/>
      <c r="R10" s="56">
        <f>122.81+92.66+75.16+82.95+124.34+189.45</f>
        <v>687.36999999999989</v>
      </c>
      <c r="S10" s="92"/>
      <c r="T10" s="72"/>
      <c r="U10" s="86"/>
      <c r="V10" s="56">
        <f>72+44+101.68+139.9+90+78+54.83</f>
        <v>580.41000000000008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3807163</v>
      </c>
      <c r="H11" s="102"/>
      <c r="I11" s="103">
        <f>SUM(I9:I10)</f>
        <v>4440395</v>
      </c>
      <c r="J11" s="92"/>
      <c r="K11" s="92"/>
      <c r="L11" s="103">
        <f>SUM(L9:L10)</f>
        <v>2813069</v>
      </c>
      <c r="M11" s="92"/>
      <c r="N11" s="120">
        <f>SUM(N9:N10)</f>
        <v>189.45</v>
      </c>
      <c r="O11" s="92"/>
      <c r="P11" s="120">
        <f>SUM(P9:P10)</f>
        <v>0</v>
      </c>
      <c r="Q11" s="85"/>
      <c r="R11" s="120">
        <f>SUM(R9:R10)</f>
        <v>687.36999999999989</v>
      </c>
      <c r="S11" s="92"/>
      <c r="T11" s="120">
        <f>SUM(T9:T10)</f>
        <v>0</v>
      </c>
      <c r="U11" s="120"/>
      <c r="V11" s="120">
        <f>SUM(V9:V10)</f>
        <v>580.41000000000008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118223</v>
      </c>
      <c r="H29" s="29"/>
      <c r="I29" s="115">
        <v>118358</v>
      </c>
      <c r="J29" s="40"/>
      <c r="K29" s="40"/>
      <c r="L29" s="115">
        <v>115099</v>
      </c>
      <c r="M29" s="129"/>
      <c r="N29" s="115">
        <v>134.54</v>
      </c>
      <c r="O29" s="40" t="s">
        <v>31</v>
      </c>
      <c r="P29" s="115">
        <v>9728.81</v>
      </c>
      <c r="Q29" s="40"/>
      <c r="R29" s="115">
        <f>211.25+181.67+225.23+320.73+127.74+871.1+134.54</f>
        <v>2072.2599999999998</v>
      </c>
      <c r="S29" s="40" t="s">
        <v>31</v>
      </c>
      <c r="T29" s="115">
        <f>5251.69-591.9+4817.97+6393.84+669.71+658.3+9728.51</f>
        <v>26928.120000000003</v>
      </c>
      <c r="U29" s="120"/>
      <c r="V29" s="115">
        <f>288.34+195.28+403+282.49+162.91+676.12+49.59</f>
        <v>2057.7300000000005</v>
      </c>
      <c r="W29" s="40" t="s">
        <v>31</v>
      </c>
      <c r="X29" s="115">
        <f>1275.62-693.03-1029-3058.98+5778.42+2497.12+853.58</f>
        <v>5623.73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7776857</v>
      </c>
      <c r="H31" s="29"/>
      <c r="I31" s="152">
        <v>7785826</v>
      </c>
      <c r="J31" s="40"/>
      <c r="K31" s="40"/>
      <c r="L31" s="152">
        <v>7587023</v>
      </c>
      <c r="M31" s="129"/>
      <c r="N31" s="38">
        <v>8969.18</v>
      </c>
      <c r="O31" s="40"/>
      <c r="P31" s="45"/>
      <c r="Q31" s="40"/>
      <c r="R31" s="38">
        <f>12254.87+11338+11955.58+9513.98+7904.58+94719.42+8969.18</f>
        <v>156655.60999999999</v>
      </c>
      <c r="S31" s="40"/>
      <c r="T31" s="45"/>
      <c r="U31" s="93"/>
      <c r="V31" s="38">
        <f>5840.27+9052.74+8627+5625.42+5524.48+81386.12+6884.63</f>
        <v>122940.66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1864504</v>
      </c>
      <c r="H32" s="29"/>
      <c r="I32" s="45">
        <v>2302807</v>
      </c>
      <c r="J32" s="40"/>
      <c r="K32" s="40"/>
      <c r="L32" s="45">
        <v>716774</v>
      </c>
      <c r="M32" s="129"/>
      <c r="N32" s="38"/>
      <c r="O32" s="40"/>
      <c r="P32" s="45">
        <v>436954.69</v>
      </c>
      <c r="Q32" s="40"/>
      <c r="R32" s="38"/>
      <c r="S32" s="40"/>
      <c r="T32" s="45">
        <f>190411.34+42151.07+153701.85+156770.59+97077.67+17948.36+436954.69</f>
        <v>1095015.57</v>
      </c>
      <c r="U32" s="119"/>
      <c r="V32" s="38"/>
      <c r="W32" s="40"/>
      <c r="X32" s="45">
        <f>261094.23+27337.93+48813-152724.76-4377.86-13713.12+178987</f>
        <v>345416.42000000004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-8379.94</v>
      </c>
      <c r="Q33" s="181"/>
      <c r="R33" s="180"/>
      <c r="S33" s="181"/>
      <c r="T33" s="194">
        <f>-8274.97-683.39+330.76-8056.18-789.61+264.5-8379.94</f>
        <v>-25588.83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9196507</v>
      </c>
      <c r="H35" s="29"/>
      <c r="I35" s="116">
        <f>SUM(I29:I34)</f>
        <v>9643914</v>
      </c>
      <c r="J35" s="40"/>
      <c r="K35" s="40"/>
      <c r="L35" s="116">
        <f>SUM(L29:L34)</f>
        <v>7855819</v>
      </c>
      <c r="M35" s="129"/>
      <c r="N35" s="116">
        <f>SUM(N29:N34)</f>
        <v>9103.7200000000012</v>
      </c>
      <c r="O35" s="40"/>
      <c r="P35" s="116">
        <f>SUM(P29:P34)</f>
        <v>438303.56</v>
      </c>
      <c r="Q35" s="40"/>
      <c r="R35" s="116">
        <f>SUM(R29:R34)</f>
        <v>158727.87</v>
      </c>
      <c r="S35" s="40"/>
      <c r="T35" s="116">
        <f>SUM(T29:T34)</f>
        <v>1096354.8600000001</v>
      </c>
      <c r="U35" s="120"/>
      <c r="V35" s="116">
        <f>SUM(V29:V34)</f>
        <v>144998.39000000001</v>
      </c>
      <c r="W35" s="40"/>
      <c r="X35" s="116">
        <f>SUM(X29:X34)</f>
        <v>351040.15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13772101.65</v>
      </c>
      <c r="H37" s="29"/>
      <c r="I37" s="107">
        <f>+I35+I25+I19+I11</f>
        <v>14852740.65</v>
      </c>
      <c r="J37" s="92"/>
      <c r="K37" s="92"/>
      <c r="L37" s="107">
        <f>+L35+L25+L19+L11</f>
        <v>11437319.65</v>
      </c>
      <c r="M37" s="129"/>
      <c r="N37" s="107">
        <f>+N35+N25+N19+N11</f>
        <v>9293.1700000000019</v>
      </c>
      <c r="O37" s="92"/>
      <c r="P37" s="107">
        <f>+P35+P25+P19+P11</f>
        <v>438303.56</v>
      </c>
      <c r="Q37" s="92"/>
      <c r="R37" s="107">
        <f>+R35+R25+R19+R11</f>
        <v>159415.24</v>
      </c>
      <c r="S37" s="92"/>
      <c r="T37" s="107">
        <f>+T35+T25+T19+T11</f>
        <v>1096354.8600000001</v>
      </c>
      <c r="U37" s="120"/>
      <c r="V37" s="107">
        <f>+V35+V25+V19+V11</f>
        <v>145578.80000000002</v>
      </c>
      <c r="W37" s="92"/>
      <c r="X37" s="107">
        <f>+X35+X25+X19+X11</f>
        <v>351040.15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5261684</v>
      </c>
      <c r="H39" s="29"/>
      <c r="I39" s="175">
        <v>5410898</v>
      </c>
      <c r="J39" s="92"/>
      <c r="K39" s="92"/>
      <c r="L39" s="175">
        <v>4566096.22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2018
</oddFooter>
  </headerFooter>
  <legacy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398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41697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427</v>
      </c>
      <c r="H6" s="102"/>
      <c r="I6" s="80" t="s">
        <v>428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2047786</v>
      </c>
      <c r="H9" s="102"/>
      <c r="I9" s="103">
        <v>3665816</v>
      </c>
      <c r="J9" s="92"/>
      <c r="K9" s="92"/>
      <c r="L9" s="103">
        <v>2538760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1.0410284486757804E-4</v>
      </c>
      <c r="F10" s="111"/>
      <c r="G10" s="111">
        <v>2392609</v>
      </c>
      <c r="H10" s="102"/>
      <c r="I10" s="111">
        <v>2392851</v>
      </c>
      <c r="J10" s="92"/>
      <c r="K10" s="92"/>
      <c r="L10" s="111">
        <v>2891400</v>
      </c>
      <c r="M10" s="92"/>
      <c r="N10" s="56">
        <v>249.09</v>
      </c>
      <c r="O10" s="92"/>
      <c r="P10" s="72"/>
      <c r="Q10" s="42"/>
      <c r="R10" s="56">
        <f>122.81+92.66+75.16+82.95+124.34+114.9+189.45+249.09</f>
        <v>1051.3599999999999</v>
      </c>
      <c r="S10" s="92"/>
      <c r="T10" s="72"/>
      <c r="U10" s="86"/>
      <c r="V10" s="56">
        <f>72+44+101.68+139.9+90+78+54.83+75.28</f>
        <v>655.69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4440395</v>
      </c>
      <c r="H11" s="102"/>
      <c r="I11" s="103">
        <f>SUM(I9:I10)</f>
        <v>6058667</v>
      </c>
      <c r="J11" s="92"/>
      <c r="K11" s="92"/>
      <c r="L11" s="103">
        <f>SUM(L9:L10)</f>
        <v>5430160</v>
      </c>
      <c r="M11" s="92"/>
      <c r="N11" s="120">
        <f>SUM(N9:N10)</f>
        <v>249.09</v>
      </c>
      <c r="O11" s="92"/>
      <c r="P11" s="120">
        <f>SUM(P9:P10)</f>
        <v>0</v>
      </c>
      <c r="Q11" s="85"/>
      <c r="R11" s="120">
        <f>SUM(R9:R10)</f>
        <v>1051.3599999999999</v>
      </c>
      <c r="S11" s="92"/>
      <c r="T11" s="120">
        <f>SUM(T9:T10)</f>
        <v>0</v>
      </c>
      <c r="U11" s="120"/>
      <c r="V11" s="120">
        <f>SUM(V9:V10)</f>
        <v>655.69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118358</v>
      </c>
      <c r="H29" s="29"/>
      <c r="I29" s="115">
        <v>118483</v>
      </c>
      <c r="J29" s="40"/>
      <c r="K29" s="40"/>
      <c r="L29" s="115">
        <v>115256</v>
      </c>
      <c r="M29" s="129"/>
      <c r="N29" s="115">
        <v>125</v>
      </c>
      <c r="O29" s="40" t="s">
        <v>31</v>
      </c>
      <c r="P29" s="115">
        <v>-1757.37</v>
      </c>
      <c r="Q29" s="40"/>
      <c r="R29" s="115">
        <f>211.25+181.67+235.23+320.73+127.74+871.1+134.54+125</f>
        <v>2207.2599999999998</v>
      </c>
      <c r="S29" s="40" t="s">
        <v>31</v>
      </c>
      <c r="T29" s="115">
        <f>5251.69-591.9+4817.97+6393.84+669.71+658.3+9728.51-1757.37</f>
        <v>25170.750000000004</v>
      </c>
      <c r="U29" s="120"/>
      <c r="V29" s="115">
        <f>288.34+195.28+403+282.49+162.91+676.12+49.59+157</f>
        <v>2214.7300000000005</v>
      </c>
      <c r="W29" s="40" t="s">
        <v>31</v>
      </c>
      <c r="X29" s="115">
        <f>1275.62-693.03-1029-3058.98+5778.42+2497.12+853.58+2371.98</f>
        <v>7995.7099999999991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7785826</v>
      </c>
      <c r="H31" s="29"/>
      <c r="I31" s="152">
        <v>7793976</v>
      </c>
      <c r="J31" s="40"/>
      <c r="K31" s="40"/>
      <c r="L31" s="152">
        <v>7593972</v>
      </c>
      <c r="M31" s="129"/>
      <c r="N31" s="38">
        <v>8149.26</v>
      </c>
      <c r="O31" s="40"/>
      <c r="P31" s="45"/>
      <c r="Q31" s="40"/>
      <c r="R31" s="38">
        <f>12254.87+11338+11955.58+9513.98+7904.58+94719.42+8969.18+8149.26</f>
        <v>164804.87</v>
      </c>
      <c r="S31" s="40"/>
      <c r="T31" s="45"/>
      <c r="U31" s="93"/>
      <c r="V31" s="38">
        <f>5840.27+9052.74+8627+5625.42+5524.48+81386.12+6884.63+6959.49</f>
        <v>129900.15000000001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2302807</v>
      </c>
      <c r="H32" s="29"/>
      <c r="I32" s="45">
        <v>1991621</v>
      </c>
      <c r="J32" s="40"/>
      <c r="K32" s="40"/>
      <c r="L32" s="45">
        <v>872043</v>
      </c>
      <c r="M32" s="129"/>
      <c r="N32" s="38"/>
      <c r="O32" s="40"/>
      <c r="P32" s="45">
        <v>-310528.45</v>
      </c>
      <c r="Q32" s="40"/>
      <c r="R32" s="38"/>
      <c r="S32" s="40"/>
      <c r="T32" s="45">
        <f>190411.34+42151.07+153701.85+156770.59+97077.67+17948.36+436954.69-310528.45</f>
        <v>784487.12000000011</v>
      </c>
      <c r="U32" s="119"/>
      <c r="V32" s="38"/>
      <c r="W32" s="40"/>
      <c r="X32" s="45">
        <f>261094.23+27337.93+48813-152724.76-4377.86-13713.12+178987+152897.58</f>
        <v>498314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-1099.74</v>
      </c>
      <c r="Q33" s="181"/>
      <c r="R33" s="180"/>
      <c r="S33" s="181"/>
      <c r="T33" s="194">
        <f>-8274.97-683.39+330.76-8056.18-789.61+264.5-8379.94-1099.74</f>
        <v>-26688.570000000003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9643914</v>
      </c>
      <c r="H35" s="29"/>
      <c r="I35" s="116">
        <f>SUM(I29:I34)</f>
        <v>9341003</v>
      </c>
      <c r="J35" s="40"/>
      <c r="K35" s="40"/>
      <c r="L35" s="116">
        <f>SUM(L29:L34)</f>
        <v>8018194</v>
      </c>
      <c r="M35" s="129"/>
      <c r="N35" s="116">
        <f>SUM(N29:N34)</f>
        <v>8274.26</v>
      </c>
      <c r="O35" s="40"/>
      <c r="P35" s="116">
        <f>SUM(P29:P34)</f>
        <v>-313385.56</v>
      </c>
      <c r="Q35" s="40"/>
      <c r="R35" s="116">
        <f>SUM(R29:R34)</f>
        <v>167012.13</v>
      </c>
      <c r="S35" s="40"/>
      <c r="T35" s="116">
        <f>SUM(T29:T34)</f>
        <v>782969.30000000016</v>
      </c>
      <c r="U35" s="120"/>
      <c r="V35" s="116">
        <f>SUM(V29:V34)</f>
        <v>152114.88</v>
      </c>
      <c r="W35" s="40"/>
      <c r="X35" s="116">
        <f>SUM(X29:X34)</f>
        <v>506309.71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14852740.65</v>
      </c>
      <c r="H37" s="29"/>
      <c r="I37" s="107">
        <f>+I35+I25+I19+I11</f>
        <v>16168101.65</v>
      </c>
      <c r="J37" s="92"/>
      <c r="K37" s="92"/>
      <c r="L37" s="107">
        <f>+L35+L25+L19+L11</f>
        <v>14216785.65</v>
      </c>
      <c r="M37" s="129"/>
      <c r="N37" s="107">
        <f>+N35+N25+N19+N11</f>
        <v>8523.35</v>
      </c>
      <c r="O37" s="92"/>
      <c r="P37" s="107">
        <f>+P35+P25+P19+P11</f>
        <v>-313385.56</v>
      </c>
      <c r="Q37" s="92"/>
      <c r="R37" s="107">
        <f>+R35+R25+R19+R11</f>
        <v>168063.49</v>
      </c>
      <c r="S37" s="92"/>
      <c r="T37" s="107">
        <f>+T35+T25+T19+T11</f>
        <v>782969.30000000016</v>
      </c>
      <c r="U37" s="120"/>
      <c r="V37" s="107">
        <f>+V35+V25+V19+V11</f>
        <v>152770.57</v>
      </c>
      <c r="W37" s="92"/>
      <c r="X37" s="107">
        <f>+X35+X25+X19+X11</f>
        <v>506309.71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5410898</v>
      </c>
      <c r="H39" s="29"/>
      <c r="I39" s="175">
        <v>5247328.84</v>
      </c>
      <c r="J39" s="92"/>
      <c r="K39" s="92"/>
      <c r="L39" s="175">
        <v>4687482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2018
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T50"/>
  <sheetViews>
    <sheetView topLeftCell="A2" workbookViewId="0">
      <pane xSplit="2" ySplit="7" topLeftCell="D10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37864</v>
      </c>
      <c r="I7" s="4"/>
      <c r="J7" s="18">
        <v>37836</v>
      </c>
      <c r="K7" s="4"/>
      <c r="L7" s="18">
        <v>37500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4.33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790</v>
      </c>
      <c r="Q11" s="13"/>
      <c r="R11" s="12">
        <v>898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4.33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5.99</v>
      </c>
      <c r="G14" s="11"/>
      <c r="H14" s="12">
        <v>128482</v>
      </c>
      <c r="I14" s="13"/>
      <c r="J14" s="12">
        <v>127982</v>
      </c>
      <c r="K14" s="13"/>
      <c r="L14" s="12">
        <v>129138</v>
      </c>
      <c r="M14" s="13"/>
      <c r="N14" s="12">
        <v>500</v>
      </c>
      <c r="O14" s="13"/>
      <c r="P14" s="12">
        <v>1000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4.88</v>
      </c>
      <c r="G15" s="11"/>
      <c r="H15" s="15">
        <v>74321</v>
      </c>
      <c r="I15" s="13"/>
      <c r="J15" s="15">
        <v>74121</v>
      </c>
      <c r="K15" s="13"/>
      <c r="L15" s="15">
        <v>70854</v>
      </c>
      <c r="M15" s="13"/>
      <c r="N15" s="15">
        <v>200</v>
      </c>
      <c r="O15" s="13"/>
      <c r="P15" s="15">
        <v>400</v>
      </c>
      <c r="Q15" s="13"/>
      <c r="R15" s="15">
        <v>400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765880</v>
      </c>
      <c r="I17" s="13"/>
      <c r="J17" s="16">
        <f>SUM(J11:J15)</f>
        <v>765180</v>
      </c>
      <c r="K17" s="13"/>
      <c r="L17" s="16">
        <f>SUM(L11:L15)</f>
        <v>763069</v>
      </c>
      <c r="M17" s="13"/>
      <c r="N17" s="16">
        <f>SUM(N11:N15)</f>
        <v>1068</v>
      </c>
      <c r="O17" s="13"/>
      <c r="P17" s="16">
        <f>SUM(P11:P15)</f>
        <v>2190</v>
      </c>
      <c r="Q17" s="13"/>
      <c r="R17" s="16">
        <f>SUM(R11:R15)</f>
        <v>2098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4.62</v>
      </c>
      <c r="G24" s="7"/>
      <c r="H24" s="15">
        <v>423792</v>
      </c>
      <c r="I24" s="13"/>
      <c r="J24" s="15">
        <v>421956</v>
      </c>
      <c r="K24" s="15">
        <v>425705</v>
      </c>
      <c r="L24" s="15">
        <v>450067</v>
      </c>
      <c r="M24" s="13"/>
      <c r="N24" s="15">
        <v>1836</v>
      </c>
      <c r="O24" s="13"/>
      <c r="P24" s="15">
        <v>3489</v>
      </c>
      <c r="Q24" s="13"/>
      <c r="R24" s="15">
        <v>3647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423792</v>
      </c>
      <c r="I26" s="13"/>
      <c r="J26" s="16">
        <f>SUM(J23:J24)</f>
        <v>421956</v>
      </c>
      <c r="K26" s="13"/>
      <c r="L26" s="16">
        <f>SUM(L23:L24)</f>
        <v>450067</v>
      </c>
      <c r="M26" s="13"/>
      <c r="N26" s="16">
        <f>SUM(N23:N24)</f>
        <v>1836</v>
      </c>
      <c r="O26" s="13"/>
      <c r="P26" s="16">
        <f>SUM(P23:P24)</f>
        <v>3489</v>
      </c>
      <c r="Q26" s="13"/>
      <c r="R26" s="16">
        <f>SUM(R23:R24)</f>
        <v>3647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1334754</v>
      </c>
      <c r="I32" s="13"/>
      <c r="J32" s="12">
        <v>1329080</v>
      </c>
      <c r="K32" s="13"/>
      <c r="L32" s="12">
        <v>1328306</v>
      </c>
      <c r="M32" s="13"/>
      <c r="N32" s="12">
        <v>5674</v>
      </c>
      <c r="O32" s="13" t="s">
        <v>31</v>
      </c>
      <c r="P32" s="12">
        <v>11325</v>
      </c>
      <c r="Q32" s="13"/>
      <c r="R32" s="12">
        <v>10770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5112</v>
      </c>
      <c r="I34" s="13"/>
      <c r="J34" s="12">
        <v>5092</v>
      </c>
      <c r="K34" s="13"/>
      <c r="L34" s="12">
        <v>4875</v>
      </c>
      <c r="M34" s="13"/>
      <c r="N34" s="12">
        <v>20</v>
      </c>
      <c r="O34" s="13"/>
      <c r="P34" s="12">
        <v>40</v>
      </c>
      <c r="Q34" s="13"/>
      <c r="R34" s="12">
        <v>34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4.33</v>
      </c>
      <c r="G35" s="7"/>
      <c r="H35" s="15">
        <v>6615642</v>
      </c>
      <c r="I35" s="13"/>
      <c r="J35" s="15">
        <v>7089279</v>
      </c>
      <c r="K35" s="13"/>
      <c r="L35" s="15">
        <v>8697306</v>
      </c>
      <c r="M35" s="13"/>
      <c r="N35" s="15">
        <v>25995</v>
      </c>
      <c r="O35" s="13"/>
      <c r="P35" s="15">
        <v>58085</v>
      </c>
      <c r="Q35" s="13"/>
      <c r="R35" s="15">
        <v>60012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7964067</v>
      </c>
      <c r="I37" s="13"/>
      <c r="J37" s="16">
        <f>SUM(J32:J35)</f>
        <v>8432010</v>
      </c>
      <c r="K37" s="13"/>
      <c r="L37" s="16">
        <f>SUM(L32:L35)</f>
        <v>10039111</v>
      </c>
      <c r="M37" s="13"/>
      <c r="N37" s="16">
        <f>SUM(N32:N35)</f>
        <v>31689</v>
      </c>
      <c r="O37" s="13"/>
      <c r="P37" s="16">
        <f>SUM(P32:P35)</f>
        <v>69450</v>
      </c>
      <c r="Q37" s="13"/>
      <c r="R37" s="16">
        <f>SUM(R32:R35)</f>
        <v>70816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tabColor rgb="FFFFFF00"/>
    <pageSetUpPr fitToPage="1"/>
  </sheetPr>
  <dimension ref="A1:AD73"/>
  <sheetViews>
    <sheetView showGridLines="0" topLeftCell="A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398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41728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429</v>
      </c>
      <c r="H6" s="102"/>
      <c r="I6" s="80" t="s">
        <v>430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3665816</v>
      </c>
      <c r="H9" s="102"/>
      <c r="I9" s="103">
        <v>3089765</v>
      </c>
      <c r="J9" s="92"/>
      <c r="K9" s="92"/>
      <c r="L9" s="103">
        <v>1908547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1.2328065875607763E-4</v>
      </c>
      <c r="F10" s="111"/>
      <c r="G10" s="111">
        <v>2392851</v>
      </c>
      <c r="H10" s="102"/>
      <c r="I10" s="111">
        <v>2393139</v>
      </c>
      <c r="J10" s="92"/>
      <c r="K10" s="92"/>
      <c r="L10" s="111">
        <v>2891516</v>
      </c>
      <c r="M10" s="92"/>
      <c r="N10" s="56">
        <v>295.01</v>
      </c>
      <c r="O10" s="92"/>
      <c r="P10" s="72"/>
      <c r="Q10" s="42"/>
      <c r="R10" s="56">
        <f>122.81+92.66+75.16+82.95+124.34+114.9+189.45+249.09+295.01</f>
        <v>1346.37</v>
      </c>
      <c r="S10" s="92"/>
      <c r="T10" s="72"/>
      <c r="U10" s="86"/>
      <c r="V10" s="56">
        <f>72+44+101.68+139.9+90+78+54.83+75.28+122.79</f>
        <v>778.48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6058667</v>
      </c>
      <c r="H11" s="102"/>
      <c r="I11" s="103">
        <f>SUM(I9:I10)</f>
        <v>5482904</v>
      </c>
      <c r="J11" s="92"/>
      <c r="K11" s="92"/>
      <c r="L11" s="103">
        <f>SUM(L9:L10)</f>
        <v>4800063</v>
      </c>
      <c r="M11" s="92"/>
      <c r="N11" s="120">
        <f>SUM(N9:N10)</f>
        <v>295.01</v>
      </c>
      <c r="O11" s="92"/>
      <c r="P11" s="120">
        <f>SUM(P9:P10)</f>
        <v>0</v>
      </c>
      <c r="Q11" s="85"/>
      <c r="R11" s="120">
        <f>SUM(R9:R10)</f>
        <v>1346.37</v>
      </c>
      <c r="S11" s="92"/>
      <c r="T11" s="120">
        <f>SUM(T9:T10)</f>
        <v>0</v>
      </c>
      <c r="U11" s="120"/>
      <c r="V11" s="120">
        <f>SUM(V9:V10)</f>
        <v>778.48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118483</v>
      </c>
      <c r="H29" s="29"/>
      <c r="I29" s="115">
        <v>118764</v>
      </c>
      <c r="J29" s="40"/>
      <c r="K29" s="40"/>
      <c r="L29" s="115">
        <v>115516</v>
      </c>
      <c r="M29" s="129"/>
      <c r="N29" s="115">
        <v>281.83999999999997</v>
      </c>
      <c r="O29" s="40" t="s">
        <v>31</v>
      </c>
      <c r="P29" s="115">
        <v>-3008.82</v>
      </c>
      <c r="Q29" s="40"/>
      <c r="R29" s="115">
        <f>211.25+181.67+235.23+320.73+127.74+871.1+134.54+125+281.84</f>
        <v>2489.1</v>
      </c>
      <c r="S29" s="40" t="s">
        <v>31</v>
      </c>
      <c r="T29" s="115">
        <f>5251.69-591.9+4817.97+6393.84+669.71+658.3+9728.51-1757.37-3008.82</f>
        <v>22161.930000000004</v>
      </c>
      <c r="U29" s="120"/>
      <c r="V29" s="115">
        <f>288.34+195.28+403+282.49+162.91+676.12+49.59+157+260.42</f>
        <v>2475.1500000000005</v>
      </c>
      <c r="W29" s="40" t="s">
        <v>31</v>
      </c>
      <c r="X29" s="115">
        <f>1275.62-693.03-1029-3058.98+5778.42+2497.12+853.58+2371.98+582.33</f>
        <v>8578.0399999999991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7793976</v>
      </c>
      <c r="H31" s="29"/>
      <c r="I31" s="152">
        <v>7805695</v>
      </c>
      <c r="J31" s="40"/>
      <c r="K31" s="40"/>
      <c r="L31" s="152">
        <v>7604430</v>
      </c>
      <c r="M31" s="129"/>
      <c r="N31" s="38">
        <v>11719.79</v>
      </c>
      <c r="O31" s="40"/>
      <c r="P31" s="45"/>
      <c r="Q31" s="40"/>
      <c r="R31" s="38">
        <f>12254.87+11338+11955.58+9513.98+7904.58+94719.42+8969.18+8149.26+11719.79</f>
        <v>176524.66</v>
      </c>
      <c r="S31" s="40"/>
      <c r="T31" s="45"/>
      <c r="U31" s="93"/>
      <c r="V31" s="38">
        <f>5840.27+9052.74+8627+5625.42+5524.48+81386.12+6884.63+6959.49+10457.73</f>
        <v>140357.88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1991621</v>
      </c>
      <c r="H32" s="29"/>
      <c r="I32" s="45">
        <v>1870784</v>
      </c>
      <c r="J32" s="40"/>
      <c r="K32" s="40"/>
      <c r="L32" s="45">
        <v>986826</v>
      </c>
      <c r="M32" s="129"/>
      <c r="N32" s="38"/>
      <c r="O32" s="40"/>
      <c r="P32" s="45">
        <v>-117502.89</v>
      </c>
      <c r="Q32" s="40"/>
      <c r="R32" s="38"/>
      <c r="S32" s="40"/>
      <c r="T32" s="45">
        <f>190411.34+42151.07+153701.85+156770.59+97077.67+17948.36+436954.69-310528.45-117502.72</f>
        <v>666984.40000000014</v>
      </c>
      <c r="U32" s="119"/>
      <c r="V32" s="38"/>
      <c r="W32" s="40"/>
      <c r="X32" s="45">
        <f>261094.23+27337.93+48813-152724.76-4377.86-13713.12+178987+152897.58+114200.71</f>
        <v>612514.71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-325.02</v>
      </c>
      <c r="Q33" s="181"/>
      <c r="R33" s="180"/>
      <c r="S33" s="181"/>
      <c r="T33" s="194">
        <f>-8274.97-683.39+330.76-8056.18-789.61+264.5-8379.94-1099.74-325.02</f>
        <v>-27013.590000000004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9341003</v>
      </c>
      <c r="H35" s="29"/>
      <c r="I35" s="116">
        <f>SUM(I29:I34)</f>
        <v>9232166</v>
      </c>
      <c r="J35" s="40"/>
      <c r="K35" s="40"/>
      <c r="L35" s="116">
        <f>SUM(L29:L34)</f>
        <v>8143695</v>
      </c>
      <c r="M35" s="129"/>
      <c r="N35" s="116">
        <f>SUM(N29:N34)</f>
        <v>12001.630000000001</v>
      </c>
      <c r="O35" s="40"/>
      <c r="P35" s="116">
        <f>SUM(P29:P34)</f>
        <v>-120836.73000000001</v>
      </c>
      <c r="Q35" s="40"/>
      <c r="R35" s="116">
        <f>SUM(R29:R34)</f>
        <v>179013.76000000001</v>
      </c>
      <c r="S35" s="40"/>
      <c r="T35" s="116">
        <f>SUM(T29:T34)</f>
        <v>662132.74000000022</v>
      </c>
      <c r="U35" s="120"/>
      <c r="V35" s="116">
        <f>SUM(V29:V34)</f>
        <v>162833.03</v>
      </c>
      <c r="W35" s="40"/>
      <c r="X35" s="116">
        <f>SUM(X29:X34)</f>
        <v>621092.75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16168101.65</v>
      </c>
      <c r="H37" s="29"/>
      <c r="I37" s="107">
        <f>+I35+I25+I19+I11</f>
        <v>15483501.65</v>
      </c>
      <c r="J37" s="92"/>
      <c r="K37" s="92"/>
      <c r="L37" s="107">
        <f>+L35+L25+L19+L11</f>
        <v>13712189.65</v>
      </c>
      <c r="M37" s="129"/>
      <c r="N37" s="107">
        <f>+N35+N25+N19+N11</f>
        <v>12296.640000000001</v>
      </c>
      <c r="O37" s="92"/>
      <c r="P37" s="107">
        <f>+P35+P25+P19+P11</f>
        <v>-120836.73000000001</v>
      </c>
      <c r="Q37" s="92"/>
      <c r="R37" s="107">
        <f>+R35+R25+R19+R11</f>
        <v>180360.13</v>
      </c>
      <c r="S37" s="92"/>
      <c r="T37" s="107">
        <f>+T35+T25+T19+T11</f>
        <v>662132.74000000022</v>
      </c>
      <c r="U37" s="120"/>
      <c r="V37" s="107">
        <f>+V35+V25+V19+V11</f>
        <v>163611.51</v>
      </c>
      <c r="W37" s="92"/>
      <c r="X37" s="107">
        <f>+X35+X25+X19+X11</f>
        <v>621092.75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5247328.84</v>
      </c>
      <c r="H39" s="29"/>
      <c r="I39" s="175">
        <v>5227650</v>
      </c>
      <c r="J39" s="92"/>
      <c r="K39" s="92"/>
      <c r="L39" s="175">
        <v>4767594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2018
</oddFooter>
  </headerFooter>
  <legacy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398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41758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431</v>
      </c>
      <c r="H6" s="102"/>
      <c r="I6" s="80" t="s">
        <v>432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3089765</v>
      </c>
      <c r="H9" s="102"/>
      <c r="I9" s="103">
        <v>2942707</v>
      </c>
      <c r="J9" s="92"/>
      <c r="K9" s="92"/>
      <c r="L9" s="103">
        <v>1731939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1.5204835965140437E-4</v>
      </c>
      <c r="F10" s="111"/>
      <c r="G10" s="111">
        <v>2393139</v>
      </c>
      <c r="H10" s="102"/>
      <c r="I10" s="111">
        <v>2393496</v>
      </c>
      <c r="J10" s="92"/>
      <c r="K10" s="92"/>
      <c r="L10" s="111">
        <v>2891620</v>
      </c>
      <c r="M10" s="92"/>
      <c r="N10" s="56">
        <v>363.9</v>
      </c>
      <c r="O10" s="92"/>
      <c r="P10" s="72"/>
      <c r="Q10" s="42"/>
      <c r="R10" s="56">
        <f>122.81+92.66+75.16+82.95+124.34+114.9+189.45+249.09+295.01+363.9</f>
        <v>1710.27</v>
      </c>
      <c r="S10" s="92"/>
      <c r="T10" s="72"/>
      <c r="U10" s="86"/>
      <c r="V10" s="56">
        <f>72+44+101.68+139.9+90+78+54.83+75.28+122.79+110.91</f>
        <v>889.39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5482904</v>
      </c>
      <c r="H11" s="102"/>
      <c r="I11" s="103">
        <f>SUM(I9:I10)</f>
        <v>5336203</v>
      </c>
      <c r="J11" s="92"/>
      <c r="K11" s="92"/>
      <c r="L11" s="103">
        <f>SUM(L9:L10)</f>
        <v>4623559</v>
      </c>
      <c r="M11" s="92"/>
      <c r="N11" s="120">
        <f>SUM(N9:N10)</f>
        <v>363.9</v>
      </c>
      <c r="O11" s="92"/>
      <c r="P11" s="120">
        <f>SUM(P9:P10)</f>
        <v>0</v>
      </c>
      <c r="Q11" s="85"/>
      <c r="R11" s="120">
        <f>SUM(R9:R10)</f>
        <v>1710.27</v>
      </c>
      <c r="S11" s="92"/>
      <c r="T11" s="120">
        <f>SUM(T9:T10)</f>
        <v>0</v>
      </c>
      <c r="U11" s="120"/>
      <c r="V11" s="120">
        <f>SUM(V9:V10)</f>
        <v>889.39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118764</v>
      </c>
      <c r="H29" s="29"/>
      <c r="I29" s="115">
        <v>119211</v>
      </c>
      <c r="J29" s="40"/>
      <c r="K29" s="40"/>
      <c r="L29" s="115">
        <v>115684</v>
      </c>
      <c r="M29" s="129"/>
      <c r="N29" s="115">
        <v>446.83</v>
      </c>
      <c r="O29" s="40" t="s">
        <v>31</v>
      </c>
      <c r="P29" s="115">
        <v>-68.680000000000007</v>
      </c>
      <c r="Q29" s="40"/>
      <c r="R29" s="115">
        <f>211.25+181.67+235.23+320.73+127.74+871.1+134.54+125+281.84+446.83</f>
        <v>2935.93</v>
      </c>
      <c r="S29" s="40" t="s">
        <v>31</v>
      </c>
      <c r="T29" s="115">
        <f>5251.69-591.9+4817.97+6393.84+669.71+658.3+9728.51-1757.37-3008.82-68.68</f>
        <v>22093.250000000004</v>
      </c>
      <c r="U29" s="120"/>
      <c r="V29" s="115">
        <f>288.34+195.28+403+282.49+162.91+676.12+49.59+157+260.42+167.81</f>
        <v>2642.9600000000005</v>
      </c>
      <c r="W29" s="40" t="s">
        <v>31</v>
      </c>
      <c r="X29" s="115">
        <f>1275.62-693.03-1029-3058.98+5778.42+2497.12+853.58+2371.98+582.33-1056.55</f>
        <v>7521.4899999999989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1</v>
      </c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7805695</v>
      </c>
      <c r="H31" s="29"/>
      <c r="I31" s="152">
        <v>7823359</v>
      </c>
      <c r="J31" s="40"/>
      <c r="K31" s="40"/>
      <c r="L31" s="152">
        <v>7612991</v>
      </c>
      <c r="M31" s="129"/>
      <c r="N31" s="38">
        <v>17663.28</v>
      </c>
      <c r="O31" s="40"/>
      <c r="P31" s="45"/>
      <c r="Q31" s="40"/>
      <c r="R31" s="38">
        <f>12254.87+11338+11955.58+9513.98+7904.58+94719.42+8969.18+8149.26+11719.79+17663.28</f>
        <v>194187.94</v>
      </c>
      <c r="S31" s="40"/>
      <c r="T31" s="45"/>
      <c r="U31" s="93"/>
      <c r="V31" s="38">
        <f>5840.27+9052.74+8627+5625.42+5524.48+81386.12+6884.63+6959.49+10457.73+8560.95</f>
        <v>148918.83000000002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1870784</v>
      </c>
      <c r="H32" s="29"/>
      <c r="I32" s="45">
        <v>1837709</v>
      </c>
      <c r="J32" s="40"/>
      <c r="K32" s="40"/>
      <c r="L32" s="45">
        <v>1095585</v>
      </c>
      <c r="M32" s="129"/>
      <c r="N32" s="38"/>
      <c r="O32" s="40"/>
      <c r="P32" s="45">
        <v>-24097.85</v>
      </c>
      <c r="Q32" s="40"/>
      <c r="R32" s="38"/>
      <c r="S32" s="40"/>
      <c r="T32" s="45">
        <f>190411.34+42151.07+153701.85+156770.59+97077.67+17948.36+436954.69-310528.45-117502.72-24097.85</f>
        <v>642886.55000000016</v>
      </c>
      <c r="U32" s="119"/>
      <c r="V32" s="38"/>
      <c r="W32" s="40"/>
      <c r="X32" s="45">
        <f>261094.23+27337.93+48813-152724.76-4377.86-13713.12+178987+152897.58+114200.71+109815.7</f>
        <v>722330.40999999992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-8909.1299999999992</v>
      </c>
      <c r="Q33" s="181"/>
      <c r="R33" s="180"/>
      <c r="S33" s="181"/>
      <c r="T33" s="194">
        <f>-8274.97-683.39+330.76-8056.18-789.61+264.5-8379.94-1099.74+325.02-8909.13</f>
        <v>-35272.68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9232166</v>
      </c>
      <c r="H35" s="29"/>
      <c r="I35" s="116">
        <f>SUM(I29:I34)</f>
        <v>9217202</v>
      </c>
      <c r="J35" s="40"/>
      <c r="K35" s="40"/>
      <c r="L35" s="116">
        <f>SUM(L29:L34)</f>
        <v>8261184</v>
      </c>
      <c r="M35" s="129"/>
      <c r="N35" s="116">
        <f>SUM(N29:N34)</f>
        <v>18110.11</v>
      </c>
      <c r="O35" s="40"/>
      <c r="P35" s="116">
        <f>SUM(P29:P34)</f>
        <v>-33075.659999999996</v>
      </c>
      <c r="Q35" s="40"/>
      <c r="R35" s="116">
        <f>SUM(R29:R34)</f>
        <v>197123.87</v>
      </c>
      <c r="S35" s="40"/>
      <c r="T35" s="116">
        <f>SUM(T29:T34)</f>
        <v>629707.12000000011</v>
      </c>
      <c r="U35" s="120"/>
      <c r="V35" s="116">
        <f>SUM(V29:V34)</f>
        <v>171561.79</v>
      </c>
      <c r="W35" s="40"/>
      <c r="X35" s="116">
        <f>SUM(X29:X34)</f>
        <v>729851.89999999991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15483501.65</v>
      </c>
      <c r="H37" s="29"/>
      <c r="I37" s="107">
        <f>+I35+I25+I19+I11</f>
        <v>15321836.65</v>
      </c>
      <c r="J37" s="92"/>
      <c r="K37" s="92"/>
      <c r="L37" s="107">
        <f>+L35+L25+L19+L11</f>
        <v>13653174.65</v>
      </c>
      <c r="M37" s="129"/>
      <c r="N37" s="107">
        <f>+N35+N25+N19+N11</f>
        <v>18474.010000000002</v>
      </c>
      <c r="O37" s="92"/>
      <c r="P37" s="107">
        <f>+P35+P25+P19+P11</f>
        <v>-33075.659999999996</v>
      </c>
      <c r="Q37" s="92"/>
      <c r="R37" s="107">
        <f>+R35+R25+R19+R11</f>
        <v>198834.13999999998</v>
      </c>
      <c r="S37" s="92"/>
      <c r="T37" s="107">
        <f>+T35+T25+T19+T11</f>
        <v>629707.12000000011</v>
      </c>
      <c r="U37" s="120"/>
      <c r="V37" s="107">
        <f>+V35+V25+V19+V11</f>
        <v>172451.18000000002</v>
      </c>
      <c r="W37" s="92"/>
      <c r="X37" s="107">
        <f>+X35+X25+X19+X11</f>
        <v>729851.89999999991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5227650</v>
      </c>
      <c r="H39" s="29"/>
      <c r="I39" s="175">
        <v>5242109</v>
      </c>
      <c r="J39" s="92"/>
      <c r="K39" s="92"/>
      <c r="L39" s="175">
        <v>4865344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2018
</oddFooter>
  </headerFooter>
  <legacy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tabColor rgb="FF92D050"/>
    <pageSetUpPr fitToPage="1"/>
  </sheetPr>
  <dimension ref="A1:AD73"/>
  <sheetViews>
    <sheetView showGridLines="0" zoomScale="80" zoomScaleNormal="8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398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41788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433</v>
      </c>
      <c r="H6" s="102"/>
      <c r="I6" s="80" t="s">
        <v>434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2942707</v>
      </c>
      <c r="H9" s="102"/>
      <c r="I9" s="103">
        <v>2162177</v>
      </c>
      <c r="J9" s="92"/>
      <c r="K9" s="92"/>
      <c r="L9" s="103">
        <v>945825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1.6985034228455542E-4</v>
      </c>
      <c r="F10" s="111"/>
      <c r="G10" s="111">
        <v>2393496</v>
      </c>
      <c r="H10" s="102"/>
      <c r="I10" s="111">
        <v>2393895</v>
      </c>
      <c r="J10" s="92"/>
      <c r="K10" s="92"/>
      <c r="L10" s="111">
        <v>2891744</v>
      </c>
      <c r="M10" s="92"/>
      <c r="N10" s="56">
        <v>406.57</v>
      </c>
      <c r="O10" s="92"/>
      <c r="P10" s="72"/>
      <c r="Q10" s="42"/>
      <c r="R10" s="56">
        <f>122.81+92.66+75.16+82.95+124.34+114.9+189.45+249.09+295.01+363.9+406.57</f>
        <v>2116.84</v>
      </c>
      <c r="S10" s="92"/>
      <c r="T10" s="72"/>
      <c r="U10" s="86"/>
      <c r="V10" s="56">
        <f>72+44+101.68+139.9+90+78+54.83+75.28+122.79+110.91+130.72</f>
        <v>1020.11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5336203</v>
      </c>
      <c r="H11" s="102"/>
      <c r="I11" s="103">
        <f>SUM(I9:I10)</f>
        <v>4556072</v>
      </c>
      <c r="J11" s="92"/>
      <c r="K11" s="92"/>
      <c r="L11" s="103">
        <f>SUM(L9:L10)</f>
        <v>3837569</v>
      </c>
      <c r="M11" s="92"/>
      <c r="N11" s="120">
        <f>SUM(N9:N10)</f>
        <v>406.57</v>
      </c>
      <c r="O11" s="92"/>
      <c r="P11" s="120">
        <f>SUM(P9:P10)</f>
        <v>0</v>
      </c>
      <c r="Q11" s="85"/>
      <c r="R11" s="120">
        <f>SUM(R9:R10)</f>
        <v>2116.84</v>
      </c>
      <c r="S11" s="92"/>
      <c r="T11" s="120">
        <f>SUM(T9:T10)</f>
        <v>0</v>
      </c>
      <c r="U11" s="120"/>
      <c r="V11" s="120">
        <f>SUM(V9:V10)</f>
        <v>1020.11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119211</v>
      </c>
      <c r="H29" s="29"/>
      <c r="I29" s="115">
        <v>444211</v>
      </c>
      <c r="J29" s="40"/>
      <c r="K29" s="40"/>
      <c r="L29" s="115">
        <v>115953</v>
      </c>
      <c r="M29" s="129"/>
      <c r="N29" s="115">
        <v>418.5</v>
      </c>
      <c r="O29" s="40" t="s">
        <v>31</v>
      </c>
      <c r="P29" s="115">
        <v>4009.59</v>
      </c>
      <c r="Q29" s="40"/>
      <c r="R29" s="115">
        <f>211.25+181.67+235.23+320.73+127.74+871.1+134.54+125+281.84+446.83+418.5</f>
        <v>3354.43</v>
      </c>
      <c r="S29" s="40" t="s">
        <v>31</v>
      </c>
      <c r="T29" s="115">
        <f>5251.69-591.9+4817.97+6393.84+669.71+658.3+9728.51-1757.37-3008.82-68.68+4009.59</f>
        <v>26102.840000000004</v>
      </c>
      <c r="U29" s="120"/>
      <c r="V29" s="115">
        <f>288.34+195.28+403+282.49+162.91+676.12+49.59+157+260.42+167.81+268.76</f>
        <v>2911.7200000000003</v>
      </c>
      <c r="W29" s="40" t="s">
        <v>31</v>
      </c>
      <c r="X29" s="115">
        <f>1275.62-693.03-1029-3058.98+5778.42+2497.12+853.58+2371.98+582.33-1056.55+1046.01</f>
        <v>8567.4999999999982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7823359</v>
      </c>
      <c r="H31" s="29"/>
      <c r="I31" s="152">
        <v>7853359</v>
      </c>
      <c r="J31" s="40"/>
      <c r="K31" s="40"/>
      <c r="L31" s="152">
        <v>7620169</v>
      </c>
      <c r="M31" s="129"/>
      <c r="N31" s="38">
        <v>10000.65</v>
      </c>
      <c r="O31" s="40"/>
      <c r="P31" s="45"/>
      <c r="Q31" s="40"/>
      <c r="R31" s="38">
        <f>12254.87+11338+11955.58+9513.98+7904.58+94719.42+8969.18+8149.26+11719.79+17663.28+10000.65</f>
        <v>204188.59</v>
      </c>
      <c r="S31" s="40"/>
      <c r="T31" s="45"/>
      <c r="U31" s="93"/>
      <c r="V31" s="38">
        <f>5840.27+9052.74+8627+5625.42+5524.48+81386.12+6884.63+6959.49+10457.73+8560.95+7178</f>
        <v>156096.83000000002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1837709</v>
      </c>
      <c r="J32" s="40"/>
      <c r="K32" s="40"/>
      <c r="L32" s="45">
        <v>1197023</v>
      </c>
      <c r="M32" s="129"/>
      <c r="N32" s="38"/>
      <c r="O32" s="40"/>
      <c r="P32" s="45">
        <v>-30521.630000000034</v>
      </c>
      <c r="Q32" s="40"/>
      <c r="R32" s="38"/>
      <c r="S32" s="40"/>
      <c r="T32" s="45">
        <f>190411.34+42151.07+153701.85+156770.59+97077.67+17948.36+436954.69-310528.45-117502.72-24097.85-30521.63</f>
        <v>612364.92000000016</v>
      </c>
      <c r="U32" s="119"/>
      <c r="V32" s="38"/>
      <c r="W32" s="40"/>
      <c r="X32" s="45">
        <f>261094.23+27337.93+48813-152724.76-4377.86-13713.12+178987+152897.58+114200.71+109815.7+100391.51</f>
        <v>822721.91999999993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277.44</v>
      </c>
      <c r="Q33" s="181"/>
      <c r="R33" s="180"/>
      <c r="S33" s="181"/>
      <c r="T33" s="194">
        <f>-8274.97-683.39+330.76-8056.18-789.61+264.5-8379.94-1099.74+325.02-8909.13+277.44</f>
        <v>-34995.24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9217202</v>
      </c>
      <c r="H35" s="29"/>
      <c r="I35" s="116">
        <f>SUM(I29:I34)</f>
        <v>9572202</v>
      </c>
      <c r="J35" s="40"/>
      <c r="K35" s="40"/>
      <c r="L35" s="116">
        <f>SUM(L29:L34)</f>
        <v>8370068</v>
      </c>
      <c r="M35" s="129"/>
      <c r="N35" s="116">
        <f>SUM(N29:N34)</f>
        <v>10419.15</v>
      </c>
      <c r="O35" s="40"/>
      <c r="P35" s="116">
        <f>SUM(P29:P34)</f>
        <v>-26234.600000000035</v>
      </c>
      <c r="Q35" s="40"/>
      <c r="R35" s="116">
        <f>SUM(R29:R34)</f>
        <v>207543.02</v>
      </c>
      <c r="S35" s="40"/>
      <c r="T35" s="116">
        <f>SUM(T29:T34)</f>
        <v>603472.52000000014</v>
      </c>
      <c r="U35" s="120"/>
      <c r="V35" s="116">
        <f>SUM(V29:V34)</f>
        <v>179008.55000000002</v>
      </c>
      <c r="W35" s="40"/>
      <c r="X35" s="116">
        <f>SUM(X29:X34)</f>
        <v>831289.41999999993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15321836.65</v>
      </c>
      <c r="H37" s="29"/>
      <c r="I37" s="107">
        <f>+I35+I25+I19+I11</f>
        <v>14896705.65</v>
      </c>
      <c r="J37" s="92"/>
      <c r="K37" s="92"/>
      <c r="L37" s="107">
        <f>+L35+L25+L19+L11</f>
        <v>12976068.65</v>
      </c>
      <c r="M37" s="129"/>
      <c r="N37" s="107">
        <f>+N35+N25+N19+N11</f>
        <v>10825.72</v>
      </c>
      <c r="O37" s="92"/>
      <c r="P37" s="107">
        <f>+P35+P25+P19+P11</f>
        <v>-26234.600000000035</v>
      </c>
      <c r="Q37" s="92"/>
      <c r="R37" s="107">
        <f>+R35+R25+R19+R11</f>
        <v>209659.86</v>
      </c>
      <c r="S37" s="92"/>
      <c r="T37" s="107">
        <f>+T35+T25+T19+T11</f>
        <v>603472.52000000014</v>
      </c>
      <c r="U37" s="120"/>
      <c r="V37" s="107">
        <f>+V35+V25+V19+V11</f>
        <v>180028.66</v>
      </c>
      <c r="W37" s="92"/>
      <c r="X37" s="107">
        <f>+X35+X25+X19+X11</f>
        <v>831289.41999999993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5242109</v>
      </c>
      <c r="H39" s="29"/>
      <c r="I39" s="175">
        <v>5288874.45</v>
      </c>
      <c r="J39" s="92"/>
      <c r="K39" s="92"/>
      <c r="L39" s="175">
        <v>4923767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2018
</oddFooter>
  </headerFooter>
  <legacy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tabColor rgb="FF92D050"/>
    <pageSetUpPr fitToPage="1"/>
  </sheetPr>
  <dimension ref="A1:AD73"/>
  <sheetViews>
    <sheetView showGridLines="0" topLeftCell="A10" zoomScale="80" zoomScaleNormal="80" workbookViewId="0">
      <selection activeCell="AA15" sqref="AA1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398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1560968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3955332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10915.51</v>
      </c>
      <c r="O35" s="40"/>
      <c r="P35" s="116">
        <f>SUM(P29:P34)</f>
        <v>-108906.92</v>
      </c>
      <c r="Q35" s="40"/>
      <c r="R35" s="116">
        <f>SUM(R29:R34)</f>
        <v>218458.53</v>
      </c>
      <c r="S35" s="40"/>
      <c r="T35" s="116">
        <f>SUM(T29:T34)</f>
        <v>494565.60000000021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14150609.65</v>
      </c>
      <c r="J37" s="92"/>
      <c r="K37" s="92"/>
      <c r="L37" s="107">
        <f>+L35+L25+L19+L11</f>
        <v>13373022.65</v>
      </c>
      <c r="M37" s="129"/>
      <c r="N37" s="107">
        <f>+N35+N25+N19+N11</f>
        <v>11391.300000000001</v>
      </c>
      <c r="O37" s="92"/>
      <c r="P37" s="107">
        <f>+P35+P25+P19+P11</f>
        <v>-108906.92</v>
      </c>
      <c r="Q37" s="92"/>
      <c r="R37" s="107">
        <f>+R35+R25+R19+R11</f>
        <v>221051.16</v>
      </c>
      <c r="S37" s="92"/>
      <c r="T37" s="107">
        <f>+T35+T25+T19+T11</f>
        <v>494565.60000000021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>
        <f>+T37+R37</f>
        <v>715616.76000000024</v>
      </c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2018 Pre-audit
</oddFooter>
  </headerFooter>
  <legacy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443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41849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444</v>
      </c>
      <c r="H6" s="102"/>
      <c r="I6" s="80" t="s">
        <v>445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1767899</v>
      </c>
      <c r="H9" s="102"/>
      <c r="I9" s="103">
        <v>531534</v>
      </c>
      <c r="J9" s="92"/>
      <c r="K9" s="92"/>
      <c r="L9" s="103">
        <v>74516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2.1915349514307677E-4</v>
      </c>
      <c r="F10" s="111"/>
      <c r="G10" s="111">
        <v>2394364</v>
      </c>
      <c r="H10" s="102"/>
      <c r="I10" s="111">
        <v>2394882</v>
      </c>
      <c r="J10" s="92"/>
      <c r="K10" s="92"/>
      <c r="L10" s="111">
        <v>2891971</v>
      </c>
      <c r="M10" s="92"/>
      <c r="N10" s="56">
        <v>524.79</v>
      </c>
      <c r="O10" s="92"/>
      <c r="P10" s="72"/>
      <c r="Q10" s="42"/>
      <c r="R10" s="56">
        <v>524.79</v>
      </c>
      <c r="S10" s="92"/>
      <c r="T10" s="72"/>
      <c r="U10" s="86"/>
      <c r="V10" s="56">
        <v>122.81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4162263</v>
      </c>
      <c r="H11" s="102"/>
      <c r="I11" s="103">
        <f>SUM(I9:I10)</f>
        <v>2926416</v>
      </c>
      <c r="J11" s="92"/>
      <c r="K11" s="92"/>
      <c r="L11" s="103">
        <f>SUM(L9:L10)</f>
        <v>2966487</v>
      </c>
      <c r="M11" s="92"/>
      <c r="N11" s="120">
        <f>SUM(N9:N10)</f>
        <v>524.79</v>
      </c>
      <c r="O11" s="92"/>
      <c r="P11" s="120">
        <f>SUM(P9:P10)</f>
        <v>0</v>
      </c>
      <c r="Q11" s="85"/>
      <c r="R11" s="120">
        <f>SUM(R9:R10)</f>
        <v>524.79</v>
      </c>
      <c r="S11" s="92"/>
      <c r="T11" s="120">
        <f>SUM(T9:T10)</f>
        <v>0</v>
      </c>
      <c r="U11" s="120"/>
      <c r="V11" s="120">
        <f>SUM(V9:V10)</f>
        <v>122.81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444963</v>
      </c>
      <c r="H29" s="29"/>
      <c r="I29" s="115">
        <v>445569</v>
      </c>
      <c r="J29" s="40"/>
      <c r="K29" s="40"/>
      <c r="L29" s="115">
        <v>116487</v>
      </c>
      <c r="M29" s="129"/>
      <c r="N29" s="115">
        <v>605.66999999999996</v>
      </c>
      <c r="O29" s="40"/>
      <c r="P29" s="115">
        <v>2757.28</v>
      </c>
      <c r="Q29" s="40"/>
      <c r="R29" s="115">
        <v>605.66999999999996</v>
      </c>
      <c r="S29" s="40"/>
      <c r="T29" s="115">
        <v>2757.28</v>
      </c>
      <c r="U29" s="120"/>
      <c r="V29" s="115">
        <v>211.25</v>
      </c>
      <c r="W29" s="40" t="s">
        <v>31</v>
      </c>
      <c r="X29" s="115">
        <v>5251.69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7843942</v>
      </c>
      <c r="H31" s="29"/>
      <c r="I31" s="152">
        <v>7858349</v>
      </c>
      <c r="J31" s="40"/>
      <c r="K31" s="40"/>
      <c r="L31" s="152">
        <v>7641425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v>12254.87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1701018</v>
      </c>
      <c r="H32" s="29"/>
      <c r="I32" s="45">
        <v>1872758</v>
      </c>
      <c r="J32" s="40"/>
      <c r="K32" s="40"/>
      <c r="L32" s="45">
        <v>1393840</v>
      </c>
      <c r="M32" s="129"/>
      <c r="N32" s="38">
        <v>14407.65</v>
      </c>
      <c r="O32" s="40"/>
      <c r="P32" s="45">
        <v>177898.63</v>
      </c>
      <c r="Q32" s="40"/>
      <c r="R32" s="38">
        <v>14407.65</v>
      </c>
      <c r="S32" s="40"/>
      <c r="T32" s="45">
        <v>177898.63</v>
      </c>
      <c r="U32" s="119"/>
      <c r="V32" s="38"/>
      <c r="W32" s="40"/>
      <c r="X32" s="45">
        <v>190411.34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-8915.26</v>
      </c>
      <c r="Q33" s="181"/>
      <c r="R33" s="180"/>
      <c r="S33" s="181"/>
      <c r="T33" s="194">
        <v>-8915.26</v>
      </c>
      <c r="U33" s="182"/>
      <c r="V33" s="180"/>
      <c r="W33" s="181"/>
      <c r="X33" s="194">
        <v>-8274.9699999999993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9426846</v>
      </c>
      <c r="H35" s="29"/>
      <c r="I35" s="116">
        <f>SUM(I29:I34)</f>
        <v>9613599</v>
      </c>
      <c r="J35" s="40"/>
      <c r="K35" s="40"/>
      <c r="L35" s="116">
        <f>SUM(L29:L34)</f>
        <v>8588675</v>
      </c>
      <c r="M35" s="129"/>
      <c r="N35" s="116">
        <f>SUM(N29:N34)</f>
        <v>15013.32</v>
      </c>
      <c r="O35" s="40"/>
      <c r="P35" s="116">
        <f>SUM(P29:P34)</f>
        <v>171740.65</v>
      </c>
      <c r="Q35" s="40"/>
      <c r="R35" s="116">
        <f>SUM(R29:R34)</f>
        <v>15013.32</v>
      </c>
      <c r="S35" s="40"/>
      <c r="T35" s="116">
        <f>SUM(T29:T34)</f>
        <v>171740.65</v>
      </c>
      <c r="U35" s="120"/>
      <c r="V35" s="116">
        <f>SUM(V29:V34)</f>
        <v>12466.12</v>
      </c>
      <c r="W35" s="40"/>
      <c r="X35" s="116">
        <f>SUM(X29:X34)</f>
        <v>187388.06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14357540.65</v>
      </c>
      <c r="H37" s="29"/>
      <c r="I37" s="107">
        <f>+I35+I25+I19+I11</f>
        <v>13308446.65</v>
      </c>
      <c r="J37" s="92"/>
      <c r="K37" s="92"/>
      <c r="L37" s="107">
        <f>+L35+L25+L19+L11</f>
        <v>12323593.65</v>
      </c>
      <c r="M37" s="129"/>
      <c r="N37" s="107">
        <f>+N35+N25+N19+N11</f>
        <v>15538.11</v>
      </c>
      <c r="O37" s="92"/>
      <c r="P37" s="107">
        <f>+P35+P25+P19+P11</f>
        <v>171740.65</v>
      </c>
      <c r="Q37" s="92"/>
      <c r="R37" s="107">
        <f>+R35+R25+R19+R11</f>
        <v>15538.11</v>
      </c>
      <c r="S37" s="92"/>
      <c r="T37" s="107">
        <f>+T35+T25+T19+T11</f>
        <v>171740.65</v>
      </c>
      <c r="U37" s="120"/>
      <c r="V37" s="107">
        <f>+V35+V25+V19+V11</f>
        <v>12588.93</v>
      </c>
      <c r="W37" s="92"/>
      <c r="X37" s="107">
        <f>+X35+X25+X19+X11</f>
        <v>187388.06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5349092</v>
      </c>
      <c r="J39" s="92"/>
      <c r="K39" s="92"/>
      <c r="L39" s="175">
        <v>5029522.71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524.79</v>
      </c>
      <c r="O53" s="205"/>
      <c r="P53" s="204"/>
      <c r="Q53" s="205"/>
      <c r="R53" s="204">
        <f>+R10</f>
        <v>524.79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15013.32</v>
      </c>
      <c r="O56" s="207"/>
      <c r="P56" s="206"/>
      <c r="Q56" s="207"/>
      <c r="R56" s="206">
        <f>+R35</f>
        <v>15013.32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171740.65</v>
      </c>
      <c r="Q58" s="205"/>
      <c r="R58" s="204"/>
      <c r="S58" s="205"/>
      <c r="T58" s="204">
        <f>+T37</f>
        <v>171740.65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15538.11</v>
      </c>
      <c r="O61" s="205"/>
      <c r="P61" s="208">
        <f>SUM(P53:P60)</f>
        <v>171740.65</v>
      </c>
      <c r="Q61" s="205"/>
      <c r="R61" s="208">
        <f>SUM(R53:R60)</f>
        <v>15538.11</v>
      </c>
      <c r="S61" s="204"/>
      <c r="T61" s="208">
        <f>SUM(T53:T60)</f>
        <v>171740.65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16448</v>
      </c>
      <c r="O63" s="205"/>
      <c r="P63" s="205">
        <v>171741</v>
      </c>
      <c r="Q63" s="205"/>
      <c r="R63" s="205">
        <v>16448</v>
      </c>
      <c r="S63" s="205"/>
      <c r="T63" s="205">
        <v>171741</v>
      </c>
    </row>
    <row r="64" spans="2:23">
      <c r="L64" s="43" t="s">
        <v>388</v>
      </c>
      <c r="N64" s="209">
        <f>+N63-N61</f>
        <v>909.88999999999942</v>
      </c>
      <c r="O64" s="209"/>
      <c r="P64" s="209">
        <f>+P63-P61</f>
        <v>0.35000000000582077</v>
      </c>
      <c r="Q64" s="209"/>
      <c r="R64" s="209">
        <f>+R63-R61</f>
        <v>909.88999999999942</v>
      </c>
      <c r="S64" s="209"/>
      <c r="T64" s="209">
        <f>+T63-T61</f>
        <v>0.35000000000582077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July 2018 </oddFooter>
  </headerFooter>
  <legacy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443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41880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447</v>
      </c>
      <c r="H6" s="102"/>
      <c r="I6" s="80" t="s">
        <v>448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531534</v>
      </c>
      <c r="H9" s="102"/>
      <c r="I9" s="103">
        <v>2279268</v>
      </c>
      <c r="J9" s="92"/>
      <c r="K9" s="92"/>
      <c r="L9" s="103">
        <v>1414004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2.0033630243537228E-4</v>
      </c>
      <c r="F10" s="111"/>
      <c r="G10" s="111">
        <v>2394882</v>
      </c>
      <c r="H10" s="102"/>
      <c r="I10" s="111">
        <v>1895304</v>
      </c>
      <c r="J10" s="92"/>
      <c r="K10" s="92"/>
      <c r="L10" s="111">
        <v>1892057</v>
      </c>
      <c r="M10" s="92"/>
      <c r="N10" s="56">
        <v>429.74</v>
      </c>
      <c r="O10" s="92"/>
      <c r="P10" s="72"/>
      <c r="Q10" s="42"/>
      <c r="R10" s="56">
        <f>524.79+429.74</f>
        <v>954.53</v>
      </c>
      <c r="S10" s="92"/>
      <c r="T10" s="72"/>
      <c r="U10" s="86"/>
      <c r="V10" s="56">
        <f>122.81+92.66</f>
        <v>215.47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2926416</v>
      </c>
      <c r="H11" s="102"/>
      <c r="I11" s="103">
        <f>SUM(I9:I10)</f>
        <v>4174572</v>
      </c>
      <c r="J11" s="92"/>
      <c r="K11" s="92"/>
      <c r="L11" s="103">
        <f>SUM(L9:L10)</f>
        <v>3306061</v>
      </c>
      <c r="M11" s="92"/>
      <c r="N11" s="120">
        <f>SUM(N9:N10)</f>
        <v>429.74</v>
      </c>
      <c r="O11" s="92"/>
      <c r="P11" s="120">
        <f>SUM(P9:P10)</f>
        <v>0</v>
      </c>
      <c r="Q11" s="85"/>
      <c r="R11" s="120">
        <f>SUM(R9:R10)</f>
        <v>954.53</v>
      </c>
      <c r="S11" s="92"/>
      <c r="T11" s="120">
        <f>SUM(T9:T10)</f>
        <v>0</v>
      </c>
      <c r="U11" s="120"/>
      <c r="V11" s="120">
        <f>SUM(V9:V10)</f>
        <v>215.47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445569</v>
      </c>
      <c r="H29" s="29"/>
      <c r="I29" s="115">
        <v>446269</v>
      </c>
      <c r="J29" s="40"/>
      <c r="K29" s="40"/>
      <c r="L29" s="115">
        <v>116487</v>
      </c>
      <c r="M29" s="129"/>
      <c r="N29" s="115">
        <v>700.58</v>
      </c>
      <c r="O29" s="40"/>
      <c r="P29" s="115">
        <v>3687.41</v>
      </c>
      <c r="Q29" s="40"/>
      <c r="R29" s="115">
        <f>605.67+700.58</f>
        <v>1306.25</v>
      </c>
      <c r="S29" s="40"/>
      <c r="T29" s="115">
        <f>2757.28+3687.51</f>
        <v>6444.7900000000009</v>
      </c>
      <c r="U29" s="120"/>
      <c r="V29" s="115">
        <f>211.25+181.67</f>
        <v>392.91999999999996</v>
      </c>
      <c r="W29" s="40" t="s">
        <v>31</v>
      </c>
      <c r="X29" s="115">
        <f>5251.69-591.9</f>
        <v>4659.79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7858349</v>
      </c>
      <c r="H31" s="29"/>
      <c r="I31" s="152">
        <v>7871049</v>
      </c>
      <c r="J31" s="40"/>
      <c r="K31" s="40"/>
      <c r="L31" s="152">
        <v>7652945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1872758</v>
      </c>
      <c r="H32" s="29"/>
      <c r="I32" s="45">
        <v>1855139</v>
      </c>
      <c r="J32" s="40"/>
      <c r="K32" s="40"/>
      <c r="L32" s="45">
        <v>1434716</v>
      </c>
      <c r="M32" s="129"/>
      <c r="N32" s="38">
        <v>12700.11</v>
      </c>
      <c r="O32" s="40"/>
      <c r="P32" s="45">
        <v>-21589.41</v>
      </c>
      <c r="Q32" s="40"/>
      <c r="R32" s="38">
        <f>14407.65+12700</f>
        <v>27107.65</v>
      </c>
      <c r="S32" s="40"/>
      <c r="T32" s="45">
        <f>177898.63-21589.41</f>
        <v>156309.22</v>
      </c>
      <c r="U32" s="119"/>
      <c r="V32" s="38"/>
      <c r="W32" s="40"/>
      <c r="X32" s="45">
        <f>190411.34+42151.07</f>
        <v>232562.41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282.55</v>
      </c>
      <c r="Q33" s="181"/>
      <c r="R33" s="180"/>
      <c r="S33" s="181"/>
      <c r="T33" s="194">
        <f>-8915.26+282.55</f>
        <v>-8632.7100000000009</v>
      </c>
      <c r="U33" s="182"/>
      <c r="V33" s="180"/>
      <c r="W33" s="181"/>
      <c r="X33" s="194">
        <f>-8274.97-683.39</f>
        <v>-8958.3599999999988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9613599</v>
      </c>
      <c r="H35" s="29"/>
      <c r="I35" s="116">
        <f>SUM(I29:I34)</f>
        <v>9609380</v>
      </c>
      <c r="J35" s="40"/>
      <c r="K35" s="40"/>
      <c r="L35" s="116">
        <f>SUM(L29:L34)</f>
        <v>8641071</v>
      </c>
      <c r="M35" s="129"/>
      <c r="N35" s="116">
        <f>SUM(N29:N34)</f>
        <v>13400.69</v>
      </c>
      <c r="O35" s="40"/>
      <c r="P35" s="116">
        <f>SUM(P29:P34)</f>
        <v>-17619.45</v>
      </c>
      <c r="Q35" s="40"/>
      <c r="R35" s="116">
        <f>SUM(R29:R34)</f>
        <v>28413.9</v>
      </c>
      <c r="S35" s="40"/>
      <c r="T35" s="116">
        <f>SUM(T29:T34)</f>
        <v>154121.30000000002</v>
      </c>
      <c r="U35" s="120"/>
      <c r="V35" s="116">
        <f>SUM(V29:V34)</f>
        <v>23985.79</v>
      </c>
      <c r="W35" s="40"/>
      <c r="X35" s="116">
        <f>SUM(X29:X34)</f>
        <v>228263.84000000003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13308446.65</v>
      </c>
      <c r="H37" s="29"/>
      <c r="I37" s="107">
        <f>+I35+I25+I19+I11</f>
        <v>14552383.65</v>
      </c>
      <c r="J37" s="92"/>
      <c r="K37" s="92"/>
      <c r="L37" s="107">
        <f>+L35+L25+L19+L11</f>
        <v>12715563.65</v>
      </c>
      <c r="M37" s="129"/>
      <c r="N37" s="107">
        <f>+N35+N25+N19+N11</f>
        <v>13830.43</v>
      </c>
      <c r="O37" s="92"/>
      <c r="P37" s="107">
        <f>+P35+P25+P19+P11</f>
        <v>-17619.45</v>
      </c>
      <c r="Q37" s="92"/>
      <c r="R37" s="107">
        <f>+R35+R25+R19+R11</f>
        <v>29368.43</v>
      </c>
      <c r="S37" s="92"/>
      <c r="T37" s="107">
        <f>+T35+T25+T19+T11</f>
        <v>154121.30000000002</v>
      </c>
      <c r="U37" s="120"/>
      <c r="V37" s="107">
        <f>+V35+V25+V19+V11</f>
        <v>24201.260000000002</v>
      </c>
      <c r="W37" s="92"/>
      <c r="X37" s="107">
        <f>+X35+X25+X19+X11</f>
        <v>228263.84000000003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5349092</v>
      </c>
      <c r="H39" s="29"/>
      <c r="I39" s="175">
        <v>5407871</v>
      </c>
      <c r="J39" s="92"/>
      <c r="K39" s="92"/>
      <c r="L39" s="175">
        <v>5051586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429.74</v>
      </c>
      <c r="O53" s="205"/>
      <c r="P53" s="204"/>
      <c r="Q53" s="205"/>
      <c r="R53" s="204">
        <f>+R10</f>
        <v>954.53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13400.69</v>
      </c>
      <c r="O56" s="207"/>
      <c r="P56" s="206"/>
      <c r="Q56" s="207"/>
      <c r="R56" s="206">
        <f>+R35</f>
        <v>28413.9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-17619.45</v>
      </c>
      <c r="Q58" s="205"/>
      <c r="R58" s="204"/>
      <c r="S58" s="205"/>
      <c r="T58" s="204">
        <f>+T37</f>
        <v>154121.30000000002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13830.43</v>
      </c>
      <c r="O61" s="205"/>
      <c r="P61" s="208">
        <f>SUM(P53:P60)</f>
        <v>-17619.45</v>
      </c>
      <c r="Q61" s="205"/>
      <c r="R61" s="208">
        <f>SUM(R53:R60)</f>
        <v>29368.43</v>
      </c>
      <c r="S61" s="204"/>
      <c r="T61" s="208">
        <f>SUM(T53:T60)</f>
        <v>154121.30000000002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13868</v>
      </c>
      <c r="O63" s="205"/>
      <c r="P63" s="205">
        <v>-17619</v>
      </c>
      <c r="Q63" s="205"/>
      <c r="R63" s="205">
        <v>30317</v>
      </c>
      <c r="S63" s="205"/>
      <c r="T63" s="205">
        <v>154121</v>
      </c>
    </row>
    <row r="64" spans="2:23">
      <c r="L64" s="43" t="s">
        <v>388</v>
      </c>
      <c r="N64" s="209">
        <f>+N63-N61</f>
        <v>37.569999999999709</v>
      </c>
      <c r="O64" s="209"/>
      <c r="P64" s="209">
        <f>+P63-P61</f>
        <v>0.4500000000007276</v>
      </c>
      <c r="Q64" s="209"/>
      <c r="R64" s="209">
        <f>+R63-R61</f>
        <v>948.56999999999971</v>
      </c>
      <c r="S64" s="209"/>
      <c r="T64" s="209">
        <f>+T63-T61</f>
        <v>-0.3000000000174623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August 2018 </oddFooter>
  </headerFooter>
  <legacy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tabColor rgb="FFFFFF00"/>
    <pageSetUpPr fitToPage="1"/>
  </sheetPr>
  <dimension ref="A1:AD70"/>
  <sheetViews>
    <sheetView showGridLines="0" topLeftCell="A4" zoomScaleNormal="100" workbookViewId="0">
      <selection activeCell="C55" sqref="C5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443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41911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449</v>
      </c>
      <c r="H6" s="102"/>
      <c r="I6" s="80" t="s">
        <v>450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2279268</v>
      </c>
      <c r="H9" s="102"/>
      <c r="I9" s="103">
        <v>2921214</v>
      </c>
      <c r="J9" s="92"/>
      <c r="K9" s="92"/>
      <c r="L9" s="103">
        <v>1174204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1.4406100204471787E-4</v>
      </c>
      <c r="F10" s="111"/>
      <c r="G10" s="111">
        <v>1895304</v>
      </c>
      <c r="H10" s="102"/>
      <c r="I10" s="111">
        <v>3895715</v>
      </c>
      <c r="J10" s="92"/>
      <c r="K10" s="92"/>
      <c r="L10" s="111">
        <v>1892125</v>
      </c>
      <c r="M10" s="92"/>
      <c r="N10" s="56">
        <v>417.13</v>
      </c>
      <c r="O10" s="92"/>
      <c r="P10" s="72"/>
      <c r="Q10" s="42"/>
      <c r="R10" s="56">
        <f>524.79+429.74+417.13</f>
        <v>1371.6599999999999</v>
      </c>
      <c r="S10" s="92"/>
      <c r="T10" s="72"/>
      <c r="U10" s="86"/>
      <c r="V10" s="56">
        <f>122.81+92.66+75.16</f>
        <v>290.63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4174572</v>
      </c>
      <c r="H11" s="102"/>
      <c r="I11" s="103">
        <f>SUM(I9:I10)</f>
        <v>6816929</v>
      </c>
      <c r="J11" s="92"/>
      <c r="K11" s="92"/>
      <c r="L11" s="103">
        <f>SUM(L9:L10)</f>
        <v>3066329</v>
      </c>
      <c r="M11" s="92"/>
      <c r="N11" s="120">
        <f>SUM(N9:N10)</f>
        <v>417.13</v>
      </c>
      <c r="O11" s="92"/>
      <c r="P11" s="120">
        <f>SUM(P9:P10)</f>
        <v>0</v>
      </c>
      <c r="Q11" s="85"/>
      <c r="R11" s="120">
        <f>SUM(R9:R10)</f>
        <v>1371.6599999999999</v>
      </c>
      <c r="S11" s="92"/>
      <c r="T11" s="120">
        <f>SUM(T9:T10)</f>
        <v>0</v>
      </c>
      <c r="U11" s="120"/>
      <c r="V11" s="120">
        <f>SUM(V9:V10)</f>
        <v>290.63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446269</v>
      </c>
      <c r="H29" s="29"/>
      <c r="I29" s="115">
        <v>446137</v>
      </c>
      <c r="J29" s="40"/>
      <c r="K29" s="40"/>
      <c r="L29" s="115">
        <v>116487</v>
      </c>
      <c r="M29" s="129"/>
      <c r="N29" s="115">
        <v>269.74</v>
      </c>
      <c r="O29" s="40"/>
      <c r="P29" s="115">
        <v>-132.47999999999999</v>
      </c>
      <c r="Q29" s="40"/>
      <c r="R29" s="115">
        <f>605.67+700.58+269.74</f>
        <v>1575.99</v>
      </c>
      <c r="S29" s="40"/>
      <c r="T29" s="115">
        <f>2757.28+3687.51-132.48</f>
        <v>6312.3100000000013</v>
      </c>
      <c r="U29" s="120"/>
      <c r="V29" s="115">
        <f>211.25+181.67+225.23</f>
        <v>618.15</v>
      </c>
      <c r="W29" s="40" t="s">
        <v>31</v>
      </c>
      <c r="X29" s="115">
        <f>5251.69-591.9+4817.97</f>
        <v>9477.76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7871049</v>
      </c>
      <c r="H31" s="29"/>
      <c r="I31" s="152">
        <v>7882143</v>
      </c>
      <c r="J31" s="40"/>
      <c r="K31" s="40"/>
      <c r="L31" s="152">
        <v>7665136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1855139</v>
      </c>
      <c r="H32" s="29"/>
      <c r="I32" s="45">
        <v>1856085</v>
      </c>
      <c r="J32" s="40"/>
      <c r="K32" s="40"/>
      <c r="L32" s="45">
        <v>1593566</v>
      </c>
      <c r="M32" s="129"/>
      <c r="N32" s="38">
        <v>11093.63</v>
      </c>
      <c r="O32" s="40"/>
      <c r="P32" s="45">
        <v>392.03</v>
      </c>
      <c r="Q32" s="40"/>
      <c r="R32" s="38">
        <f>14407.65+12700+11093.63</f>
        <v>38201.279999999999</v>
      </c>
      <c r="S32" s="40"/>
      <c r="T32" s="45">
        <f>177898.63-21589.41+392.03</f>
        <v>156701.25</v>
      </c>
      <c r="U32" s="119"/>
      <c r="V32" s="38"/>
      <c r="W32" s="40"/>
      <c r="X32" s="45">
        <f>190411.34+42151.07+153701.85</f>
        <v>386264.26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284.39</v>
      </c>
      <c r="Q33" s="181"/>
      <c r="R33" s="180"/>
      <c r="S33" s="181"/>
      <c r="T33" s="194">
        <f>-8915.26+282.55+284.39</f>
        <v>-8348.3200000000015</v>
      </c>
      <c r="U33" s="182"/>
      <c r="V33" s="180"/>
      <c r="W33" s="181"/>
      <c r="X33" s="194">
        <f>-8274.97-683.39+330.76</f>
        <v>-8627.5999999999985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9609380</v>
      </c>
      <c r="H35" s="29"/>
      <c r="I35" s="116">
        <f>SUM(I29:I34)</f>
        <v>9621288</v>
      </c>
      <c r="J35" s="40"/>
      <c r="K35" s="40"/>
      <c r="L35" s="116">
        <f>SUM(L29:L34)</f>
        <v>8812112</v>
      </c>
      <c r="M35" s="129"/>
      <c r="N35" s="116">
        <f>SUM(N29:N34)</f>
        <v>11363.369999999999</v>
      </c>
      <c r="O35" s="40"/>
      <c r="P35" s="116">
        <f>SUM(P29:P34)</f>
        <v>543.93999999999994</v>
      </c>
      <c r="Q35" s="40"/>
      <c r="R35" s="116">
        <f>SUM(R29:R34)</f>
        <v>39777.269999999997</v>
      </c>
      <c r="S35" s="40"/>
      <c r="T35" s="116">
        <f>SUM(T29:T34)</f>
        <v>154665.24</v>
      </c>
      <c r="U35" s="120"/>
      <c r="V35" s="116">
        <f>SUM(V29:V34)</f>
        <v>24211.020000000004</v>
      </c>
      <c r="W35" s="40"/>
      <c r="X35" s="116">
        <f>SUM(X29:X34)</f>
        <v>387114.42000000004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14552383.65</v>
      </c>
      <c r="H37" s="29"/>
      <c r="I37" s="107">
        <f>+I35+I25+I19+I11</f>
        <v>17206648.649999999</v>
      </c>
      <c r="J37" s="92"/>
      <c r="K37" s="92"/>
      <c r="L37" s="107">
        <f>+L35+L25+L19+L11</f>
        <v>12646872.65</v>
      </c>
      <c r="M37" s="129"/>
      <c r="N37" s="107">
        <f>+N35+N25+N19+N11</f>
        <v>11780.499999999998</v>
      </c>
      <c r="O37" s="92"/>
      <c r="P37" s="107">
        <f>+P35+P25+P19+P11</f>
        <v>543.93999999999994</v>
      </c>
      <c r="Q37" s="92"/>
      <c r="R37" s="107">
        <f>+R35+R25+R19+R11</f>
        <v>41148.929999999993</v>
      </c>
      <c r="S37" s="92"/>
      <c r="T37" s="107">
        <f>+T35+T25+T19+T11</f>
        <v>154665.24</v>
      </c>
      <c r="U37" s="120"/>
      <c r="V37" s="107">
        <f>+V35+V25+V19+V11</f>
        <v>24501.650000000005</v>
      </c>
      <c r="W37" s="92"/>
      <c r="X37" s="107">
        <f>+X35+X25+X19+X11</f>
        <v>387114.42000000004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5407871</v>
      </c>
      <c r="H39" s="29"/>
      <c r="I39" s="175">
        <v>5394297</v>
      </c>
      <c r="J39" s="92"/>
      <c r="K39" s="92"/>
      <c r="L39" s="175">
        <v>5114198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417.13</v>
      </c>
      <c r="O53" s="205"/>
      <c r="P53" s="204"/>
      <c r="Q53" s="205"/>
      <c r="R53" s="204">
        <f>+R10</f>
        <v>1371.6599999999999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11363.369999999999</v>
      </c>
      <c r="O56" s="207"/>
      <c r="P56" s="206"/>
      <c r="Q56" s="207"/>
      <c r="R56" s="206">
        <f>+R35</f>
        <v>39777.269999999997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543.93999999999994</v>
      </c>
      <c r="Q58" s="205"/>
      <c r="R58" s="204"/>
      <c r="S58" s="205"/>
      <c r="T58" s="204">
        <f>+T37</f>
        <v>154665.24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11780.499999999998</v>
      </c>
      <c r="O61" s="205"/>
      <c r="P61" s="208">
        <f>SUM(P53:P60)</f>
        <v>543.93999999999994</v>
      </c>
      <c r="Q61" s="205"/>
      <c r="R61" s="208">
        <f>SUM(R53:R60)</f>
        <v>41148.929999999993</v>
      </c>
      <c r="S61" s="204"/>
      <c r="T61" s="208">
        <f>SUM(T53:T60)</f>
        <v>154665.24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12666</v>
      </c>
      <c r="O63" s="205"/>
      <c r="P63" s="205">
        <v>544</v>
      </c>
      <c r="Q63" s="205"/>
      <c r="R63" s="205">
        <v>42871</v>
      </c>
      <c r="S63" s="205"/>
      <c r="T63" s="205">
        <v>154665</v>
      </c>
    </row>
    <row r="64" spans="2:23">
      <c r="L64" s="43" t="s">
        <v>388</v>
      </c>
      <c r="N64" s="209">
        <f>+N63-N61</f>
        <v>885.50000000000182</v>
      </c>
      <c r="O64" s="209"/>
      <c r="P64" s="209">
        <f>+P63-P61</f>
        <v>6.0000000000059117E-2</v>
      </c>
      <c r="Q64" s="209"/>
      <c r="R64" s="209">
        <f>+R63-R61</f>
        <v>1722.070000000007</v>
      </c>
      <c r="S64" s="209"/>
      <c r="T64" s="209">
        <f>+T63-T61</f>
        <v>-0.23999999999068677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>&amp;CCash/Investment Designation Report
September 2018</oddFooter>
  </headerFooter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tabColor rgb="FFFFFF00"/>
    <pageSetUpPr fitToPage="1"/>
  </sheetPr>
  <dimension ref="A1:AD70"/>
  <sheetViews>
    <sheetView showGridLines="0" zoomScale="80" zoomScaleNormal="80" workbookViewId="0">
      <selection activeCell="R10" sqref="R1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443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41942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451</v>
      </c>
      <c r="H6" s="102"/>
      <c r="I6" s="80" t="s">
        <v>452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2921214</v>
      </c>
      <c r="H9" s="102"/>
      <c r="I9" s="103">
        <v>1175373</v>
      </c>
      <c r="J9" s="92"/>
      <c r="K9" s="92"/>
      <c r="L9" s="103">
        <v>222767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2.7119739430802448E-4</v>
      </c>
      <c r="F10" s="111"/>
      <c r="G10" s="111">
        <v>3895715</v>
      </c>
      <c r="H10" s="102"/>
      <c r="I10" s="111">
        <v>3896764</v>
      </c>
      <c r="J10" s="92"/>
      <c r="K10" s="92"/>
      <c r="L10" s="111">
        <v>1892201</v>
      </c>
      <c r="M10" s="92"/>
      <c r="N10" s="56">
        <v>1056.6500000000001</v>
      </c>
      <c r="O10" s="92"/>
      <c r="P10" s="72"/>
      <c r="Q10" s="42"/>
      <c r="R10" s="56">
        <f>524.79+429.74+417.13+1056.65</f>
        <v>2428.31</v>
      </c>
      <c r="S10" s="92"/>
      <c r="T10" s="72"/>
      <c r="U10" s="86"/>
      <c r="V10" s="56">
        <f>122.81+92.66+75.16+82.95</f>
        <v>373.58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6816929</v>
      </c>
      <c r="H11" s="102"/>
      <c r="I11" s="103">
        <f>SUM(I9:I10)</f>
        <v>5072137</v>
      </c>
      <c r="J11" s="92"/>
      <c r="K11" s="92"/>
      <c r="L11" s="103">
        <f>SUM(L9:L10)</f>
        <v>2114968</v>
      </c>
      <c r="M11" s="92"/>
      <c r="N11" s="120">
        <f>SUM(N9:N10)</f>
        <v>1056.6500000000001</v>
      </c>
      <c r="O11" s="92"/>
      <c r="P11" s="120">
        <f>SUM(P9:P10)</f>
        <v>0</v>
      </c>
      <c r="Q11" s="85"/>
      <c r="R11" s="120">
        <f>SUM(R9:R10)</f>
        <v>2428.31</v>
      </c>
      <c r="S11" s="92"/>
      <c r="T11" s="120">
        <f>SUM(T9:T10)</f>
        <v>0</v>
      </c>
      <c r="U11" s="120"/>
      <c r="V11" s="120">
        <f>SUM(V9:V10)</f>
        <v>373.58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446137</v>
      </c>
      <c r="H29" s="29"/>
      <c r="I29" s="115">
        <v>448063</v>
      </c>
      <c r="J29" s="40"/>
      <c r="K29" s="40"/>
      <c r="L29" s="115">
        <v>117224</v>
      </c>
      <c r="M29" s="129"/>
      <c r="N29" s="115">
        <v>1524.05</v>
      </c>
      <c r="O29" s="40"/>
      <c r="P29" s="115">
        <v>-35192.03</v>
      </c>
      <c r="Q29" s="40"/>
      <c r="R29" s="115">
        <f>605.67+700.58+269.74+1524.05</f>
        <v>3100.04</v>
      </c>
      <c r="S29" s="40"/>
      <c r="T29" s="115">
        <f>2757.28+3687.51-132.48-35192.03</f>
        <v>-28879.719999999998</v>
      </c>
      <c r="U29" s="120"/>
      <c r="V29" s="115">
        <f>211.25+181.67+225.23+320.73</f>
        <v>938.88</v>
      </c>
      <c r="W29" s="40" t="s">
        <v>31</v>
      </c>
      <c r="X29" s="115">
        <f>5251.69-591.9+4817.97+6393.84</f>
        <v>15871.6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7882143</v>
      </c>
      <c r="H31" s="29"/>
      <c r="I31" s="152">
        <v>7896385</v>
      </c>
      <c r="J31" s="40"/>
      <c r="K31" s="40"/>
      <c r="L31" s="152">
        <v>7674233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12254.87+11338+9513.98</f>
        <v>33106.850000000006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1856085</v>
      </c>
      <c r="H32" s="29"/>
      <c r="I32" s="45">
        <v>1189495</v>
      </c>
      <c r="J32" s="40"/>
      <c r="K32" s="40"/>
      <c r="L32" s="45">
        <v>1748676</v>
      </c>
      <c r="M32" s="129"/>
      <c r="N32" s="38">
        <v>14242.33</v>
      </c>
      <c r="O32" s="40"/>
      <c r="P32" s="45">
        <v>-621870.64</v>
      </c>
      <c r="Q32" s="40"/>
      <c r="R32" s="38">
        <f>14407.65+12700+11093.63+14242.33</f>
        <v>52443.61</v>
      </c>
      <c r="S32" s="40"/>
      <c r="T32" s="45">
        <f>177898.63-21589.41+392.03-621870.64</f>
        <v>-465169.39</v>
      </c>
      <c r="U32" s="119"/>
      <c r="V32" s="38"/>
      <c r="W32" s="40"/>
      <c r="X32" s="45">
        <f>190411.34+42151.07+153701.85+156770.59</f>
        <v>543034.85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-9126.2999999999993</v>
      </c>
      <c r="Q33" s="181"/>
      <c r="R33" s="180"/>
      <c r="S33" s="181"/>
      <c r="T33" s="194">
        <f>-8915.26+282.55+284.39-9126.3</f>
        <v>-17474.620000000003</v>
      </c>
      <c r="U33" s="182"/>
      <c r="V33" s="180"/>
      <c r="W33" s="181"/>
      <c r="X33" s="194">
        <f>-8274.97-683.39+330.76-8056.18</f>
        <v>-16683.78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9621288</v>
      </c>
      <c r="H35" s="29"/>
      <c r="I35" s="116">
        <f>SUM(I29:I34)</f>
        <v>8970866</v>
      </c>
      <c r="J35" s="40"/>
      <c r="K35" s="40"/>
      <c r="L35" s="116">
        <f>SUM(L29:L34)</f>
        <v>8977056</v>
      </c>
      <c r="M35" s="129"/>
      <c r="N35" s="116">
        <f>SUM(N29:N34)</f>
        <v>15766.38</v>
      </c>
      <c r="O35" s="40"/>
      <c r="P35" s="116">
        <f>SUM(P29:P34)</f>
        <v>-666188.97000000009</v>
      </c>
      <c r="Q35" s="40"/>
      <c r="R35" s="116">
        <f>SUM(R29:R34)</f>
        <v>55543.65</v>
      </c>
      <c r="S35" s="40"/>
      <c r="T35" s="116">
        <f>SUM(T29:T34)</f>
        <v>-511523.73</v>
      </c>
      <c r="U35" s="120"/>
      <c r="V35" s="116">
        <f>SUM(V29:V34)</f>
        <v>34045.730000000003</v>
      </c>
      <c r="W35" s="40"/>
      <c r="X35" s="116">
        <f>SUM(X29:X34)</f>
        <v>542222.66999999993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17206648.649999999</v>
      </c>
      <c r="H37" s="29"/>
      <c r="I37" s="107">
        <f>+I35+I25+I19+I11</f>
        <v>14811434.65</v>
      </c>
      <c r="J37" s="92"/>
      <c r="K37" s="92"/>
      <c r="L37" s="107">
        <f>+L35+L25+L19+L11</f>
        <v>11860455.65</v>
      </c>
      <c r="M37" s="129"/>
      <c r="N37" s="107">
        <f>+N35+N25+N19+N11</f>
        <v>16823.03</v>
      </c>
      <c r="O37" s="92"/>
      <c r="P37" s="107">
        <f>+P35+P25+P19+P11</f>
        <v>-666188.97000000009</v>
      </c>
      <c r="Q37" s="92"/>
      <c r="R37" s="107">
        <f>+R35+R25+R19+R11</f>
        <v>57971.96</v>
      </c>
      <c r="S37" s="92"/>
      <c r="T37" s="107">
        <f>+T35+T25+T19+T11</f>
        <v>-511523.73</v>
      </c>
      <c r="U37" s="120"/>
      <c r="V37" s="107">
        <f>+V35+V25+V19+V11</f>
        <v>34419.310000000005</v>
      </c>
      <c r="W37" s="92"/>
      <c r="X37" s="107">
        <f>+X35+X25+X19+X11</f>
        <v>542222.66999999993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5394297</v>
      </c>
      <c r="H39" s="29"/>
      <c r="I39" s="175">
        <v>5082326</v>
      </c>
      <c r="J39" s="92"/>
      <c r="K39" s="92"/>
      <c r="L39" s="175">
        <v>5152772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1056.6500000000001</v>
      </c>
      <c r="O53" s="205"/>
      <c r="P53" s="204"/>
      <c r="Q53" s="205"/>
      <c r="R53" s="204">
        <f>+R10</f>
        <v>2428.31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15766.38</v>
      </c>
      <c r="O56" s="207"/>
      <c r="P56" s="206"/>
      <c r="Q56" s="207"/>
      <c r="R56" s="206">
        <f>+R35</f>
        <v>55543.65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-666188.97000000009</v>
      </c>
      <c r="Q58" s="205"/>
      <c r="R58" s="204"/>
      <c r="S58" s="205"/>
      <c r="T58" s="204">
        <f>+T37</f>
        <v>-511523.73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16823.03</v>
      </c>
      <c r="O61" s="205"/>
      <c r="P61" s="208">
        <f>SUM(P53:P60)</f>
        <v>-666188.97000000009</v>
      </c>
      <c r="Q61" s="205"/>
      <c r="R61" s="208">
        <f>SUM(R53:R60)</f>
        <v>57971.96</v>
      </c>
      <c r="S61" s="204"/>
      <c r="T61" s="208">
        <f>SUM(T53:T60)</f>
        <v>-511523.73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16823</v>
      </c>
      <c r="O63" s="205"/>
      <c r="P63" s="205">
        <v>-666189</v>
      </c>
      <c r="Q63" s="205"/>
      <c r="R63" s="205">
        <v>59805</v>
      </c>
      <c r="S63" s="205"/>
      <c r="T63" s="205">
        <v>-511524</v>
      </c>
    </row>
    <row r="64" spans="2:23">
      <c r="L64" s="43" t="s">
        <v>388</v>
      </c>
      <c r="N64" s="209">
        <f>+N63-N61</f>
        <v>-2.9999999998835847E-2</v>
      </c>
      <c r="O64" s="209"/>
      <c r="P64" s="209">
        <f>+P63-P61</f>
        <v>-2.9999999911524355E-2</v>
      </c>
      <c r="Q64" s="209"/>
      <c r="R64" s="209">
        <f>+R63-R61</f>
        <v>1833.0400000000009</v>
      </c>
      <c r="S64" s="209"/>
      <c r="T64" s="209">
        <f>+T63-T61</f>
        <v>-0.27000000001862645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October 2018 </oddFooter>
  </headerFooter>
  <legacy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tabColor rgb="FFFFFF00"/>
    <pageSetUpPr fitToPage="1"/>
  </sheetPr>
  <dimension ref="A1:AD70"/>
  <sheetViews>
    <sheetView showGridLines="0" zoomScale="80" zoomScaleNormal="80" workbookViewId="0">
      <selection activeCell="AC16" sqref="AC1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443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41972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453</v>
      </c>
      <c r="H6" s="102"/>
      <c r="I6" s="80" t="s">
        <v>454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1175373</v>
      </c>
      <c r="H9" s="102"/>
      <c r="I9" s="103">
        <v>325673</v>
      </c>
      <c r="J9" s="92"/>
      <c r="K9" s="92"/>
      <c r="L9" s="103">
        <v>589848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2.4654621051148747E-4</v>
      </c>
      <c r="F10" s="111"/>
      <c r="G10" s="111">
        <v>3896764</v>
      </c>
      <c r="H10" s="102"/>
      <c r="I10" s="111">
        <v>3897718</v>
      </c>
      <c r="J10" s="92"/>
      <c r="K10" s="92"/>
      <c r="L10" s="111">
        <v>2892319</v>
      </c>
      <c r="M10" s="92"/>
      <c r="N10" s="56">
        <v>960.85</v>
      </c>
      <c r="O10" s="92"/>
      <c r="P10" s="72"/>
      <c r="Q10" s="42"/>
      <c r="R10" s="56">
        <f>524.79+429.74+417.13+1056.65+960.85</f>
        <v>3389.16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5072137</v>
      </c>
      <c r="H11" s="102"/>
      <c r="I11" s="103">
        <f>SUM(I9:I10)</f>
        <v>4223391</v>
      </c>
      <c r="J11" s="92"/>
      <c r="K11" s="92"/>
      <c r="L11" s="103">
        <f>SUM(L9:L10)</f>
        <v>3482167</v>
      </c>
      <c r="M11" s="92"/>
      <c r="N11" s="120">
        <f>SUM(N9:N10)</f>
        <v>960.85</v>
      </c>
      <c r="O11" s="92"/>
      <c r="P11" s="120">
        <f>SUM(P9:P10)</f>
        <v>0</v>
      </c>
      <c r="Q11" s="85"/>
      <c r="R11" s="120">
        <f>SUM(R9:R10)</f>
        <v>3389.16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448063</v>
      </c>
      <c r="H29" s="29"/>
      <c r="I29" s="115">
        <v>448771</v>
      </c>
      <c r="J29" s="40"/>
      <c r="K29" s="40"/>
      <c r="L29" s="115">
        <v>117352</v>
      </c>
      <c r="M29" s="129"/>
      <c r="N29" s="115">
        <v>707.59</v>
      </c>
      <c r="O29" s="40"/>
      <c r="P29" s="115">
        <v>879.09</v>
      </c>
      <c r="Q29" s="40"/>
      <c r="R29" s="115">
        <f>605.67+700.58+269.74+1524.05+707.59</f>
        <v>3807.63</v>
      </c>
      <c r="S29" s="40"/>
      <c r="T29" s="115">
        <f>2757.28+3687.51-132.48-35192.03+879.09</f>
        <v>-28000.629999999997</v>
      </c>
      <c r="U29" s="120"/>
      <c r="V29" s="115">
        <f>211.25+181.67+225.23+320.73+127.74</f>
        <v>1066.6199999999999</v>
      </c>
      <c r="W29" s="40" t="s">
        <v>31</v>
      </c>
      <c r="X29" s="115">
        <f>5251.69-591.9+4817.97+6393.84+669.71</f>
        <v>16541.310000000001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7896385</v>
      </c>
      <c r="H31" s="29"/>
      <c r="I31" s="152">
        <v>7906354</v>
      </c>
      <c r="J31" s="40"/>
      <c r="K31" s="40"/>
      <c r="L31" s="152">
        <v>7682138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</f>
        <v>52967.010000000009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1189495</v>
      </c>
      <c r="H32" s="29"/>
      <c r="I32" s="45">
        <v>1262685</v>
      </c>
      <c r="J32" s="40"/>
      <c r="K32" s="40"/>
      <c r="L32" s="45">
        <v>1845632</v>
      </c>
      <c r="M32" s="129"/>
      <c r="N32" s="38">
        <v>9968.34</v>
      </c>
      <c r="O32" s="40"/>
      <c r="P32" s="45">
        <v>72027.45</v>
      </c>
      <c r="Q32" s="40"/>
      <c r="R32" s="38">
        <f>14407.65+12700+11093.63+14242.33+9968.34</f>
        <v>62411.95</v>
      </c>
      <c r="S32" s="40"/>
      <c r="T32" s="45">
        <f>177898.63-21589.41+392.03-621870.64+72027.45</f>
        <v>-393141.94</v>
      </c>
      <c r="U32" s="119"/>
      <c r="V32" s="38"/>
      <c r="W32" s="40"/>
      <c r="X32" s="45">
        <f>190411.34+42151.07+153701.85+156770.59+97077.67</f>
        <v>640112.52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284.73</v>
      </c>
      <c r="Q33" s="181"/>
      <c r="R33" s="180"/>
      <c r="S33" s="181"/>
      <c r="T33" s="194">
        <f>-8915.26+282.55+284.39-9126.3+284.73</f>
        <v>-17189.890000000003</v>
      </c>
      <c r="U33" s="182"/>
      <c r="V33" s="180"/>
      <c r="W33" s="181"/>
      <c r="X33" s="194">
        <f>-8274.97-683.39+330.76-8056.18-789.61</f>
        <v>-17473.39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8970866</v>
      </c>
      <c r="H35" s="29"/>
      <c r="I35" s="116">
        <f>SUM(I29:I34)</f>
        <v>9054733</v>
      </c>
      <c r="J35" s="40"/>
      <c r="K35" s="40"/>
      <c r="L35" s="116">
        <f>SUM(L29:L34)</f>
        <v>9082045</v>
      </c>
      <c r="M35" s="129"/>
      <c r="N35" s="116">
        <f>SUM(N29:N34)</f>
        <v>10675.93</v>
      </c>
      <c r="O35" s="40"/>
      <c r="P35" s="116">
        <f>SUM(P29:P34)</f>
        <v>73191.26999999999</v>
      </c>
      <c r="Q35" s="40"/>
      <c r="R35" s="116">
        <f>SUM(R29:R34)</f>
        <v>66219.58</v>
      </c>
      <c r="S35" s="40"/>
      <c r="T35" s="116">
        <f>SUM(T29:T34)</f>
        <v>-438332.46</v>
      </c>
      <c r="U35" s="120"/>
      <c r="V35" s="116">
        <f>SUM(V29:V34)</f>
        <v>54033.630000000012</v>
      </c>
      <c r="W35" s="40"/>
      <c r="X35" s="116">
        <f>SUM(X29:X34)</f>
        <v>639180.44000000006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14811434.65</v>
      </c>
      <c r="H37" s="29"/>
      <c r="I37" s="107">
        <f>+I35+I25+I19+I11</f>
        <v>14046555.65</v>
      </c>
      <c r="J37" s="92"/>
      <c r="K37" s="92"/>
      <c r="L37" s="107">
        <f>+L35+L25+L19+L11</f>
        <v>13332643.65</v>
      </c>
      <c r="M37" s="129"/>
      <c r="N37" s="107">
        <f>+N35+N25+N19+N11</f>
        <v>11636.78</v>
      </c>
      <c r="O37" s="92"/>
      <c r="P37" s="107">
        <f>+P35+P25+P19+P11</f>
        <v>73191.26999999999</v>
      </c>
      <c r="Q37" s="92"/>
      <c r="R37" s="107">
        <f>+R35+R25+R19+R11</f>
        <v>69608.740000000005</v>
      </c>
      <c r="S37" s="92"/>
      <c r="T37" s="107">
        <f>+T35+T25+T19+T11</f>
        <v>-438332.46</v>
      </c>
      <c r="U37" s="120"/>
      <c r="V37" s="107">
        <f>+V35+V25+V19+V11</f>
        <v>54531.55000000001</v>
      </c>
      <c r="W37" s="92"/>
      <c r="X37" s="107">
        <f>+X35+X25+X19+X11</f>
        <v>639180.44000000006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5082326</v>
      </c>
      <c r="H39" s="29"/>
      <c r="I39" s="175">
        <v>5132945</v>
      </c>
      <c r="J39" s="92"/>
      <c r="K39" s="92"/>
      <c r="L39" s="175">
        <v>5211525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960.85</v>
      </c>
      <c r="O53" s="205"/>
      <c r="P53" s="204"/>
      <c r="Q53" s="205"/>
      <c r="R53" s="204">
        <f>+R10</f>
        <v>3389.16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10675.93</v>
      </c>
      <c r="O56" s="207"/>
      <c r="P56" s="206"/>
      <c r="Q56" s="207"/>
      <c r="R56" s="206">
        <f>+R35</f>
        <v>66219.58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73191.26999999999</v>
      </c>
      <c r="Q58" s="205"/>
      <c r="R58" s="204"/>
      <c r="S58" s="205"/>
      <c r="T58" s="204">
        <f>+T37</f>
        <v>-438332.46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11636.78</v>
      </c>
      <c r="O61" s="205"/>
      <c r="P61" s="208">
        <f>SUM(P53:P60)</f>
        <v>73191.26999999999</v>
      </c>
      <c r="Q61" s="205"/>
      <c r="R61" s="208">
        <f>SUM(R53:R60)</f>
        <v>69608.740000000005</v>
      </c>
      <c r="S61" s="204"/>
      <c r="T61" s="208">
        <f>SUM(T53:T60)</f>
        <v>-438332.46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11637</v>
      </c>
      <c r="O63" s="205"/>
      <c r="P63" s="205">
        <v>73191</v>
      </c>
      <c r="Q63" s="205"/>
      <c r="R63" s="205">
        <v>71442</v>
      </c>
      <c r="S63" s="205"/>
      <c r="T63" s="205">
        <v>-438333</v>
      </c>
    </row>
    <row r="64" spans="2:23">
      <c r="L64" s="43" t="s">
        <v>388</v>
      </c>
      <c r="N64" s="209">
        <f>+N63-N61</f>
        <v>0.21999999999934516</v>
      </c>
      <c r="O64" s="209"/>
      <c r="P64" s="209">
        <f>+P63-P61</f>
        <v>-0.26999999998952262</v>
      </c>
      <c r="Q64" s="209"/>
      <c r="R64" s="209">
        <f>+R63-R61</f>
        <v>1833.2599999999948</v>
      </c>
      <c r="S64" s="209"/>
      <c r="T64" s="209">
        <f>+T63-T61</f>
        <v>-0.53999999997904524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November 2018 </oddFooter>
  </headerFooter>
  <legacy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tabColor rgb="FFFFFF00"/>
    <pageSetUpPr fitToPage="1"/>
  </sheetPr>
  <dimension ref="A1:AD70"/>
  <sheetViews>
    <sheetView showGridLines="0" zoomScale="80" zoomScaleNormal="80" workbookViewId="0">
      <selection activeCell="N63" sqref="N6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443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42003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455</v>
      </c>
      <c r="H6" s="102"/>
      <c r="I6" s="80" t="s">
        <v>456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325673</v>
      </c>
      <c r="H9" s="102"/>
      <c r="I9" s="103">
        <v>1295921</v>
      </c>
      <c r="J9" s="92"/>
      <c r="K9" s="92"/>
      <c r="L9" s="103">
        <v>914737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2.4871569333431817E-4</v>
      </c>
      <c r="F10" s="111"/>
      <c r="G10" s="111">
        <v>3897718</v>
      </c>
      <c r="H10" s="102"/>
      <c r="I10" s="111">
        <v>2898556</v>
      </c>
      <c r="J10" s="92"/>
      <c r="K10" s="92"/>
      <c r="L10" s="111">
        <v>2892426</v>
      </c>
      <c r="M10" s="92"/>
      <c r="N10" s="56">
        <v>845.17</v>
      </c>
      <c r="O10" s="92"/>
      <c r="P10" s="72"/>
      <c r="Q10" s="42"/>
      <c r="R10" s="56">
        <f>524.79+429.74+417.13+1056.65+960.85+845.17</f>
        <v>4234.33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4223391</v>
      </c>
      <c r="H11" s="102"/>
      <c r="I11" s="103">
        <f>SUM(I9:I10)</f>
        <v>4194477</v>
      </c>
      <c r="J11" s="92"/>
      <c r="K11" s="92"/>
      <c r="L11" s="103">
        <f>SUM(L9:L10)</f>
        <v>3807163</v>
      </c>
      <c r="M11" s="92"/>
      <c r="N11" s="120">
        <f>SUM(N9:N10)</f>
        <v>845.17</v>
      </c>
      <c r="O11" s="92"/>
      <c r="P11" s="120">
        <f>SUM(P9:P10)</f>
        <v>0</v>
      </c>
      <c r="Q11" s="85"/>
      <c r="R11" s="120">
        <f>SUM(R9:R10)</f>
        <v>4234.33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448771</v>
      </c>
      <c r="H29" s="29"/>
      <c r="I29" s="115">
        <v>450565</v>
      </c>
      <c r="J29" s="40"/>
      <c r="K29" s="40"/>
      <c r="L29" s="115">
        <v>118223</v>
      </c>
      <c r="M29" s="129"/>
      <c r="N29" s="115">
        <v>1794.1899999999998</v>
      </c>
      <c r="O29" s="40"/>
      <c r="P29" s="115">
        <v>-35749.950000000004</v>
      </c>
      <c r="Q29" s="40"/>
      <c r="R29" s="115">
        <f>605.67+700.58+269.74+1524.05+707.59+1794.19</f>
        <v>5601.82</v>
      </c>
      <c r="S29" s="40"/>
      <c r="T29" s="115">
        <f>2757.28+3687.51-132.48-35192.03+879.09-35749.95</f>
        <v>-63750.579999999994</v>
      </c>
      <c r="U29" s="120"/>
      <c r="V29" s="115">
        <f>211.25+181.67+225.23+320.73+127.74+871.1</f>
        <v>1937.7199999999998</v>
      </c>
      <c r="W29" s="40" t="s">
        <v>31</v>
      </c>
      <c r="X29" s="115">
        <f>5251.69-591.9+4817.97+6393.84+669.71+658.3</f>
        <v>17199.61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7906354</v>
      </c>
      <c r="H31" s="29"/>
      <c r="I31" s="152">
        <v>8139439</v>
      </c>
      <c r="J31" s="40"/>
      <c r="K31" s="40"/>
      <c r="L31" s="152">
        <v>7776857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</f>
        <v>147686.43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1262685</v>
      </c>
      <c r="H32" s="29"/>
      <c r="I32" s="45">
        <v>510213</v>
      </c>
      <c r="J32" s="40"/>
      <c r="K32" s="40"/>
      <c r="L32" s="45">
        <v>1864504</v>
      </c>
      <c r="M32" s="129"/>
      <c r="N32" s="38">
        <v>233085.5</v>
      </c>
      <c r="O32" s="40"/>
      <c r="P32" s="45">
        <v>-716987.32</v>
      </c>
      <c r="Q32" s="40"/>
      <c r="R32" s="38">
        <f>14407.65+12700+11093.63+14242.33+9968.34+233086.5</f>
        <v>295498.45</v>
      </c>
      <c r="S32" s="40"/>
      <c r="T32" s="45">
        <f>177898.63-21589.41+392.03-621870.64+72027.45-716987.32</f>
        <v>-1110129.26</v>
      </c>
      <c r="U32" s="119"/>
      <c r="V32" s="38"/>
      <c r="W32" s="40"/>
      <c r="X32" s="45">
        <f>190411.34+42151.07+153701.85+156770.59+97077.67+17948.36</f>
        <v>658060.88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265.08</v>
      </c>
      <c r="Q33" s="181"/>
      <c r="R33" s="180"/>
      <c r="S33" s="181"/>
      <c r="T33" s="194">
        <f>-8915.26+282.55+284.39-9126.3+284.73+265.08</f>
        <v>-16924.810000000001</v>
      </c>
      <c r="U33" s="182"/>
      <c r="V33" s="180"/>
      <c r="W33" s="181"/>
      <c r="X33" s="194">
        <f>-8274.97-683.39+330.76-8056.18-789.61+264.5</f>
        <v>-17208.89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9054733</v>
      </c>
      <c r="H35" s="29"/>
      <c r="I35" s="116">
        <f>SUM(I29:I34)</f>
        <v>8537140</v>
      </c>
      <c r="J35" s="40"/>
      <c r="K35" s="40"/>
      <c r="L35" s="116">
        <f>SUM(L29:L34)</f>
        <v>9196507</v>
      </c>
      <c r="M35" s="129"/>
      <c r="N35" s="116">
        <f>SUM(N29:N34)</f>
        <v>234879.69</v>
      </c>
      <c r="O35" s="40"/>
      <c r="P35" s="116">
        <f>SUM(P29:P34)</f>
        <v>-752472.19</v>
      </c>
      <c r="Q35" s="40"/>
      <c r="R35" s="116">
        <f>SUM(R29:R34)</f>
        <v>301100.27</v>
      </c>
      <c r="S35" s="40"/>
      <c r="T35" s="116">
        <f>SUM(T29:T34)</f>
        <v>-1190804.6500000001</v>
      </c>
      <c r="U35" s="120"/>
      <c r="V35" s="116">
        <f>SUM(V29:V34)</f>
        <v>149624.15</v>
      </c>
      <c r="W35" s="40"/>
      <c r="X35" s="116">
        <f>SUM(X29:X34)</f>
        <v>658051.6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14046555.65</v>
      </c>
      <c r="H37" s="29"/>
      <c r="I37" s="107">
        <f>+I35+I25+I19+I11</f>
        <v>13500048.65</v>
      </c>
      <c r="J37" s="92"/>
      <c r="K37" s="92"/>
      <c r="L37" s="107">
        <f>+L35+L25+L19+L11</f>
        <v>13772101.65</v>
      </c>
      <c r="M37" s="129"/>
      <c r="N37" s="107">
        <f>+N35+N25+N19+N11</f>
        <v>235724.86000000002</v>
      </c>
      <c r="O37" s="92"/>
      <c r="P37" s="107">
        <f>+P35+P25+P19+P11</f>
        <v>-752472.19</v>
      </c>
      <c r="Q37" s="92"/>
      <c r="R37" s="107">
        <f>+R35+R25+R19+R11</f>
        <v>305334.60000000003</v>
      </c>
      <c r="S37" s="92"/>
      <c r="T37" s="107">
        <f>+T35+T25+T19+T11</f>
        <v>-1190804.6500000001</v>
      </c>
      <c r="U37" s="120"/>
      <c r="V37" s="107">
        <f>+V35+V25+V19+V11</f>
        <v>150122.07</v>
      </c>
      <c r="W37" s="92"/>
      <c r="X37" s="107">
        <f>+X35+X25+X19+X11</f>
        <v>658051.6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5132945</v>
      </c>
      <c r="H39" s="29"/>
      <c r="I39" s="175">
        <v>4905725</v>
      </c>
      <c r="J39" s="92"/>
      <c r="K39" s="92"/>
      <c r="L39" s="175">
        <v>5261684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845.17</v>
      </c>
      <c r="O53" s="205"/>
      <c r="P53" s="204"/>
      <c r="Q53" s="205"/>
      <c r="R53" s="204">
        <f>+R10</f>
        <v>4234.33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234879.69</v>
      </c>
      <c r="O56" s="207"/>
      <c r="P56" s="206"/>
      <c r="Q56" s="207"/>
      <c r="R56" s="206">
        <f>+R35</f>
        <v>301100.27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-752472.19</v>
      </c>
      <c r="Q58" s="205"/>
      <c r="R58" s="204"/>
      <c r="S58" s="205"/>
      <c r="T58" s="204">
        <f>+T37</f>
        <v>-1190804.6500000001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235724.86000000002</v>
      </c>
      <c r="O61" s="205"/>
      <c r="P61" s="208">
        <f>SUM(P53:P60)</f>
        <v>-752472.19</v>
      </c>
      <c r="Q61" s="205"/>
      <c r="R61" s="208">
        <f>SUM(R53:R60)</f>
        <v>305334.60000000003</v>
      </c>
      <c r="S61" s="204"/>
      <c r="T61" s="208">
        <f>SUM(T53:T60)</f>
        <v>-1190804.6500000001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256198</v>
      </c>
      <c r="O63" s="205"/>
      <c r="P63" s="205">
        <v>-752472</v>
      </c>
      <c r="Q63" s="205"/>
      <c r="R63" s="205">
        <v>327640</v>
      </c>
      <c r="S63" s="205"/>
      <c r="T63" s="205">
        <v>-1190805</v>
      </c>
    </row>
    <row r="64" spans="2:23">
      <c r="L64" s="43" t="s">
        <v>388</v>
      </c>
      <c r="N64" s="209">
        <f>+N63-N61</f>
        <v>20473.139999999985</v>
      </c>
      <c r="O64" s="209"/>
      <c r="P64" s="209">
        <f>+P63-P61</f>
        <v>0.18999999994412065</v>
      </c>
      <c r="Q64" s="209"/>
      <c r="R64" s="209">
        <f>+R63-R61</f>
        <v>22305.399999999965</v>
      </c>
      <c r="S64" s="209"/>
      <c r="T64" s="209">
        <f>+T63-T61</f>
        <v>-0.34999999986030161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5" orientation="landscape" r:id="rId1"/>
  <headerFooter alignWithMargins="0">
    <oddFooter xml:space="preserve">&amp;CCash/Investment Designation Report
December 2018 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A31" sqref="A3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37892</v>
      </c>
      <c r="I7" s="4"/>
      <c r="J7" s="18">
        <v>37864</v>
      </c>
      <c r="K7" s="4"/>
      <c r="L7" s="18">
        <v>37528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4.84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398</v>
      </c>
      <c r="O11" s="13"/>
      <c r="P11" s="12">
        <v>1188</v>
      </c>
      <c r="Q11" s="13"/>
      <c r="R11" s="12">
        <v>1319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4.84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4.62</v>
      </c>
      <c r="G13" s="11"/>
      <c r="H13" s="12">
        <v>129409</v>
      </c>
      <c r="I13" s="13"/>
      <c r="J13" s="12">
        <v>128482</v>
      </c>
      <c r="K13" s="13"/>
      <c r="L13" s="12">
        <v>122322</v>
      </c>
      <c r="M13" s="13"/>
      <c r="N13" s="12">
        <v>644</v>
      </c>
      <c r="O13" s="13"/>
      <c r="P13" s="12">
        <v>1644</v>
      </c>
      <c r="Q13" s="13"/>
      <c r="R13" s="12">
        <v>1200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4.8899999999999997</v>
      </c>
      <c r="G14" s="11"/>
      <c r="H14" s="15">
        <v>74823</v>
      </c>
      <c r="I14" s="13"/>
      <c r="J14" s="15">
        <v>74321</v>
      </c>
      <c r="K14" s="13"/>
      <c r="L14" s="15">
        <v>71054</v>
      </c>
      <c r="M14" s="13"/>
      <c r="N14" s="15">
        <v>502</v>
      </c>
      <c r="O14" s="13"/>
      <c r="P14" s="15">
        <v>902</v>
      </c>
      <c r="Q14" s="13"/>
      <c r="R14" s="15">
        <v>600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767309</v>
      </c>
      <c r="I16" s="13"/>
      <c r="J16" s="16">
        <f>SUM(J11:J14)</f>
        <v>765880</v>
      </c>
      <c r="K16" s="13"/>
      <c r="L16" s="16">
        <f>SUM(L11:L14)</f>
        <v>756453</v>
      </c>
      <c r="M16" s="13"/>
      <c r="N16" s="16">
        <f>SUM(N11:N14)</f>
        <v>1544</v>
      </c>
      <c r="O16" s="13"/>
      <c r="P16" s="16">
        <f>SUM(P11:P14)</f>
        <v>3734</v>
      </c>
      <c r="Q16" s="13"/>
      <c r="R16" s="16">
        <f>SUM(R11:R14)</f>
        <v>3119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4.21</v>
      </c>
      <c r="G23" s="7"/>
      <c r="H23" s="15">
        <v>425565</v>
      </c>
      <c r="I23" s="13"/>
      <c r="J23" s="15">
        <v>423792</v>
      </c>
      <c r="K23" s="15">
        <v>425705</v>
      </c>
      <c r="L23" s="15">
        <v>451621</v>
      </c>
      <c r="M23" s="13"/>
      <c r="N23" s="15">
        <v>1773</v>
      </c>
      <c r="O23" s="13"/>
      <c r="P23" s="15">
        <v>5262</v>
      </c>
      <c r="Q23" s="13"/>
      <c r="R23" s="15">
        <v>5764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425565</v>
      </c>
      <c r="I25" s="13"/>
      <c r="J25" s="16">
        <f>SUM(J22:J23)</f>
        <v>423792</v>
      </c>
      <c r="K25" s="13"/>
      <c r="L25" s="16">
        <f>SUM(L22:L23)</f>
        <v>451621</v>
      </c>
      <c r="M25" s="13"/>
      <c r="N25" s="16">
        <f>SUM(N22:N23)</f>
        <v>1773</v>
      </c>
      <c r="O25" s="13"/>
      <c r="P25" s="16">
        <f>SUM(P22:P23)</f>
        <v>5262</v>
      </c>
      <c r="Q25" s="13"/>
      <c r="R25" s="16">
        <f>SUM(R22:R23)</f>
        <v>5764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1344121</v>
      </c>
      <c r="I31" s="13"/>
      <c r="J31" s="12">
        <v>1334754</v>
      </c>
      <c r="K31" s="13"/>
      <c r="L31" s="12">
        <v>1273625</v>
      </c>
      <c r="M31" s="13"/>
      <c r="N31" s="12">
        <v>5699</v>
      </c>
      <c r="O31" s="13" t="s">
        <v>31</v>
      </c>
      <c r="P31" s="12">
        <v>17024</v>
      </c>
      <c r="Q31" s="13"/>
      <c r="R31" s="12">
        <v>16189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5133</v>
      </c>
      <c r="I33" s="13"/>
      <c r="J33" s="12">
        <v>5112</v>
      </c>
      <c r="K33" s="13"/>
      <c r="L33" s="12">
        <v>4897</v>
      </c>
      <c r="M33" s="13"/>
      <c r="N33" s="12">
        <v>21</v>
      </c>
      <c r="O33" s="13"/>
      <c r="P33" s="12">
        <v>61</v>
      </c>
      <c r="Q33" s="13"/>
      <c r="R33" s="12">
        <v>56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4.84</v>
      </c>
      <c r="G34" s="7"/>
      <c r="H34" s="15">
        <v>9651256</v>
      </c>
      <c r="I34" s="13"/>
      <c r="J34" s="15">
        <v>6615642</v>
      </c>
      <c r="K34" s="13"/>
      <c r="L34" s="15">
        <v>8239134</v>
      </c>
      <c r="M34" s="13"/>
      <c r="N34" s="15">
        <v>38216</v>
      </c>
      <c r="O34" s="13"/>
      <c r="P34" s="15">
        <v>96301</v>
      </c>
      <c r="Q34" s="13"/>
      <c r="R34" s="15">
        <v>101419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11009069</v>
      </c>
      <c r="I36" s="13"/>
      <c r="J36" s="16">
        <f>SUM(J31:J34)</f>
        <v>7964067</v>
      </c>
      <c r="K36" s="13"/>
      <c r="L36" s="16">
        <f>SUM(L31:L34)</f>
        <v>9526280</v>
      </c>
      <c r="M36" s="13"/>
      <c r="N36" s="16">
        <f>SUM(N31:N34)</f>
        <v>43936</v>
      </c>
      <c r="O36" s="13"/>
      <c r="P36" s="16">
        <f>SUM(P31:P34)</f>
        <v>113386</v>
      </c>
      <c r="Q36" s="13"/>
      <c r="R36" s="16">
        <f>SUM(R31:R34)</f>
        <v>117664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B2F4F-FB48-47A3-AC40-9DF84FD9612A}">
  <sheetPr>
    <tabColor rgb="FFFFFF00"/>
    <pageSetUpPr fitToPage="1"/>
  </sheetPr>
  <dimension ref="A1:AA73"/>
  <sheetViews>
    <sheetView showGridLines="0" zoomScaleNormal="100" workbookViewId="0">
      <selection activeCell="B28" sqref="B28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7" t="s">
        <v>0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271"/>
    </row>
    <row r="2" spans="1:22" ht="15.75" thickBot="1">
      <c r="B2" s="438" t="s">
        <v>536</v>
      </c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271"/>
    </row>
    <row r="3" spans="1:22">
      <c r="A3" s="260"/>
      <c r="B3" s="271"/>
      <c r="C3" s="271"/>
      <c r="D3" s="409"/>
      <c r="E3" s="274"/>
      <c r="F3" s="409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9" t="s">
        <v>522</v>
      </c>
      <c r="F4" s="439"/>
      <c r="G4" s="439"/>
      <c r="H4" s="439"/>
      <c r="I4" s="439"/>
      <c r="J4" s="275"/>
      <c r="K4" s="439" t="s">
        <v>80</v>
      </c>
      <c r="L4" s="439"/>
      <c r="M4" s="439"/>
      <c r="N4" s="439"/>
      <c r="O4" s="439"/>
      <c r="P4" s="439"/>
      <c r="Q4" s="439"/>
      <c r="R4" s="439"/>
      <c r="S4" s="439"/>
      <c r="T4" s="439"/>
      <c r="U4" s="439"/>
      <c r="V4" s="271"/>
    </row>
    <row r="5" spans="1:22" ht="15.75" thickBot="1">
      <c r="A5" s="260"/>
      <c r="B5" s="345">
        <v>42886</v>
      </c>
      <c r="C5" s="271"/>
      <c r="D5" s="271"/>
      <c r="E5" s="274"/>
      <c r="F5" s="274"/>
      <c r="G5" s="274"/>
      <c r="H5" s="276"/>
      <c r="I5" s="274"/>
      <c r="J5" s="276"/>
      <c r="K5" s="440" t="s">
        <v>81</v>
      </c>
      <c r="L5" s="440"/>
      <c r="M5" s="440"/>
      <c r="N5" s="277"/>
      <c r="O5" s="440" t="s">
        <v>82</v>
      </c>
      <c r="P5" s="440"/>
      <c r="Q5" s="440"/>
      <c r="R5" s="277"/>
      <c r="S5" s="440" t="s">
        <v>166</v>
      </c>
      <c r="T5" s="440"/>
      <c r="U5" s="440"/>
      <c r="V5" s="271"/>
    </row>
    <row r="6" spans="1:22" ht="30">
      <c r="A6" s="255" t="s">
        <v>83</v>
      </c>
      <c r="B6" s="271"/>
      <c r="C6" s="271" t="s">
        <v>5</v>
      </c>
      <c r="D6" s="409" t="s">
        <v>8</v>
      </c>
      <c r="E6" s="278" t="s">
        <v>560</v>
      </c>
      <c r="F6" s="279"/>
      <c r="G6" s="278" t="s">
        <v>561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8"/>
      <c r="O6" s="281" t="s">
        <v>12</v>
      </c>
      <c r="P6" s="408"/>
      <c r="Q6" s="283" t="s">
        <v>86</v>
      </c>
      <c r="R6" s="284"/>
      <c r="S6" s="281" t="s">
        <v>12</v>
      </c>
      <c r="T6" s="40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4462655-408264</f>
        <v>4054391</v>
      </c>
      <c r="F9" s="287"/>
      <c r="G9" s="293">
        <f>4693610-2408291</f>
        <v>2285319</v>
      </c>
      <c r="H9" s="288"/>
      <c r="I9" s="293">
        <v>3093862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2.4142968981610512E-5</v>
      </c>
      <c r="E10" s="297">
        <v>408264</v>
      </c>
      <c r="F10" s="287"/>
      <c r="G10" s="297">
        <v>2408291</v>
      </c>
      <c r="H10" s="288"/>
      <c r="I10" s="297">
        <v>1407973</v>
      </c>
      <c r="J10" s="287"/>
      <c r="K10" s="297">
        <v>34</v>
      </c>
      <c r="L10" s="288"/>
      <c r="M10" s="297">
        <v>0</v>
      </c>
      <c r="N10" s="287"/>
      <c r="O10" s="297">
        <v>402</v>
      </c>
      <c r="P10" s="288"/>
      <c r="Q10" s="297">
        <v>0</v>
      </c>
      <c r="R10" s="287"/>
      <c r="S10" s="297">
        <v>3677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4462655</v>
      </c>
      <c r="F11" s="279"/>
      <c r="G11" s="301">
        <f>SUM(G8:G10)</f>
        <v>4693610</v>
      </c>
      <c r="H11" s="276"/>
      <c r="I11" s="301">
        <f>SUM(I9:I10)</f>
        <v>4501835</v>
      </c>
      <c r="J11" s="279"/>
      <c r="K11" s="301">
        <f>SUM(K9:K10)</f>
        <v>34</v>
      </c>
      <c r="L11" s="276"/>
      <c r="M11" s="301">
        <f>SUM(M9:M10)</f>
        <v>0</v>
      </c>
      <c r="N11" s="279"/>
      <c r="O11" s="301">
        <f>SUM(O9:O10)</f>
        <v>402</v>
      </c>
      <c r="P11" s="276"/>
      <c r="Q11" s="301">
        <f>SUM(Q9:Q10)</f>
        <v>0</v>
      </c>
      <c r="R11" s="279"/>
      <c r="S11" s="301">
        <f>SUM(S9:S10)</f>
        <v>3677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656781</v>
      </c>
      <c r="F14" s="309"/>
      <c r="G14" s="366">
        <v>681590</v>
      </c>
      <c r="H14" s="310"/>
      <c r="I14" s="308">
        <v>523206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4506552</v>
      </c>
      <c r="H17" s="310"/>
      <c r="I17" s="311">
        <v>3862825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407">
        <v>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12885784</v>
      </c>
      <c r="F23" s="317"/>
      <c r="G23" s="316">
        <f>SUM(G14:G22)</f>
        <v>11726203</v>
      </c>
      <c r="H23" s="318"/>
      <c r="I23" s="316">
        <f>SUM(I14:I22)</f>
        <v>11132611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1044</v>
      </c>
      <c r="L27" s="321"/>
      <c r="M27" s="320">
        <v>23765</v>
      </c>
      <c r="N27" s="320"/>
      <c r="O27" s="320">
        <v>8854</v>
      </c>
      <c r="P27" s="321"/>
      <c r="Q27" s="320">
        <v>156420</v>
      </c>
      <c r="R27" s="320"/>
      <c r="S27" s="320">
        <v>11228</v>
      </c>
      <c r="T27" s="321"/>
      <c r="U27" s="320">
        <v>10747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444170</v>
      </c>
      <c r="F28" s="303"/>
      <c r="G28" s="303">
        <v>460860</v>
      </c>
      <c r="H28" s="304"/>
      <c r="I28" s="303">
        <v>254849</v>
      </c>
      <c r="J28" s="303"/>
      <c r="K28" s="303">
        <v>16690</v>
      </c>
      <c r="L28" s="304"/>
      <c r="M28" s="303">
        <v>73866</v>
      </c>
      <c r="N28" s="303"/>
      <c r="O28" s="303">
        <v>206010</v>
      </c>
      <c r="P28" s="304"/>
      <c r="Q28" s="303">
        <v>2692465</v>
      </c>
      <c r="R28" s="303"/>
      <c r="S28" s="303">
        <v>254849</v>
      </c>
      <c r="T28" s="304"/>
      <c r="U28" s="303">
        <v>-5495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4077824</v>
      </c>
      <c r="F29" s="303"/>
      <c r="G29" s="303">
        <v>4150327</v>
      </c>
      <c r="H29" s="304"/>
      <c r="I29" s="303">
        <v>1500620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-1363</v>
      </c>
      <c r="N30" s="303"/>
      <c r="O30" s="303">
        <v>0</v>
      </c>
      <c r="P30" s="304"/>
      <c r="Q30" s="303">
        <v>-42759</v>
      </c>
      <c r="R30" s="303">
        <v>0</v>
      </c>
      <c r="S30" s="303">
        <v>0</v>
      </c>
      <c r="T30" s="304"/>
      <c r="U30" s="303">
        <v>-42371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-5614832</v>
      </c>
      <c r="H31" s="304"/>
      <c r="I31" s="303">
        <v>-2179624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-2277228</v>
      </c>
      <c r="F32" s="274"/>
      <c r="G32" s="316">
        <f>SUM(G27:G31)</f>
        <v>-1003645</v>
      </c>
      <c r="H32" s="325"/>
      <c r="I32" s="316">
        <f>SUM(I27:I31)</f>
        <v>-424155</v>
      </c>
      <c r="J32" s="274"/>
      <c r="K32" s="316">
        <f>SUM(K27:K31)</f>
        <v>17734</v>
      </c>
      <c r="L32" s="325"/>
      <c r="M32" s="316">
        <f>SUM(M27:M31)</f>
        <v>96268</v>
      </c>
      <c r="N32" s="274"/>
      <c r="O32" s="316">
        <f>SUM(O27:O31)</f>
        <v>214864</v>
      </c>
      <c r="P32" s="325"/>
      <c r="Q32" s="316">
        <f>SUM(Q27:Q31)</f>
        <v>2806126</v>
      </c>
      <c r="R32" s="274"/>
      <c r="S32" s="316">
        <f>SUM(S27:S31)</f>
        <v>266077</v>
      </c>
      <c r="T32" s="325"/>
      <c r="U32" s="316">
        <f>SUM(U27:U31)</f>
        <v>-37119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15071211</v>
      </c>
      <c r="F34" s="274"/>
      <c r="G34" s="326">
        <f>+G32+G23+G11</f>
        <v>15416168</v>
      </c>
      <c r="H34" s="276"/>
      <c r="I34" s="326">
        <f>+I32+I23+I11</f>
        <v>15210291</v>
      </c>
      <c r="J34" s="274"/>
      <c r="K34" s="326">
        <f>+K32+K23+K11</f>
        <v>17768</v>
      </c>
      <c r="L34" s="276"/>
      <c r="M34" s="326">
        <f>+M32+M23+M11</f>
        <v>96268</v>
      </c>
      <c r="N34" s="274"/>
      <c r="O34" s="326">
        <f>+O32+O23+O11</f>
        <v>215266</v>
      </c>
      <c r="P34" s="276"/>
      <c r="Q34" s="326">
        <f>+Q32+Q23+Q11</f>
        <v>2806126</v>
      </c>
      <c r="R34" s="274"/>
      <c r="S34" s="326">
        <f>+S32+S23+S11</f>
        <v>269754</v>
      </c>
      <c r="T34" s="276"/>
      <c r="U34" s="326">
        <f>+U32+U23+U11</f>
        <v>-37119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6620214</v>
      </c>
      <c r="F36" s="305"/>
      <c r="G36" s="320">
        <v>6353835</v>
      </c>
      <c r="H36" s="288"/>
      <c r="I36" s="320">
        <v>5710371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34</v>
      </c>
      <c r="L48" s="328"/>
      <c r="M48" s="332"/>
      <c r="N48" s="328"/>
      <c r="O48" s="332">
        <f>+O10</f>
        <v>402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17734</v>
      </c>
      <c r="L51" s="335"/>
      <c r="M51" s="320"/>
      <c r="N51" s="335"/>
      <c r="O51" s="320">
        <f>+O27+O28</f>
        <v>214864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97631</v>
      </c>
      <c r="N53" s="328"/>
      <c r="O53" s="332"/>
      <c r="P53" s="328"/>
      <c r="Q53" s="332">
        <f>+Q27+Q28</f>
        <v>2848885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-1363</v>
      </c>
      <c r="N54" s="328"/>
      <c r="O54" s="332"/>
      <c r="P54" s="328"/>
      <c r="Q54" s="332">
        <f>+Q30</f>
        <v>-42759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17768</v>
      </c>
      <c r="L56" s="328"/>
      <c r="M56" s="337">
        <f>SUM(M48:M55)</f>
        <v>96268</v>
      </c>
      <c r="N56" s="328"/>
      <c r="O56" s="337">
        <f>SUM(O48:O55)</f>
        <v>215266</v>
      </c>
      <c r="P56" s="332"/>
      <c r="Q56" s="337">
        <f>SUM(Q48:Q55)</f>
        <v>2806126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63122</v>
      </c>
      <c r="L59" s="341"/>
      <c r="M59" s="341">
        <f>+M58-M56</f>
        <v>110738</v>
      </c>
      <c r="N59" s="341"/>
      <c r="O59" s="340">
        <f>+O58-O56</f>
        <v>-56201</v>
      </c>
      <c r="P59" s="341"/>
      <c r="Q59" s="341">
        <f>+Q58-Q56</f>
        <v>-2281915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D5D7B-1E54-40E9-9C65-432B657904C3}">
  <sheetPr>
    <tabColor rgb="FFFFFF00"/>
    <pageSetUpPr fitToPage="1"/>
  </sheetPr>
  <dimension ref="A1:AA73"/>
  <sheetViews>
    <sheetView showGridLines="0" tabSelected="1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7" t="s">
        <v>0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271"/>
    </row>
    <row r="2" spans="1:22" ht="15.75" thickBot="1">
      <c r="B2" s="438" t="s">
        <v>569</v>
      </c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271"/>
    </row>
    <row r="3" spans="1:22">
      <c r="A3" s="260"/>
      <c r="B3" s="271"/>
      <c r="C3" s="271"/>
      <c r="D3" s="425"/>
      <c r="E3" s="274"/>
      <c r="F3" s="425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9" t="s">
        <v>522</v>
      </c>
      <c r="F4" s="439"/>
      <c r="G4" s="439"/>
      <c r="H4" s="439"/>
      <c r="I4" s="439"/>
      <c r="J4" s="275"/>
      <c r="K4" s="439" t="s">
        <v>80</v>
      </c>
      <c r="L4" s="439"/>
      <c r="M4" s="439"/>
      <c r="N4" s="439"/>
      <c r="O4" s="439"/>
      <c r="P4" s="439"/>
      <c r="Q4" s="439"/>
      <c r="R4" s="439"/>
      <c r="S4" s="439"/>
      <c r="T4" s="439"/>
      <c r="U4" s="439"/>
      <c r="V4" s="271"/>
    </row>
    <row r="5" spans="1:22" ht="15.75" thickBot="1">
      <c r="A5" s="260"/>
      <c r="B5" s="345">
        <v>43159</v>
      </c>
      <c r="C5" s="271"/>
      <c r="D5" s="271"/>
      <c r="E5" s="274"/>
      <c r="F5" s="274"/>
      <c r="G5" s="274"/>
      <c r="H5" s="276"/>
      <c r="I5" s="274"/>
      <c r="J5" s="276"/>
      <c r="K5" s="440" t="s">
        <v>81</v>
      </c>
      <c r="L5" s="440"/>
      <c r="M5" s="440"/>
      <c r="N5" s="277"/>
      <c r="O5" s="440" t="s">
        <v>82</v>
      </c>
      <c r="P5" s="440"/>
      <c r="Q5" s="440"/>
      <c r="R5" s="277"/>
      <c r="S5" s="440" t="s">
        <v>166</v>
      </c>
      <c r="T5" s="440"/>
      <c r="U5" s="440"/>
      <c r="V5" s="271"/>
    </row>
    <row r="6" spans="1:22" ht="30">
      <c r="A6" s="255" t="s">
        <v>83</v>
      </c>
      <c r="B6" s="271"/>
      <c r="C6" s="271" t="s">
        <v>5</v>
      </c>
      <c r="D6" s="425" t="s">
        <v>8</v>
      </c>
      <c r="E6" s="278" t="s">
        <v>580</v>
      </c>
      <c r="F6" s="279"/>
      <c r="G6" s="278" t="s">
        <v>581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24"/>
      <c r="O6" s="281" t="s">
        <v>12</v>
      </c>
      <c r="P6" s="424"/>
      <c r="Q6" s="283" t="s">
        <v>86</v>
      </c>
      <c r="R6" s="284"/>
      <c r="S6" s="281" t="s">
        <v>12</v>
      </c>
      <c r="T6" s="424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6399741-2908792</f>
        <v>3490949</v>
      </c>
      <c r="F9" s="287"/>
      <c r="G9" s="293">
        <f>4512504-2908859</f>
        <v>1603645</v>
      </c>
      <c r="H9" s="288"/>
      <c r="I9" s="293">
        <f>5652619-408259</f>
        <v>5244360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2.5439820986167783E-5</v>
      </c>
      <c r="E10" s="297">
        <v>2908792</v>
      </c>
      <c r="F10" s="287"/>
      <c r="G10" s="297">
        <v>2908859</v>
      </c>
      <c r="H10" s="288"/>
      <c r="I10" s="297">
        <v>408259</v>
      </c>
      <c r="J10" s="287"/>
      <c r="K10" s="297">
        <v>74</v>
      </c>
      <c r="L10" s="288"/>
      <c r="M10" s="297">
        <v>0</v>
      </c>
      <c r="N10" s="287"/>
      <c r="O10" s="297">
        <v>631</v>
      </c>
      <c r="P10" s="288"/>
      <c r="Q10" s="297">
        <v>0</v>
      </c>
      <c r="R10" s="287"/>
      <c r="S10" s="297">
        <v>348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SUM(E8:E10)</f>
        <v>6399741</v>
      </c>
      <c r="F11" s="279"/>
      <c r="G11" s="301">
        <f>SUM(G8:G10)</f>
        <v>4512504</v>
      </c>
      <c r="H11" s="276"/>
      <c r="I11" s="301">
        <f>SUM(I8:I10)</f>
        <v>5652619</v>
      </c>
      <c r="J11" s="279"/>
      <c r="K11" s="301">
        <f>SUM(K9:K10)</f>
        <v>74</v>
      </c>
      <c r="L11" s="276"/>
      <c r="M11" s="301">
        <f>SUM(M9:M10)</f>
        <v>0</v>
      </c>
      <c r="N11" s="279"/>
      <c r="O11" s="301">
        <f>SUM(O9:O10)</f>
        <v>631</v>
      </c>
      <c r="P11" s="276"/>
      <c r="Q11" s="301">
        <f>SUM(Q9:Q10)</f>
        <v>0</v>
      </c>
      <c r="R11" s="279"/>
      <c r="S11" s="301">
        <f>SUM(S9:S10)</f>
        <v>348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648677</v>
      </c>
      <c r="F14" s="309"/>
      <c r="G14" s="366">
        <v>663139</v>
      </c>
      <c r="H14" s="310"/>
      <c r="I14" s="366">
        <v>642184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68">
        <v>768431.67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68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3080182</v>
      </c>
      <c r="H17" s="310"/>
      <c r="I17" s="368">
        <v>3482422.62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68">
        <v>3178147.97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68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/>
      <c r="F20" s="309"/>
      <c r="G20" s="368"/>
      <c r="H20" s="310"/>
      <c r="I20" s="368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0</v>
      </c>
      <c r="F21" s="309"/>
      <c r="G21" s="368">
        <v>0</v>
      </c>
      <c r="H21" s="310"/>
      <c r="I21" s="368">
        <v>4000000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429718</v>
      </c>
      <c r="F22" s="313"/>
      <c r="G22" s="346">
        <v>429718</v>
      </c>
      <c r="H22" s="310"/>
      <c r="I22" s="407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9196778</v>
      </c>
      <c r="F23" s="317"/>
      <c r="G23" s="316">
        <f>SUM(G14:G22)</f>
        <v>8211240</v>
      </c>
      <c r="H23" s="318"/>
      <c r="I23" s="316">
        <f>SUM(I14:I22)</f>
        <v>12871186.26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1749</v>
      </c>
      <c r="L27" s="321"/>
      <c r="M27" s="320">
        <v>12713</v>
      </c>
      <c r="N27" s="320"/>
      <c r="O27" s="320">
        <v>8510</v>
      </c>
      <c r="P27" s="321"/>
      <c r="Q27" s="320">
        <v>-26962</v>
      </c>
      <c r="R27" s="320"/>
      <c r="S27" s="320">
        <v>6623</v>
      </c>
      <c r="T27" s="321"/>
      <c r="U27" s="320">
        <v>119245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655127</v>
      </c>
      <c r="F28" s="303"/>
      <c r="G28" s="303">
        <v>667630</v>
      </c>
      <c r="H28" s="304"/>
      <c r="I28" s="303">
        <v>423516</v>
      </c>
      <c r="J28" s="303"/>
      <c r="K28" s="303">
        <v>12503</v>
      </c>
      <c r="L28" s="304"/>
      <c r="M28" s="303">
        <v>-50116</v>
      </c>
      <c r="N28" s="303"/>
      <c r="O28" s="303">
        <v>206771</v>
      </c>
      <c r="P28" s="304"/>
      <c r="Q28" s="303">
        <v>-894040</v>
      </c>
      <c r="R28" s="303"/>
      <c r="S28" s="303">
        <v>168667</v>
      </c>
      <c r="T28" s="304"/>
      <c r="U28" s="303">
        <v>2216655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3273668</v>
      </c>
      <c r="F29" s="303"/>
      <c r="G29" s="303">
        <v>3222372</v>
      </c>
      <c r="H29" s="304"/>
      <c r="I29" s="303">
        <v>3685079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/>
      <c r="J30" s="303"/>
      <c r="K30" s="303">
        <v>0</v>
      </c>
      <c r="L30" s="304"/>
      <c r="M30" s="303">
        <v>-1180</v>
      </c>
      <c r="N30" s="303"/>
      <c r="O30" s="303">
        <v>0</v>
      </c>
      <c r="P30" s="304"/>
      <c r="Q30" s="303">
        <v>-33915</v>
      </c>
      <c r="R30" s="303">
        <v>0</v>
      </c>
      <c r="S30" s="303">
        <v>0</v>
      </c>
      <c r="T30" s="304"/>
      <c r="U30" s="303">
        <v>-32196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-3118320</v>
      </c>
      <c r="F31" s="303"/>
      <c r="G31" s="303">
        <v>-2118320</v>
      </c>
      <c r="H31" s="304"/>
      <c r="I31" s="303">
        <v>-6799222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810475</v>
      </c>
      <c r="F32" s="274"/>
      <c r="G32" s="316">
        <f>SUM(G27:G31)</f>
        <v>1771682</v>
      </c>
      <c r="H32" s="325"/>
      <c r="I32" s="316">
        <f>SUM(I27:I31)</f>
        <v>-2690627</v>
      </c>
      <c r="J32" s="274"/>
      <c r="K32" s="316">
        <f>SUM(K27:K31)</f>
        <v>14252</v>
      </c>
      <c r="L32" s="325"/>
      <c r="M32" s="316">
        <f>SUM(M27:M31)</f>
        <v>-38583</v>
      </c>
      <c r="N32" s="274"/>
      <c r="O32" s="316">
        <f>SUM(O27:O31)</f>
        <v>215281</v>
      </c>
      <c r="P32" s="325"/>
      <c r="Q32" s="316">
        <f>SUM(Q27:Q31)</f>
        <v>-954917</v>
      </c>
      <c r="R32" s="274"/>
      <c r="S32" s="316">
        <f>SUM(S27:S31)</f>
        <v>175290</v>
      </c>
      <c r="T32" s="325"/>
      <c r="U32" s="316">
        <f>SUM(U27:U31)</f>
        <v>2303704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16406994</v>
      </c>
      <c r="F34" s="274"/>
      <c r="G34" s="326">
        <f>+G32+G23+G11</f>
        <v>14495426</v>
      </c>
      <c r="H34" s="276"/>
      <c r="I34" s="326">
        <f>+I32+I23+I11</f>
        <v>15833178.26</v>
      </c>
      <c r="J34" s="274"/>
      <c r="K34" s="326">
        <f>+K32+K23+K11</f>
        <v>14326</v>
      </c>
      <c r="L34" s="276"/>
      <c r="M34" s="326">
        <f>+M32+M23+M11</f>
        <v>-38583</v>
      </c>
      <c r="N34" s="274"/>
      <c r="O34" s="326">
        <f>+O32+O23+O11</f>
        <v>215912</v>
      </c>
      <c r="P34" s="276"/>
      <c r="Q34" s="326">
        <f>+Q32+Q23+Q11</f>
        <v>-954917</v>
      </c>
      <c r="R34" s="274"/>
      <c r="S34" s="326">
        <f>+S32+S23+S11</f>
        <v>175638</v>
      </c>
      <c r="T34" s="276"/>
      <c r="U34" s="326">
        <f>+U32+U23+U11</f>
        <v>2303704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5947157</v>
      </c>
      <c r="F36" s="305"/>
      <c r="G36" s="320">
        <v>5927019</v>
      </c>
      <c r="H36" s="288"/>
      <c r="I36" s="320">
        <v>6357473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74</v>
      </c>
      <c r="L48" s="328"/>
      <c r="M48" s="332"/>
      <c r="N48" s="328"/>
      <c r="O48" s="332">
        <f>+O10</f>
        <v>631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14252</v>
      </c>
      <c r="L51" s="335"/>
      <c r="M51" s="320"/>
      <c r="N51" s="335"/>
      <c r="O51" s="320">
        <f>+O27+O28</f>
        <v>215281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-37403</v>
      </c>
      <c r="N53" s="328"/>
      <c r="O53" s="332"/>
      <c r="P53" s="328"/>
      <c r="Q53" s="332">
        <f>+Q27+Q28</f>
        <v>-921002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-1180</v>
      </c>
      <c r="N54" s="328"/>
      <c r="O54" s="332"/>
      <c r="P54" s="328"/>
      <c r="Q54" s="332">
        <f>+Q30</f>
        <v>-33915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14326</v>
      </c>
      <c r="L56" s="328"/>
      <c r="M56" s="337">
        <f>SUM(M48:M55)</f>
        <v>-38583</v>
      </c>
      <c r="N56" s="328"/>
      <c r="O56" s="337">
        <f>SUM(O48:O55)</f>
        <v>215912</v>
      </c>
      <c r="P56" s="332"/>
      <c r="Q56" s="337">
        <f>SUM(Q48:Q55)</f>
        <v>-954917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66564</v>
      </c>
      <c r="L59" s="341"/>
      <c r="M59" s="341">
        <f>+M58-M56</f>
        <v>245589</v>
      </c>
      <c r="N59" s="341"/>
      <c r="O59" s="340">
        <f>+O58-O56</f>
        <v>-56847</v>
      </c>
      <c r="P59" s="341"/>
      <c r="Q59" s="341">
        <f>+Q58-Q56</f>
        <v>1479128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1C9CE-DFBF-4EDC-8ECC-F458F880DB9F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7" t="s">
        <v>0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271"/>
    </row>
    <row r="2" spans="1:22" ht="15.75" thickBot="1">
      <c r="B2" s="438" t="s">
        <v>569</v>
      </c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271"/>
    </row>
    <row r="3" spans="1:22">
      <c r="A3" s="260"/>
      <c r="B3" s="271"/>
      <c r="C3" s="271"/>
      <c r="D3" s="423"/>
      <c r="E3" s="274"/>
      <c r="F3" s="42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9" t="s">
        <v>522</v>
      </c>
      <c r="F4" s="439"/>
      <c r="G4" s="439"/>
      <c r="H4" s="439"/>
      <c r="I4" s="439"/>
      <c r="J4" s="275"/>
      <c r="K4" s="439" t="s">
        <v>80</v>
      </c>
      <c r="L4" s="439"/>
      <c r="M4" s="439"/>
      <c r="N4" s="439"/>
      <c r="O4" s="439"/>
      <c r="P4" s="439"/>
      <c r="Q4" s="439"/>
      <c r="R4" s="439"/>
      <c r="S4" s="439"/>
      <c r="T4" s="439"/>
      <c r="U4" s="439"/>
      <c r="V4" s="271"/>
    </row>
    <row r="5" spans="1:22" ht="15.75" thickBot="1">
      <c r="A5" s="260"/>
      <c r="B5" s="345">
        <v>43131</v>
      </c>
      <c r="C5" s="271"/>
      <c r="D5" s="271"/>
      <c r="E5" s="274"/>
      <c r="F5" s="274"/>
      <c r="G5" s="274"/>
      <c r="H5" s="276"/>
      <c r="I5" s="274"/>
      <c r="J5" s="276"/>
      <c r="K5" s="440" t="s">
        <v>81</v>
      </c>
      <c r="L5" s="440"/>
      <c r="M5" s="440"/>
      <c r="N5" s="277"/>
      <c r="O5" s="440" t="s">
        <v>82</v>
      </c>
      <c r="P5" s="440"/>
      <c r="Q5" s="440"/>
      <c r="R5" s="277"/>
      <c r="S5" s="440" t="s">
        <v>166</v>
      </c>
      <c r="T5" s="440"/>
      <c r="U5" s="440"/>
      <c r="V5" s="271"/>
    </row>
    <row r="6" spans="1:22" ht="30">
      <c r="A6" s="255" t="s">
        <v>83</v>
      </c>
      <c r="B6" s="271"/>
      <c r="C6" s="271" t="s">
        <v>5</v>
      </c>
      <c r="D6" s="423" t="s">
        <v>8</v>
      </c>
      <c r="E6" s="278" t="s">
        <v>578</v>
      </c>
      <c r="F6" s="279"/>
      <c r="G6" s="278" t="s">
        <v>579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22"/>
      <c r="O6" s="281" t="s">
        <v>12</v>
      </c>
      <c r="P6" s="422"/>
      <c r="Q6" s="283" t="s">
        <v>86</v>
      </c>
      <c r="R6" s="284"/>
      <c r="S6" s="281" t="s">
        <v>12</v>
      </c>
      <c r="T6" s="42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4570417-2908732</f>
        <v>1661685</v>
      </c>
      <c r="F9" s="287"/>
      <c r="G9" s="293">
        <f>6399741-2908792</f>
        <v>3490949</v>
      </c>
      <c r="H9" s="288"/>
      <c r="I9" s="293">
        <f>3440635-408255</f>
        <v>3032380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2.3033854265147852E-5</v>
      </c>
      <c r="E10" s="297">
        <v>2908732</v>
      </c>
      <c r="F10" s="287"/>
      <c r="G10" s="297">
        <v>2908792</v>
      </c>
      <c r="H10" s="288"/>
      <c r="I10" s="297">
        <v>408255</v>
      </c>
      <c r="J10" s="287"/>
      <c r="K10" s="297">
        <v>67</v>
      </c>
      <c r="L10" s="288"/>
      <c r="M10" s="297">
        <v>0</v>
      </c>
      <c r="N10" s="287"/>
      <c r="O10" s="297">
        <v>557</v>
      </c>
      <c r="P10" s="288"/>
      <c r="Q10" s="297">
        <v>0</v>
      </c>
      <c r="R10" s="287"/>
      <c r="S10" s="297">
        <v>337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4570417</v>
      </c>
      <c r="F11" s="279"/>
      <c r="G11" s="301">
        <f>SUM(G8:G10)</f>
        <v>6399741</v>
      </c>
      <c r="H11" s="276"/>
      <c r="I11" s="301">
        <f>SUM(I9:I10)</f>
        <v>3440635</v>
      </c>
      <c r="J11" s="279"/>
      <c r="K11" s="301">
        <f>SUM(K9:K10)</f>
        <v>67</v>
      </c>
      <c r="L11" s="276"/>
      <c r="M11" s="301">
        <f>SUM(M9:M10)</f>
        <v>0</v>
      </c>
      <c r="N11" s="279"/>
      <c r="O11" s="301">
        <f>SUM(O9:O10)</f>
        <v>557</v>
      </c>
      <c r="P11" s="276"/>
      <c r="Q11" s="301">
        <f>SUM(Q9:Q10)</f>
        <v>0</v>
      </c>
      <c r="R11" s="279"/>
      <c r="S11" s="301">
        <f>SUM(S9:S10)</f>
        <v>337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660788</v>
      </c>
      <c r="F14" s="309"/>
      <c r="G14" s="366">
        <v>648677</v>
      </c>
      <c r="H14" s="310"/>
      <c r="I14" s="366">
        <v>630166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68">
        <v>768431.67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68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68">
        <v>3482422.62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68">
        <v>3178147.97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68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/>
      <c r="F20" s="309"/>
      <c r="G20" s="368"/>
      <c r="H20" s="310"/>
      <c r="I20" s="368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0</v>
      </c>
      <c r="F21" s="309"/>
      <c r="G21" s="368">
        <v>0</v>
      </c>
      <c r="H21" s="310"/>
      <c r="I21" s="368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429718</v>
      </c>
      <c r="F22" s="313"/>
      <c r="G22" s="346">
        <v>429718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9208889</v>
      </c>
      <c r="F23" s="317"/>
      <c r="G23" s="316">
        <f>SUM(G14:G22)</f>
        <v>9196778</v>
      </c>
      <c r="H23" s="318"/>
      <c r="I23" s="316">
        <f>SUM(I14:I22)</f>
        <v>10859168.26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256</v>
      </c>
      <c r="L27" s="321"/>
      <c r="M27" s="320">
        <v>-12367</v>
      </c>
      <c r="N27" s="320"/>
      <c r="O27" s="320">
        <v>6762</v>
      </c>
      <c r="P27" s="321"/>
      <c r="Q27" s="320">
        <v>-39675</v>
      </c>
      <c r="R27" s="320"/>
      <c r="S27" s="320">
        <v>5442</v>
      </c>
      <c r="T27" s="321"/>
      <c r="U27" s="320">
        <v>108195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646096</v>
      </c>
      <c r="F28" s="303"/>
      <c r="G28" s="303">
        <v>655127</v>
      </c>
      <c r="H28" s="304"/>
      <c r="I28" s="303">
        <v>409228</v>
      </c>
      <c r="J28" s="303"/>
      <c r="K28" s="303">
        <v>9032</v>
      </c>
      <c r="L28" s="304"/>
      <c r="M28" s="303">
        <v>-288644</v>
      </c>
      <c r="N28" s="303"/>
      <c r="O28" s="303">
        <v>194268</v>
      </c>
      <c r="P28" s="304"/>
      <c r="Q28" s="303">
        <v>-843924</v>
      </c>
      <c r="R28" s="303"/>
      <c r="S28" s="303">
        <v>154378</v>
      </c>
      <c r="T28" s="304"/>
      <c r="U28" s="303">
        <v>2121380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3563441</v>
      </c>
      <c r="F29" s="303"/>
      <c r="G29" s="303">
        <v>3273668</v>
      </c>
      <c r="H29" s="304"/>
      <c r="I29" s="303">
        <v>3590656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/>
      <c r="J30" s="303"/>
      <c r="K30" s="303">
        <v>0</v>
      </c>
      <c r="L30" s="304"/>
      <c r="M30" s="303">
        <v>-1129</v>
      </c>
      <c r="N30" s="303"/>
      <c r="O30" s="303">
        <v>0</v>
      </c>
      <c r="P30" s="304"/>
      <c r="Q30" s="303">
        <v>-32735</v>
      </c>
      <c r="R30" s="303">
        <v>0</v>
      </c>
      <c r="S30" s="303">
        <v>0</v>
      </c>
      <c r="T30" s="304"/>
      <c r="U30" s="303">
        <v>-31344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-3118320</v>
      </c>
      <c r="F31" s="303"/>
      <c r="G31" s="303">
        <v>-3118320</v>
      </c>
      <c r="H31" s="304"/>
      <c r="I31" s="303">
        <v>-4799222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1091217</v>
      </c>
      <c r="F32" s="274"/>
      <c r="G32" s="316">
        <f>SUM(G27:G31)</f>
        <v>810475</v>
      </c>
      <c r="H32" s="325"/>
      <c r="I32" s="316">
        <f>SUM(I27:I31)</f>
        <v>-799338</v>
      </c>
      <c r="J32" s="274"/>
      <c r="K32" s="316">
        <f>SUM(K27:K31)</f>
        <v>9288</v>
      </c>
      <c r="L32" s="325"/>
      <c r="M32" s="316">
        <f>SUM(M27:M31)</f>
        <v>-302140</v>
      </c>
      <c r="N32" s="274"/>
      <c r="O32" s="316">
        <f>SUM(O27:O31)</f>
        <v>201030</v>
      </c>
      <c r="P32" s="325"/>
      <c r="Q32" s="316">
        <f>SUM(Q27:Q31)</f>
        <v>-916334</v>
      </c>
      <c r="R32" s="274"/>
      <c r="S32" s="316">
        <f>SUM(S27:S31)</f>
        <v>159820</v>
      </c>
      <c r="T32" s="325"/>
      <c r="U32" s="316">
        <f>SUM(U27:U31)</f>
        <v>2198231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14870523</v>
      </c>
      <c r="F34" s="274"/>
      <c r="G34" s="326">
        <f>+G32+G23+G11</f>
        <v>16406994</v>
      </c>
      <c r="H34" s="276"/>
      <c r="I34" s="326">
        <f>+I32+I23+I11</f>
        <v>13500465.26</v>
      </c>
      <c r="J34" s="274"/>
      <c r="K34" s="326">
        <f>+K32+K23+K11</f>
        <v>9355</v>
      </c>
      <c r="L34" s="276"/>
      <c r="M34" s="326">
        <f>+M32+M23+M11</f>
        <v>-302140</v>
      </c>
      <c r="N34" s="274"/>
      <c r="O34" s="326">
        <f>+O32+O23+O11</f>
        <v>201587</v>
      </c>
      <c r="P34" s="276"/>
      <c r="Q34" s="326">
        <f>+Q32+Q23+Q11</f>
        <v>-916334</v>
      </c>
      <c r="R34" s="274"/>
      <c r="S34" s="326">
        <f>+S32+S23+S11</f>
        <v>160157</v>
      </c>
      <c r="T34" s="276"/>
      <c r="U34" s="326">
        <f>+U32+U23+U11</f>
        <v>2198231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6110233.8499999996</v>
      </c>
      <c r="F36" s="305"/>
      <c r="G36" s="320">
        <v>5947157</v>
      </c>
      <c r="H36" s="288"/>
      <c r="I36" s="320">
        <v>6373219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67</v>
      </c>
      <c r="L48" s="328"/>
      <c r="M48" s="332"/>
      <c r="N48" s="328"/>
      <c r="O48" s="332">
        <f>+O10</f>
        <v>557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9288</v>
      </c>
      <c r="L51" s="335"/>
      <c r="M51" s="320"/>
      <c r="N51" s="335"/>
      <c r="O51" s="320">
        <f>+O27+O28</f>
        <v>201030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-301011</v>
      </c>
      <c r="N53" s="328"/>
      <c r="O53" s="332"/>
      <c r="P53" s="328"/>
      <c r="Q53" s="332">
        <f>+Q27+Q28</f>
        <v>-883599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-1129</v>
      </c>
      <c r="N54" s="328"/>
      <c r="O54" s="332"/>
      <c r="P54" s="328"/>
      <c r="Q54" s="332">
        <f>+Q30</f>
        <v>-32735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9355</v>
      </c>
      <c r="L56" s="328"/>
      <c r="M56" s="337">
        <f>SUM(M48:M55)</f>
        <v>-302140</v>
      </c>
      <c r="N56" s="328"/>
      <c r="O56" s="337">
        <f>SUM(O48:O55)</f>
        <v>201587</v>
      </c>
      <c r="P56" s="332"/>
      <c r="Q56" s="337">
        <f>SUM(Q48:Q55)</f>
        <v>-916334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71535</v>
      </c>
      <c r="L59" s="341"/>
      <c r="M59" s="341">
        <f>+M58-M56</f>
        <v>509146</v>
      </c>
      <c r="N59" s="341"/>
      <c r="O59" s="340">
        <f>+O58-O56</f>
        <v>-42522</v>
      </c>
      <c r="P59" s="341"/>
      <c r="Q59" s="341">
        <f>+Q58-Q56</f>
        <v>1440545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40F73-06C4-4AD5-9A54-47051754587F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7" t="s">
        <v>0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271"/>
    </row>
    <row r="2" spans="1:22" ht="15.75" thickBot="1">
      <c r="B2" s="438" t="s">
        <v>569</v>
      </c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271"/>
    </row>
    <row r="3" spans="1:22">
      <c r="A3" s="260"/>
      <c r="B3" s="271"/>
      <c r="C3" s="271"/>
      <c r="D3" s="421"/>
      <c r="E3" s="274"/>
      <c r="F3" s="421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9" t="s">
        <v>522</v>
      </c>
      <c r="F4" s="439"/>
      <c r="G4" s="439"/>
      <c r="H4" s="439"/>
      <c r="I4" s="439"/>
      <c r="J4" s="275"/>
      <c r="K4" s="439" t="s">
        <v>80</v>
      </c>
      <c r="L4" s="439"/>
      <c r="M4" s="439"/>
      <c r="N4" s="439"/>
      <c r="O4" s="439"/>
      <c r="P4" s="439"/>
      <c r="Q4" s="439"/>
      <c r="R4" s="439"/>
      <c r="S4" s="439"/>
      <c r="T4" s="439"/>
      <c r="U4" s="439"/>
      <c r="V4" s="271"/>
    </row>
    <row r="5" spans="1:22" ht="15.75" thickBot="1">
      <c r="A5" s="260"/>
      <c r="B5" s="345">
        <v>43100</v>
      </c>
      <c r="C5" s="271"/>
      <c r="D5" s="271"/>
      <c r="E5" s="274"/>
      <c r="F5" s="274"/>
      <c r="G5" s="274"/>
      <c r="H5" s="276"/>
      <c r="I5" s="274"/>
      <c r="J5" s="276"/>
      <c r="K5" s="440" t="s">
        <v>81</v>
      </c>
      <c r="L5" s="440"/>
      <c r="M5" s="440"/>
      <c r="N5" s="277"/>
      <c r="O5" s="440" t="s">
        <v>82</v>
      </c>
      <c r="P5" s="440"/>
      <c r="Q5" s="440"/>
      <c r="R5" s="277"/>
      <c r="S5" s="440" t="s">
        <v>166</v>
      </c>
      <c r="T5" s="440"/>
      <c r="U5" s="440"/>
      <c r="V5" s="271"/>
    </row>
    <row r="6" spans="1:22" ht="30">
      <c r="A6" s="255" t="s">
        <v>83</v>
      </c>
      <c r="B6" s="271"/>
      <c r="C6" s="271" t="s">
        <v>5</v>
      </c>
      <c r="D6" s="421" t="s">
        <v>8</v>
      </c>
      <c r="E6" s="278" t="s">
        <v>577</v>
      </c>
      <c r="F6" s="279"/>
      <c r="G6" s="278" t="s">
        <v>576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20"/>
      <c r="O6" s="281" t="s">
        <v>12</v>
      </c>
      <c r="P6" s="420"/>
      <c r="Q6" s="283" t="s">
        <v>86</v>
      </c>
      <c r="R6" s="284"/>
      <c r="S6" s="281" t="s">
        <v>12</v>
      </c>
      <c r="T6" s="420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4642060-2908665</f>
        <v>1733395</v>
      </c>
      <c r="F9" s="287"/>
      <c r="G9" s="293">
        <f>4570417-2908732</f>
        <v>1661685</v>
      </c>
      <c r="H9" s="288"/>
      <c r="I9" s="293">
        <v>3478122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2.5440930912265941E-5</v>
      </c>
      <c r="E10" s="297">
        <v>2908665.19</v>
      </c>
      <c r="F10" s="287"/>
      <c r="G10" s="297">
        <v>2908732</v>
      </c>
      <c r="H10" s="288"/>
      <c r="I10" s="297">
        <v>408248</v>
      </c>
      <c r="J10" s="287"/>
      <c r="K10" s="297">
        <v>74</v>
      </c>
      <c r="L10" s="288"/>
      <c r="M10" s="297">
        <v>0</v>
      </c>
      <c r="N10" s="287"/>
      <c r="O10" s="297">
        <v>490</v>
      </c>
      <c r="P10" s="288"/>
      <c r="Q10" s="297">
        <v>0</v>
      </c>
      <c r="R10" s="287"/>
      <c r="S10" s="297">
        <v>416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4642060.1899999995</v>
      </c>
      <c r="F11" s="279"/>
      <c r="G11" s="301">
        <f>SUM(G8:G10)</f>
        <v>4570417</v>
      </c>
      <c r="H11" s="276"/>
      <c r="I11" s="301">
        <f>SUM(I9:I10)</f>
        <v>3886370</v>
      </c>
      <c r="J11" s="279"/>
      <c r="K11" s="301">
        <f>SUM(K9:K10)</f>
        <v>74</v>
      </c>
      <c r="L11" s="276"/>
      <c r="M11" s="301">
        <f>SUM(M9:M10)</f>
        <v>0</v>
      </c>
      <c r="N11" s="279"/>
      <c r="O11" s="301">
        <f>SUM(O9:O10)</f>
        <v>490</v>
      </c>
      <c r="P11" s="276"/>
      <c r="Q11" s="301">
        <f>SUM(Q9:Q10)</f>
        <v>0</v>
      </c>
      <c r="R11" s="279"/>
      <c r="S11" s="301">
        <f>SUM(S9:S10)</f>
        <v>416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701775</v>
      </c>
      <c r="F14" s="309"/>
      <c r="G14" s="366">
        <v>660788</v>
      </c>
      <c r="H14" s="310"/>
      <c r="I14" s="366">
        <v>620129.75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68">
        <v>768431.67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68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68">
        <v>3482422.62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68">
        <v>3178147.97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68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/>
      <c r="F20" s="309"/>
      <c r="G20" s="368"/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429718</v>
      </c>
      <c r="F22" s="313"/>
      <c r="G22" s="346">
        <v>429718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11249876</v>
      </c>
      <c r="F23" s="317"/>
      <c r="G23" s="316">
        <f>SUM(G14:G22)</f>
        <v>9208889</v>
      </c>
      <c r="H23" s="318"/>
      <c r="I23" s="316">
        <f>SUM(I14:I22)</f>
        <v>10849132.01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339</v>
      </c>
      <c r="L27" s="321"/>
      <c r="M27" s="320">
        <v>-41327</v>
      </c>
      <c r="N27" s="320"/>
      <c r="O27" s="320">
        <v>6506</v>
      </c>
      <c r="P27" s="321"/>
      <c r="Q27" s="320">
        <v>-27308</v>
      </c>
      <c r="R27" s="320"/>
      <c r="S27" s="320">
        <v>6167</v>
      </c>
      <c r="T27" s="321"/>
      <c r="U27" s="320">
        <v>14019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638159</v>
      </c>
      <c r="F28" s="303"/>
      <c r="G28" s="303">
        <v>646096</v>
      </c>
      <c r="H28" s="304"/>
      <c r="I28" s="303">
        <v>398480</v>
      </c>
      <c r="J28" s="303"/>
      <c r="K28" s="303">
        <v>7937</v>
      </c>
      <c r="L28" s="304"/>
      <c r="M28" s="303">
        <v>-478978</v>
      </c>
      <c r="N28" s="303"/>
      <c r="O28" s="303">
        <v>185236</v>
      </c>
      <c r="P28" s="304"/>
      <c r="Q28" s="303">
        <v>-555280</v>
      </c>
      <c r="R28" s="303"/>
      <c r="S28" s="303">
        <v>177299</v>
      </c>
      <c r="T28" s="304"/>
      <c r="U28" s="303">
        <v>-76302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4051171</v>
      </c>
      <c r="F29" s="303"/>
      <c r="G29" s="303">
        <v>3563441</v>
      </c>
      <c r="H29" s="304"/>
      <c r="I29" s="303">
        <v>3367092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-8752</v>
      </c>
      <c r="N30" s="303"/>
      <c r="O30" s="303">
        <v>0</v>
      </c>
      <c r="P30" s="304"/>
      <c r="Q30" s="303">
        <v>-31606</v>
      </c>
      <c r="R30" s="303">
        <v>0</v>
      </c>
      <c r="S30" s="303">
        <v>0</v>
      </c>
      <c r="T30" s="304"/>
      <c r="U30" s="303">
        <v>-22853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-5118320</v>
      </c>
      <c r="F31" s="303"/>
      <c r="G31" s="303">
        <v>-3118320</v>
      </c>
      <c r="H31" s="304"/>
      <c r="I31" s="303">
        <v>-4799222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-428990</v>
      </c>
      <c r="F32" s="274"/>
      <c r="G32" s="316">
        <f>SUM(G27:G31)</f>
        <v>1091217</v>
      </c>
      <c r="H32" s="325"/>
      <c r="I32" s="316">
        <f>SUM(I27:I31)</f>
        <v>-1033650</v>
      </c>
      <c r="J32" s="274"/>
      <c r="K32" s="316">
        <f>SUM(K27:K31)</f>
        <v>8276</v>
      </c>
      <c r="L32" s="325"/>
      <c r="M32" s="316">
        <f>SUM(M27:M31)</f>
        <v>-529057</v>
      </c>
      <c r="N32" s="274"/>
      <c r="O32" s="316">
        <f>SUM(O27:O31)</f>
        <v>191742</v>
      </c>
      <c r="P32" s="325"/>
      <c r="Q32" s="316">
        <f>SUM(Q27:Q31)</f>
        <v>-614194</v>
      </c>
      <c r="R32" s="274"/>
      <c r="S32" s="316">
        <f>SUM(S27:S31)</f>
        <v>183466</v>
      </c>
      <c r="T32" s="325"/>
      <c r="U32" s="316">
        <f>SUM(U27:U31)</f>
        <v>-85136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15462946.189999999</v>
      </c>
      <c r="F34" s="274"/>
      <c r="G34" s="326">
        <f>+G32+G23+G11</f>
        <v>14870523</v>
      </c>
      <c r="H34" s="276"/>
      <c r="I34" s="326">
        <f>+I32+I23+I11</f>
        <v>13701852.01</v>
      </c>
      <c r="J34" s="274"/>
      <c r="K34" s="326">
        <f>+K32+K23+K11</f>
        <v>8350</v>
      </c>
      <c r="L34" s="276"/>
      <c r="M34" s="326">
        <f>+M32+M23+M11</f>
        <v>-529057</v>
      </c>
      <c r="N34" s="274"/>
      <c r="O34" s="326">
        <f>+O32+O23+O11</f>
        <v>192232</v>
      </c>
      <c r="P34" s="276"/>
      <c r="Q34" s="326">
        <f>+Q32+Q23+Q11</f>
        <v>-614194</v>
      </c>
      <c r="R34" s="274"/>
      <c r="S34" s="326">
        <f>+S32+S23+S11</f>
        <v>183882</v>
      </c>
      <c r="T34" s="276"/>
      <c r="U34" s="326">
        <f>+U32+U23+U11</f>
        <v>-85136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6467700</v>
      </c>
      <c r="F36" s="305"/>
      <c r="G36" s="320">
        <v>6110233.8499999996</v>
      </c>
      <c r="H36" s="288"/>
      <c r="I36" s="320">
        <v>6265142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74</v>
      </c>
      <c r="L48" s="328"/>
      <c r="M48" s="332"/>
      <c r="N48" s="328"/>
      <c r="O48" s="332">
        <f>+O10</f>
        <v>490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8276</v>
      </c>
      <c r="L51" s="335"/>
      <c r="M51" s="320"/>
      <c r="N51" s="335"/>
      <c r="O51" s="320">
        <f>+O27+O28</f>
        <v>191742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-520305</v>
      </c>
      <c r="N53" s="328"/>
      <c r="O53" s="332"/>
      <c r="P53" s="328"/>
      <c r="Q53" s="332">
        <f>+Q27+Q28</f>
        <v>-582588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-8752</v>
      </c>
      <c r="N54" s="328"/>
      <c r="O54" s="332"/>
      <c r="P54" s="328"/>
      <c r="Q54" s="332">
        <f>+Q30</f>
        <v>-31606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8350</v>
      </c>
      <c r="L56" s="328"/>
      <c r="M56" s="337">
        <f>SUM(M48:M55)</f>
        <v>-529057</v>
      </c>
      <c r="N56" s="328"/>
      <c r="O56" s="337">
        <f>SUM(O48:O55)</f>
        <v>192232</v>
      </c>
      <c r="P56" s="332"/>
      <c r="Q56" s="337">
        <f>SUM(Q48:Q55)</f>
        <v>-614194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72540</v>
      </c>
      <c r="L59" s="341"/>
      <c r="M59" s="341">
        <f>+M58-M56</f>
        <v>736063</v>
      </c>
      <c r="N59" s="341"/>
      <c r="O59" s="340">
        <f>+O58-O56</f>
        <v>-33167</v>
      </c>
      <c r="P59" s="341"/>
      <c r="Q59" s="341">
        <f>+Q58-Q56</f>
        <v>1138405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tabColor rgb="FFFFFF00"/>
    <pageSetUpPr fitToPage="1"/>
  </sheetPr>
  <dimension ref="A1:AA73"/>
  <sheetViews>
    <sheetView showGridLines="0" zoomScaleNormal="100" workbookViewId="0">
      <selection activeCell="G36" sqref="G36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7" t="s">
        <v>0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271"/>
    </row>
    <row r="2" spans="1:22" ht="15.75" thickBot="1">
      <c r="B2" s="438" t="s">
        <v>536</v>
      </c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271"/>
    </row>
    <row r="3" spans="1:22">
      <c r="A3" s="260"/>
      <c r="B3" s="271"/>
      <c r="C3" s="271"/>
      <c r="D3" s="394"/>
      <c r="E3" s="274"/>
      <c r="F3" s="39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9" t="s">
        <v>522</v>
      </c>
      <c r="F4" s="439"/>
      <c r="G4" s="439"/>
      <c r="H4" s="439"/>
      <c r="I4" s="439"/>
      <c r="J4" s="275"/>
      <c r="K4" s="439" t="s">
        <v>80</v>
      </c>
      <c r="L4" s="439"/>
      <c r="M4" s="439"/>
      <c r="N4" s="439"/>
      <c r="O4" s="439"/>
      <c r="P4" s="439"/>
      <c r="Q4" s="439"/>
      <c r="R4" s="439"/>
      <c r="S4" s="439"/>
      <c r="T4" s="439"/>
      <c r="U4" s="439"/>
      <c r="V4" s="271"/>
    </row>
    <row r="5" spans="1:22" ht="15.75" thickBot="1">
      <c r="A5" s="260"/>
      <c r="B5" s="345">
        <v>42735</v>
      </c>
      <c r="C5" s="271"/>
      <c r="D5" s="271"/>
      <c r="E5" s="274"/>
      <c r="F5" s="274"/>
      <c r="G5" s="274"/>
      <c r="H5" s="276"/>
      <c r="I5" s="274"/>
      <c r="J5" s="276"/>
      <c r="K5" s="440" t="s">
        <v>81</v>
      </c>
      <c r="L5" s="440"/>
      <c r="M5" s="440"/>
      <c r="N5" s="277"/>
      <c r="O5" s="440" t="s">
        <v>82</v>
      </c>
      <c r="P5" s="440"/>
      <c r="Q5" s="440"/>
      <c r="R5" s="277"/>
      <c r="S5" s="440" t="s">
        <v>166</v>
      </c>
      <c r="T5" s="440"/>
      <c r="U5" s="440"/>
      <c r="V5" s="271"/>
    </row>
    <row r="6" spans="1:22" ht="30">
      <c r="A6" s="255" t="s">
        <v>83</v>
      </c>
      <c r="B6" s="271"/>
      <c r="C6" s="271" t="s">
        <v>5</v>
      </c>
      <c r="D6" s="394" t="s">
        <v>8</v>
      </c>
      <c r="E6" s="278" t="s">
        <v>549</v>
      </c>
      <c r="F6" s="279"/>
      <c r="G6" s="278" t="s">
        <v>550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3"/>
      <c r="O6" s="281" t="s">
        <v>12</v>
      </c>
      <c r="P6" s="393"/>
      <c r="Q6" s="283" t="s">
        <v>86</v>
      </c>
      <c r="R6" s="284"/>
      <c r="S6" s="281" t="s">
        <v>12</v>
      </c>
      <c r="T6" s="39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4497309-408239</f>
        <v>4089070</v>
      </c>
      <c r="F9" s="287"/>
      <c r="G9" s="293">
        <f>3886370-408248</f>
        <v>3478122</v>
      </c>
      <c r="H9" s="288"/>
      <c r="I9" s="293">
        <f>3385303-1407101</f>
        <v>1978202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3.9192295774458135E-5</v>
      </c>
      <c r="E10" s="297">
        <v>408239</v>
      </c>
      <c r="F10" s="287"/>
      <c r="G10" s="297">
        <v>408248</v>
      </c>
      <c r="H10" s="288"/>
      <c r="I10" s="297">
        <v>1407101</v>
      </c>
      <c r="J10" s="287"/>
      <c r="K10" s="297">
        <v>16</v>
      </c>
      <c r="L10" s="288"/>
      <c r="M10" s="297">
        <v>0</v>
      </c>
      <c r="N10" s="287"/>
      <c r="O10" s="297">
        <v>324</v>
      </c>
      <c r="P10" s="288"/>
      <c r="Q10" s="297">
        <v>0</v>
      </c>
      <c r="R10" s="287"/>
      <c r="S10" s="297">
        <v>2770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4497309</v>
      </c>
      <c r="F11" s="279"/>
      <c r="G11" s="301">
        <f>SUM(G8:G10)</f>
        <v>3886370</v>
      </c>
      <c r="H11" s="276"/>
      <c r="I11" s="301">
        <f>SUM(I9:I10)</f>
        <v>3385303</v>
      </c>
      <c r="J11" s="279"/>
      <c r="K11" s="301">
        <f>SUM(K9:K10)</f>
        <v>16</v>
      </c>
      <c r="L11" s="276"/>
      <c r="M11" s="301">
        <f>SUM(M9:M10)</f>
        <v>0</v>
      </c>
      <c r="N11" s="279"/>
      <c r="O11" s="301">
        <f>SUM(O9:O10)</f>
        <v>324</v>
      </c>
      <c r="P11" s="276"/>
      <c r="Q11" s="301">
        <f>SUM(Q9:Q10)</f>
        <v>0</v>
      </c>
      <c r="R11" s="279"/>
      <c r="S11" s="301">
        <f>SUM(S9:S10)</f>
        <v>2770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623934</v>
      </c>
      <c r="F14" s="309"/>
      <c r="G14" s="366">
        <v>620129.75</v>
      </c>
      <c r="H14" s="310"/>
      <c r="I14" s="308">
        <v>530262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3482422.62</v>
      </c>
      <c r="H17" s="310"/>
      <c r="I17" s="311">
        <v>3539064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68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2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10852937</v>
      </c>
      <c r="F23" s="317"/>
      <c r="G23" s="316">
        <f>SUM(G14:G22)</f>
        <v>10849132.01</v>
      </c>
      <c r="H23" s="318"/>
      <c r="I23" s="316">
        <f>SUM(I14:I22)</f>
        <v>9815906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483</v>
      </c>
      <c r="L27" s="321"/>
      <c r="M27" s="320">
        <v>-4288</v>
      </c>
      <c r="N27" s="320"/>
      <c r="O27" s="320">
        <v>5211</v>
      </c>
      <c r="P27" s="321"/>
      <c r="Q27" s="320">
        <v>90664</v>
      </c>
      <c r="R27" s="320"/>
      <c r="S27" s="320">
        <v>7077</v>
      </c>
      <c r="T27" s="321"/>
      <c r="U27" s="320">
        <v>22163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388914</v>
      </c>
      <c r="F28" s="303"/>
      <c r="G28" s="303">
        <v>398480</v>
      </c>
      <c r="H28" s="304"/>
      <c r="I28" s="319">
        <v>155495</v>
      </c>
      <c r="J28" s="303"/>
      <c r="K28" s="303">
        <v>9566</v>
      </c>
      <c r="L28" s="304"/>
      <c r="M28" s="303">
        <v>-23948</v>
      </c>
      <c r="N28" s="303"/>
      <c r="O28" s="303">
        <v>143631</v>
      </c>
      <c r="P28" s="304"/>
      <c r="Q28" s="303">
        <v>1897067</v>
      </c>
      <c r="R28" s="303"/>
      <c r="S28" s="303">
        <f>144070+11696</f>
        <v>155766</v>
      </c>
      <c r="T28" s="304"/>
      <c r="U28" s="303">
        <f>517602-102520</f>
        <v>415082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3398674</v>
      </c>
      <c r="F29" s="303"/>
      <c r="G29" s="303">
        <v>3367092</v>
      </c>
      <c r="H29" s="304"/>
      <c r="I29" s="322">
        <v>1935447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22"/>
      <c r="J30" s="303"/>
      <c r="K30" s="303">
        <v>0</v>
      </c>
      <c r="L30" s="304"/>
      <c r="M30" s="303">
        <v>-7634</v>
      </c>
      <c r="N30" s="303"/>
      <c r="O30" s="303">
        <v>0</v>
      </c>
      <c r="P30" s="304"/>
      <c r="Q30" s="303">
        <v>-30595</v>
      </c>
      <c r="R30" s="303">
        <v>0</v>
      </c>
      <c r="S30" s="303">
        <v>0</v>
      </c>
      <c r="T30" s="304"/>
      <c r="U30" s="303">
        <v>-28122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-4799222</v>
      </c>
      <c r="H31" s="304"/>
      <c r="I31" s="322">
        <v>-855863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-1011634</v>
      </c>
      <c r="F32" s="274"/>
      <c r="G32" s="316">
        <f>SUM(G27:G31)</f>
        <v>-1033650</v>
      </c>
      <c r="H32" s="325"/>
      <c r="I32" s="316">
        <f>SUM(I27:I31)</f>
        <v>1235079</v>
      </c>
      <c r="J32" s="274"/>
      <c r="K32" s="316">
        <f>SUM(K27:K31)</f>
        <v>10049</v>
      </c>
      <c r="L32" s="325"/>
      <c r="M32" s="316">
        <f>SUM(M27:M31)</f>
        <v>-35870</v>
      </c>
      <c r="N32" s="274"/>
      <c r="O32" s="316">
        <f>SUM(O27:O31)</f>
        <v>148842</v>
      </c>
      <c r="P32" s="325"/>
      <c r="Q32" s="316">
        <f>SUM(Q27:Q31)</f>
        <v>1957136</v>
      </c>
      <c r="R32" s="274"/>
      <c r="S32" s="316">
        <f>SUM(S27:S31)</f>
        <v>162843</v>
      </c>
      <c r="T32" s="325"/>
      <c r="U32" s="316">
        <f>SUM(U27:U31)</f>
        <v>409123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14338612</v>
      </c>
      <c r="F34" s="274"/>
      <c r="G34" s="326">
        <f>+G32+G23+G11</f>
        <v>13701852.01</v>
      </c>
      <c r="H34" s="276"/>
      <c r="I34" s="326">
        <f>+I32+I23+I11</f>
        <v>14436288</v>
      </c>
      <c r="J34" s="274"/>
      <c r="K34" s="326">
        <f>+K32+K23+K11</f>
        <v>10065</v>
      </c>
      <c r="L34" s="276"/>
      <c r="M34" s="326">
        <f>+M32+M23+M11</f>
        <v>-35870</v>
      </c>
      <c r="N34" s="274"/>
      <c r="O34" s="326">
        <f>+O32+O23+O11</f>
        <v>149166</v>
      </c>
      <c r="P34" s="276"/>
      <c r="Q34" s="326">
        <f>+Q32+Q23+Q11</f>
        <v>1957136</v>
      </c>
      <c r="R34" s="274"/>
      <c r="S34" s="326">
        <f>+S32+S23+S11</f>
        <v>165613</v>
      </c>
      <c r="T34" s="276"/>
      <c r="U34" s="326">
        <f>+U32+U23+U11</f>
        <v>409123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6268301</v>
      </c>
      <c r="F36" s="305"/>
      <c r="G36" s="320">
        <v>6265142</v>
      </c>
      <c r="H36" s="288"/>
      <c r="I36" s="320">
        <v>5818839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16</v>
      </c>
      <c r="L48" s="328"/>
      <c r="M48" s="332"/>
      <c r="N48" s="328"/>
      <c r="O48" s="332">
        <f>+O10</f>
        <v>324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10049</v>
      </c>
      <c r="L51" s="335"/>
      <c r="M51" s="320"/>
      <c r="N51" s="335"/>
      <c r="O51" s="320">
        <f>+O27+O28</f>
        <v>148842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-28236</v>
      </c>
      <c r="N53" s="328"/>
      <c r="O53" s="332"/>
      <c r="P53" s="328"/>
      <c r="Q53" s="332">
        <f>+Q27+Q28</f>
        <v>1987731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-7634</v>
      </c>
      <c r="N54" s="328"/>
      <c r="O54" s="332"/>
      <c r="P54" s="328"/>
      <c r="Q54" s="332">
        <f>+Q30</f>
        <v>-30595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10065</v>
      </c>
      <c r="L56" s="328"/>
      <c r="M56" s="337">
        <f>SUM(M48:M55)</f>
        <v>-35870</v>
      </c>
      <c r="N56" s="328"/>
      <c r="O56" s="337">
        <f>SUM(O48:O55)</f>
        <v>149166</v>
      </c>
      <c r="P56" s="332"/>
      <c r="Q56" s="337">
        <f>SUM(Q48:Q55)</f>
        <v>1957136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70825</v>
      </c>
      <c r="L59" s="341"/>
      <c r="M59" s="341">
        <f>+M58-M56</f>
        <v>242876</v>
      </c>
      <c r="N59" s="341"/>
      <c r="O59" s="340">
        <f>+O58-O56</f>
        <v>9899</v>
      </c>
      <c r="P59" s="341"/>
      <c r="Q59" s="341">
        <f>+Q58-Q56</f>
        <v>-1432925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41E10-4DC3-4740-89E7-A85244C0DF2D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7" t="s">
        <v>0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271"/>
    </row>
    <row r="2" spans="1:22" ht="15.75" thickBot="1">
      <c r="B2" s="438" t="s">
        <v>569</v>
      </c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271"/>
    </row>
    <row r="3" spans="1:22">
      <c r="A3" s="260"/>
      <c r="B3" s="271"/>
      <c r="C3" s="271"/>
      <c r="D3" s="419"/>
      <c r="E3" s="274"/>
      <c r="F3" s="419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9" t="s">
        <v>522</v>
      </c>
      <c r="F4" s="439"/>
      <c r="G4" s="439"/>
      <c r="H4" s="439"/>
      <c r="I4" s="439"/>
      <c r="J4" s="275"/>
      <c r="K4" s="439" t="s">
        <v>80</v>
      </c>
      <c r="L4" s="439"/>
      <c r="M4" s="439"/>
      <c r="N4" s="439"/>
      <c r="O4" s="439"/>
      <c r="P4" s="439"/>
      <c r="Q4" s="439"/>
      <c r="R4" s="439"/>
      <c r="S4" s="439"/>
      <c r="T4" s="439"/>
      <c r="U4" s="439"/>
      <c r="V4" s="271"/>
    </row>
    <row r="5" spans="1:22" ht="15.75" thickBot="1">
      <c r="A5" s="260"/>
      <c r="B5" s="345">
        <v>43069</v>
      </c>
      <c r="C5" s="271"/>
      <c r="D5" s="271"/>
      <c r="E5" s="274"/>
      <c r="F5" s="274"/>
      <c r="G5" s="274"/>
      <c r="H5" s="276"/>
      <c r="I5" s="274"/>
      <c r="J5" s="276"/>
      <c r="K5" s="440" t="s">
        <v>81</v>
      </c>
      <c r="L5" s="440"/>
      <c r="M5" s="440"/>
      <c r="N5" s="277"/>
      <c r="O5" s="440" t="s">
        <v>82</v>
      </c>
      <c r="P5" s="440"/>
      <c r="Q5" s="440"/>
      <c r="R5" s="277"/>
      <c r="S5" s="440" t="s">
        <v>166</v>
      </c>
      <c r="T5" s="440"/>
      <c r="U5" s="440"/>
      <c r="V5" s="271"/>
    </row>
    <row r="6" spans="1:22" ht="30">
      <c r="A6" s="255" t="s">
        <v>83</v>
      </c>
      <c r="B6" s="271"/>
      <c r="C6" s="271" t="s">
        <v>5</v>
      </c>
      <c r="D6" s="419" t="s">
        <v>8</v>
      </c>
      <c r="E6" s="278" t="s">
        <v>575</v>
      </c>
      <c r="F6" s="279"/>
      <c r="G6" s="278" t="s">
        <v>574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8"/>
      <c r="O6" s="281" t="s">
        <v>12</v>
      </c>
      <c r="P6" s="418"/>
      <c r="Q6" s="283" t="s">
        <v>86</v>
      </c>
      <c r="R6" s="284"/>
      <c r="S6" s="281" t="s">
        <v>12</v>
      </c>
      <c r="T6" s="41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4607956-2908598</f>
        <v>1699358</v>
      </c>
      <c r="F9" s="287"/>
      <c r="G9" s="293">
        <f>4642060-2908665</f>
        <v>1733395</v>
      </c>
      <c r="H9" s="288"/>
      <c r="I9" s="293">
        <f>4497309-408239</f>
        <v>4089070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2.5441516941233667E-5</v>
      </c>
      <c r="E10" s="297">
        <v>2908598</v>
      </c>
      <c r="F10" s="287"/>
      <c r="G10" s="297">
        <v>2908665.19</v>
      </c>
      <c r="H10" s="288"/>
      <c r="I10" s="297">
        <v>408239</v>
      </c>
      <c r="J10" s="287"/>
      <c r="K10" s="297">
        <v>74</v>
      </c>
      <c r="L10" s="288"/>
      <c r="M10" s="297">
        <v>0</v>
      </c>
      <c r="N10" s="287"/>
      <c r="O10" s="297">
        <v>416</v>
      </c>
      <c r="P10" s="288"/>
      <c r="Q10" s="297">
        <v>0</v>
      </c>
      <c r="R10" s="287"/>
      <c r="S10" s="297">
        <v>308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4607956</v>
      </c>
      <c r="F11" s="279"/>
      <c r="G11" s="301">
        <f>SUM(G8:G10)</f>
        <v>4642060.1899999995</v>
      </c>
      <c r="H11" s="276"/>
      <c r="I11" s="301">
        <f>SUM(I9:I10)</f>
        <v>4497309</v>
      </c>
      <c r="J11" s="279"/>
      <c r="K11" s="301">
        <f>SUM(K9:K10)</f>
        <v>74</v>
      </c>
      <c r="L11" s="276"/>
      <c r="M11" s="301">
        <f>SUM(M9:M10)</f>
        <v>0</v>
      </c>
      <c r="N11" s="279"/>
      <c r="O11" s="301">
        <f>SUM(O9:O10)</f>
        <v>416</v>
      </c>
      <c r="P11" s="276"/>
      <c r="Q11" s="301">
        <f>SUM(Q9:Q10)</f>
        <v>0</v>
      </c>
      <c r="R11" s="279"/>
      <c r="S11" s="301">
        <f>SUM(S9:S10)</f>
        <v>308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678962</v>
      </c>
      <c r="F14" s="309"/>
      <c r="G14" s="366">
        <v>701775</v>
      </c>
      <c r="H14" s="310"/>
      <c r="I14" s="366">
        <v>623934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68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68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68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68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68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/>
      <c r="F20" s="309"/>
      <c r="G20" s="368"/>
      <c r="H20" s="310"/>
      <c r="I20" s="311"/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429718</v>
      </c>
      <c r="F22" s="313"/>
      <c r="G22" s="346">
        <v>429718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11227063</v>
      </c>
      <c r="F23" s="317"/>
      <c r="G23" s="316">
        <f>SUM(G14:G22)</f>
        <v>11249876</v>
      </c>
      <c r="H23" s="318"/>
      <c r="I23" s="316">
        <f>SUM(I14:I22)</f>
        <v>10852937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2300</v>
      </c>
      <c r="L27" s="321"/>
      <c r="M27" s="320">
        <v>20515</v>
      </c>
      <c r="N27" s="320"/>
      <c r="O27" s="320">
        <v>6167</v>
      </c>
      <c r="P27" s="321"/>
      <c r="Q27" s="320">
        <v>14019</v>
      </c>
      <c r="R27" s="320"/>
      <c r="S27" s="320">
        <v>4729</v>
      </c>
      <c r="T27" s="321"/>
      <c r="U27" s="320">
        <v>94952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512915</v>
      </c>
      <c r="F28" s="303"/>
      <c r="G28" s="303">
        <v>638159</v>
      </c>
      <c r="H28" s="304"/>
      <c r="I28" s="303">
        <v>388914</v>
      </c>
      <c r="J28" s="303"/>
      <c r="K28" s="303">
        <v>125244</v>
      </c>
      <c r="L28" s="304"/>
      <c r="M28" s="303">
        <v>120452</v>
      </c>
      <c r="N28" s="303"/>
      <c r="O28" s="303">
        <v>177299</v>
      </c>
      <c r="P28" s="304"/>
      <c r="Q28" s="303">
        <v>-76302</v>
      </c>
      <c r="R28" s="303"/>
      <c r="S28" s="303">
        <v>134064</v>
      </c>
      <c r="T28" s="304"/>
      <c r="U28" s="303">
        <v>1921015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3932105</v>
      </c>
      <c r="F29" s="303"/>
      <c r="G29" s="303">
        <v>4051171</v>
      </c>
      <c r="H29" s="304"/>
      <c r="I29" s="303">
        <v>3398674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-1386</v>
      </c>
      <c r="N30" s="303"/>
      <c r="O30" s="303">
        <v>0</v>
      </c>
      <c r="P30" s="304"/>
      <c r="Q30" s="303">
        <v>-22853</v>
      </c>
      <c r="R30" s="303">
        <v>0</v>
      </c>
      <c r="S30" s="303">
        <v>0</v>
      </c>
      <c r="T30" s="304"/>
      <c r="U30" s="303">
        <v>-22962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-5118320</v>
      </c>
      <c r="F31" s="303"/>
      <c r="G31" s="303">
        <v>-5118320</v>
      </c>
      <c r="H31" s="304"/>
      <c r="I31" s="303">
        <v>-4799222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-673300</v>
      </c>
      <c r="F32" s="274"/>
      <c r="G32" s="316">
        <f>SUM(G27:G31)</f>
        <v>-428990</v>
      </c>
      <c r="H32" s="325"/>
      <c r="I32" s="316">
        <f>SUM(I27:I31)</f>
        <v>-1011634</v>
      </c>
      <c r="J32" s="274"/>
      <c r="K32" s="316">
        <f>SUM(K27:K31)</f>
        <v>127544</v>
      </c>
      <c r="L32" s="325"/>
      <c r="M32" s="316">
        <f>SUM(M27:M31)</f>
        <v>139581</v>
      </c>
      <c r="N32" s="274"/>
      <c r="O32" s="316">
        <f>SUM(O27:O31)</f>
        <v>183466</v>
      </c>
      <c r="P32" s="325"/>
      <c r="Q32" s="316">
        <f>SUM(Q27:Q31)</f>
        <v>-85136</v>
      </c>
      <c r="R32" s="274"/>
      <c r="S32" s="316">
        <f>SUM(S27:S31)</f>
        <v>138793</v>
      </c>
      <c r="T32" s="325"/>
      <c r="U32" s="316">
        <f>SUM(U27:U31)</f>
        <v>1993005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15161719</v>
      </c>
      <c r="F34" s="274"/>
      <c r="G34" s="326">
        <f>+G32+G23+G11</f>
        <v>15462946.189999999</v>
      </c>
      <c r="H34" s="276"/>
      <c r="I34" s="326">
        <f>+I32+I23+I11</f>
        <v>14338612</v>
      </c>
      <c r="J34" s="274"/>
      <c r="K34" s="326">
        <f>+K32+K23+K11</f>
        <v>127618</v>
      </c>
      <c r="L34" s="276"/>
      <c r="M34" s="326">
        <f>+M32+M23+M11</f>
        <v>139581</v>
      </c>
      <c r="N34" s="274"/>
      <c r="O34" s="326">
        <f>+O32+O23+O11</f>
        <v>183882</v>
      </c>
      <c r="P34" s="276"/>
      <c r="Q34" s="326">
        <f>+Q32+Q23+Q11</f>
        <v>-85136</v>
      </c>
      <c r="R34" s="274"/>
      <c r="S34" s="326">
        <f>+S32+S23+S11</f>
        <v>139101</v>
      </c>
      <c r="T34" s="276"/>
      <c r="U34" s="326">
        <f>+U32+U23+U11</f>
        <v>1993005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6371115</v>
      </c>
      <c r="F36" s="305"/>
      <c r="G36" s="320">
        <v>6467700</v>
      </c>
      <c r="H36" s="288"/>
      <c r="I36" s="320">
        <v>6268301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74</v>
      </c>
      <c r="L48" s="328"/>
      <c r="M48" s="332"/>
      <c r="N48" s="328"/>
      <c r="O48" s="332">
        <f>+O10</f>
        <v>416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127544</v>
      </c>
      <c r="L51" s="335"/>
      <c r="M51" s="320"/>
      <c r="N51" s="335"/>
      <c r="O51" s="320">
        <f>+O27+O28</f>
        <v>183466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140967</v>
      </c>
      <c r="N53" s="328"/>
      <c r="O53" s="332"/>
      <c r="P53" s="328"/>
      <c r="Q53" s="332">
        <f>+Q27+Q28</f>
        <v>-62283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-1386</v>
      </c>
      <c r="N54" s="328"/>
      <c r="O54" s="332"/>
      <c r="P54" s="328"/>
      <c r="Q54" s="332">
        <f>+Q30</f>
        <v>-22853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127618</v>
      </c>
      <c r="L56" s="328"/>
      <c r="M56" s="337">
        <f>SUM(M48:M55)</f>
        <v>139581</v>
      </c>
      <c r="N56" s="328"/>
      <c r="O56" s="337">
        <f>SUM(O48:O55)</f>
        <v>183882</v>
      </c>
      <c r="P56" s="332"/>
      <c r="Q56" s="337">
        <f>SUM(Q48:Q55)</f>
        <v>-85136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-46728</v>
      </c>
      <c r="L59" s="341"/>
      <c r="M59" s="341">
        <f>+M58-M56</f>
        <v>67425</v>
      </c>
      <c r="N59" s="341"/>
      <c r="O59" s="340">
        <f>+O58-O56</f>
        <v>-24817</v>
      </c>
      <c r="P59" s="341"/>
      <c r="Q59" s="341">
        <f>+Q58-Q56</f>
        <v>609347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301AC-1090-44E9-90BC-D123DC3A1231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7" t="s">
        <v>0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271"/>
    </row>
    <row r="2" spans="1:22" ht="15.75" thickBot="1">
      <c r="B2" s="438" t="s">
        <v>569</v>
      </c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271"/>
    </row>
    <row r="3" spans="1:22">
      <c r="A3" s="260"/>
      <c r="B3" s="271"/>
      <c r="C3" s="271"/>
      <c r="D3" s="417"/>
      <c r="E3" s="274"/>
      <c r="F3" s="417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9" t="s">
        <v>522</v>
      </c>
      <c r="F4" s="439"/>
      <c r="G4" s="439"/>
      <c r="H4" s="439"/>
      <c r="I4" s="439"/>
      <c r="J4" s="275"/>
      <c r="K4" s="439" t="s">
        <v>80</v>
      </c>
      <c r="L4" s="439"/>
      <c r="M4" s="439"/>
      <c r="N4" s="439"/>
      <c r="O4" s="439"/>
      <c r="P4" s="439"/>
      <c r="Q4" s="439"/>
      <c r="R4" s="439"/>
      <c r="S4" s="439"/>
      <c r="T4" s="439"/>
      <c r="U4" s="439"/>
      <c r="V4" s="271"/>
    </row>
    <row r="5" spans="1:22" ht="15.75" thickBot="1">
      <c r="A5" s="260"/>
      <c r="B5" s="345">
        <v>43039</v>
      </c>
      <c r="C5" s="271"/>
      <c r="D5" s="271"/>
      <c r="E5" s="274"/>
      <c r="F5" s="274"/>
      <c r="G5" s="274"/>
      <c r="H5" s="276"/>
      <c r="I5" s="274"/>
      <c r="J5" s="276"/>
      <c r="K5" s="440" t="s">
        <v>81</v>
      </c>
      <c r="L5" s="440"/>
      <c r="M5" s="440"/>
      <c r="N5" s="277"/>
      <c r="O5" s="440" t="s">
        <v>82</v>
      </c>
      <c r="P5" s="440"/>
      <c r="Q5" s="440"/>
      <c r="R5" s="277"/>
      <c r="S5" s="440" t="s">
        <v>166</v>
      </c>
      <c r="T5" s="440"/>
      <c r="U5" s="440"/>
      <c r="V5" s="271"/>
    </row>
    <row r="6" spans="1:22" ht="30">
      <c r="A6" s="255" t="s">
        <v>83</v>
      </c>
      <c r="B6" s="271"/>
      <c r="C6" s="271" t="s">
        <v>5</v>
      </c>
      <c r="D6" s="417" t="s">
        <v>8</v>
      </c>
      <c r="E6" s="278" t="s">
        <v>572</v>
      </c>
      <c r="F6" s="279"/>
      <c r="G6" s="278" t="s">
        <v>573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6"/>
      <c r="O6" s="281" t="s">
        <v>12</v>
      </c>
      <c r="P6" s="416"/>
      <c r="Q6" s="283" t="s">
        <v>86</v>
      </c>
      <c r="R6" s="284"/>
      <c r="S6" s="281" t="s">
        <v>12</v>
      </c>
      <c r="T6" s="416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4513165-3908518</f>
        <v>604647</v>
      </c>
      <c r="F9" s="287"/>
      <c r="G9" s="293">
        <f>4607956-2908598</f>
        <v>1699358</v>
      </c>
      <c r="H9" s="288"/>
      <c r="I9" s="293">
        <f>4590527-408229</f>
        <v>4182298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2.5523989910102748E-5</v>
      </c>
      <c r="E10" s="297">
        <v>3908518</v>
      </c>
      <c r="F10" s="287"/>
      <c r="G10" s="297">
        <v>2908598</v>
      </c>
      <c r="H10" s="288"/>
      <c r="I10" s="297">
        <v>408229</v>
      </c>
      <c r="J10" s="287"/>
      <c r="K10" s="297">
        <v>87</v>
      </c>
      <c r="L10" s="288"/>
      <c r="M10" s="297">
        <v>0</v>
      </c>
      <c r="N10" s="287"/>
      <c r="O10" s="297">
        <v>342</v>
      </c>
      <c r="P10" s="288"/>
      <c r="Q10" s="297">
        <v>0</v>
      </c>
      <c r="R10" s="287"/>
      <c r="S10" s="297">
        <v>290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4513165</v>
      </c>
      <c r="F11" s="279"/>
      <c r="G11" s="301">
        <f>SUM(G8:G10)</f>
        <v>4607956</v>
      </c>
      <c r="H11" s="276"/>
      <c r="I11" s="301">
        <f>SUM(I9:I10)</f>
        <v>4590527</v>
      </c>
      <c r="J11" s="279"/>
      <c r="K11" s="301">
        <f>SUM(K9:K10)</f>
        <v>87</v>
      </c>
      <c r="L11" s="276"/>
      <c r="M11" s="301">
        <f>SUM(M9:M10)</f>
        <v>0</v>
      </c>
      <c r="N11" s="279"/>
      <c r="O11" s="301">
        <f>SUM(O9:O10)</f>
        <v>342</v>
      </c>
      <c r="P11" s="276"/>
      <c r="Q11" s="301">
        <f>SUM(Q9:Q10)</f>
        <v>0</v>
      </c>
      <c r="R11" s="279"/>
      <c r="S11" s="301">
        <f>SUM(S9:S10)</f>
        <v>290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691953</v>
      </c>
      <c r="F14" s="309"/>
      <c r="G14" s="366">
        <v>678962</v>
      </c>
      <c r="H14" s="310"/>
      <c r="I14" s="308">
        <v>603814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/>
      <c r="F20" s="309"/>
      <c r="G20" s="368"/>
      <c r="H20" s="310"/>
      <c r="I20" s="311"/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429718</v>
      </c>
      <c r="F22" s="313"/>
      <c r="G22" s="346">
        <v>429718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11240054</v>
      </c>
      <c r="F23" s="317"/>
      <c r="G23" s="316">
        <f>SUM(G14:G22)</f>
        <v>11227063</v>
      </c>
      <c r="H23" s="318"/>
      <c r="I23" s="316">
        <f>SUM(I14:I22)</f>
        <v>10832817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9592</v>
      </c>
      <c r="L27" s="321"/>
      <c r="M27" s="320">
        <v>-328168</v>
      </c>
      <c r="N27" s="320"/>
      <c r="O27" s="320">
        <v>52055</v>
      </c>
      <c r="P27" s="321"/>
      <c r="Q27" s="320">
        <v>-196754</v>
      </c>
      <c r="R27" s="320"/>
      <c r="S27" s="320">
        <v>3022</v>
      </c>
      <c r="T27" s="321"/>
      <c r="U27" s="320">
        <v>77586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503323</v>
      </c>
      <c r="F28" s="303"/>
      <c r="G28" s="303">
        <v>512915</v>
      </c>
      <c r="H28" s="304"/>
      <c r="I28" s="303">
        <v>339704</v>
      </c>
      <c r="J28" s="303"/>
      <c r="K28" s="303">
        <v>254</v>
      </c>
      <c r="L28" s="304"/>
      <c r="M28" s="303">
        <v>-13246</v>
      </c>
      <c r="N28" s="303"/>
      <c r="O28" s="303">
        <v>3867</v>
      </c>
      <c r="P28" s="304"/>
      <c r="Q28" s="303">
        <v>-6496</v>
      </c>
      <c r="R28" s="303"/>
      <c r="S28" s="303">
        <v>84855</v>
      </c>
      <c r="T28" s="304"/>
      <c r="U28" s="303">
        <v>1593838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4261558</v>
      </c>
      <c r="F29" s="303"/>
      <c r="G29" s="303">
        <v>3932105</v>
      </c>
      <c r="H29" s="304"/>
      <c r="I29" s="303">
        <v>3072441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-1284</v>
      </c>
      <c r="N30" s="303"/>
      <c r="O30" s="303">
        <v>0</v>
      </c>
      <c r="P30" s="304"/>
      <c r="Q30" s="303">
        <v>-21467</v>
      </c>
      <c r="R30" s="303">
        <v>0</v>
      </c>
      <c r="S30" s="303">
        <v>0</v>
      </c>
      <c r="T30" s="304"/>
      <c r="U30" s="303">
        <v>-22018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f>-5118320-1</f>
        <v>-5118321</v>
      </c>
      <c r="F31" s="303"/>
      <c r="G31" s="303">
        <v>-5118320</v>
      </c>
      <c r="H31" s="304"/>
      <c r="I31" s="303">
        <v>-4799222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-353440</v>
      </c>
      <c r="F32" s="274"/>
      <c r="G32" s="316">
        <f>SUM(G27:G31)</f>
        <v>-673300</v>
      </c>
      <c r="H32" s="325"/>
      <c r="I32" s="316">
        <f>SUM(I27:I31)</f>
        <v>-1387077</v>
      </c>
      <c r="J32" s="274"/>
      <c r="K32" s="316">
        <f>SUM(K27:K31)</f>
        <v>9846</v>
      </c>
      <c r="L32" s="325"/>
      <c r="M32" s="316">
        <f>SUM(M27:M31)</f>
        <v>-342698</v>
      </c>
      <c r="N32" s="274"/>
      <c r="O32" s="316">
        <f>SUM(O27:O31)</f>
        <v>55922</v>
      </c>
      <c r="P32" s="325"/>
      <c r="Q32" s="316">
        <f>SUM(Q27:Q31)</f>
        <v>-224717</v>
      </c>
      <c r="R32" s="274"/>
      <c r="S32" s="316">
        <f>SUM(S27:S31)</f>
        <v>87877</v>
      </c>
      <c r="T32" s="325"/>
      <c r="U32" s="316">
        <f>SUM(U27:U31)</f>
        <v>1649406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15399779</v>
      </c>
      <c r="F34" s="274"/>
      <c r="G34" s="326">
        <f>+G32+G23+G11</f>
        <v>15161719</v>
      </c>
      <c r="H34" s="276"/>
      <c r="I34" s="326">
        <f>+I32+I23+I11</f>
        <v>14036267</v>
      </c>
      <c r="J34" s="274"/>
      <c r="K34" s="326">
        <f>+K32+K23+K11</f>
        <v>9933</v>
      </c>
      <c r="L34" s="276"/>
      <c r="M34" s="326">
        <f>+M32+M23+M11</f>
        <v>-342698</v>
      </c>
      <c r="N34" s="274"/>
      <c r="O34" s="326">
        <f>+O32+O23+O11</f>
        <v>56264</v>
      </c>
      <c r="P34" s="276"/>
      <c r="Q34" s="326">
        <f>+Q32+Q23+Q11</f>
        <v>-224717</v>
      </c>
      <c r="R34" s="274"/>
      <c r="S34" s="326">
        <f>+S32+S23+S11</f>
        <v>88167</v>
      </c>
      <c r="T34" s="276"/>
      <c r="U34" s="326">
        <f>+U32+U23+U11</f>
        <v>1649406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6523309</v>
      </c>
      <c r="F36" s="305"/>
      <c r="G36" s="320">
        <v>6371115</v>
      </c>
      <c r="H36" s="288"/>
      <c r="I36" s="320">
        <v>6051213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87</v>
      </c>
      <c r="L48" s="328"/>
      <c r="M48" s="332"/>
      <c r="N48" s="328"/>
      <c r="O48" s="332">
        <f>+O10</f>
        <v>342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9846</v>
      </c>
      <c r="L51" s="335"/>
      <c r="M51" s="320"/>
      <c r="N51" s="335"/>
      <c r="O51" s="320">
        <f>+O27+O28</f>
        <v>55922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-341414</v>
      </c>
      <c r="N53" s="328"/>
      <c r="O53" s="332"/>
      <c r="P53" s="328"/>
      <c r="Q53" s="332">
        <f>+Q27+Q28</f>
        <v>-203250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-1284</v>
      </c>
      <c r="N54" s="328"/>
      <c r="O54" s="332"/>
      <c r="P54" s="328"/>
      <c r="Q54" s="332">
        <f>+Q30</f>
        <v>-21467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9933</v>
      </c>
      <c r="L56" s="328"/>
      <c r="M56" s="337">
        <f>SUM(M48:M55)</f>
        <v>-342698</v>
      </c>
      <c r="N56" s="328"/>
      <c r="O56" s="337">
        <f>SUM(O48:O55)</f>
        <v>56264</v>
      </c>
      <c r="P56" s="332"/>
      <c r="Q56" s="337">
        <f>SUM(Q48:Q55)</f>
        <v>-224717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70957</v>
      </c>
      <c r="L59" s="341"/>
      <c r="M59" s="341">
        <f>+M58-M56</f>
        <v>549704</v>
      </c>
      <c r="N59" s="341"/>
      <c r="O59" s="340">
        <f>+O58-O56</f>
        <v>102801</v>
      </c>
      <c r="P59" s="341"/>
      <c r="Q59" s="341">
        <f>+Q58-Q56</f>
        <v>748928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7988B-5BCC-4DF1-9103-49DD0730773A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7" t="s">
        <v>0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271"/>
    </row>
    <row r="2" spans="1:22" ht="15.75" thickBot="1">
      <c r="B2" s="438" t="s">
        <v>569</v>
      </c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271"/>
    </row>
    <row r="3" spans="1:22">
      <c r="A3" s="260"/>
      <c r="B3" s="271"/>
      <c r="C3" s="271"/>
      <c r="D3" s="415"/>
      <c r="E3" s="274"/>
      <c r="F3" s="415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9" t="s">
        <v>522</v>
      </c>
      <c r="F4" s="439"/>
      <c r="G4" s="439"/>
      <c r="H4" s="439"/>
      <c r="I4" s="439"/>
      <c r="J4" s="275"/>
      <c r="K4" s="439" t="s">
        <v>80</v>
      </c>
      <c r="L4" s="439"/>
      <c r="M4" s="439"/>
      <c r="N4" s="439"/>
      <c r="O4" s="439"/>
      <c r="P4" s="439"/>
      <c r="Q4" s="439"/>
      <c r="R4" s="439"/>
      <c r="S4" s="439"/>
      <c r="T4" s="439"/>
      <c r="U4" s="439"/>
      <c r="V4" s="271"/>
    </row>
    <row r="5" spans="1:22" ht="15.75" thickBot="1">
      <c r="A5" s="260"/>
      <c r="B5" s="345">
        <v>43008</v>
      </c>
      <c r="C5" s="271"/>
      <c r="D5" s="271"/>
      <c r="E5" s="274"/>
      <c r="F5" s="274"/>
      <c r="G5" s="274"/>
      <c r="H5" s="276"/>
      <c r="I5" s="274"/>
      <c r="J5" s="276"/>
      <c r="K5" s="440" t="s">
        <v>81</v>
      </c>
      <c r="L5" s="440"/>
      <c r="M5" s="440"/>
      <c r="N5" s="277"/>
      <c r="O5" s="440" t="s">
        <v>82</v>
      </c>
      <c r="P5" s="440"/>
      <c r="Q5" s="440"/>
      <c r="R5" s="277"/>
      <c r="S5" s="440" t="s">
        <v>166</v>
      </c>
      <c r="T5" s="440"/>
      <c r="U5" s="440"/>
      <c r="V5" s="271"/>
    </row>
    <row r="6" spans="1:22" ht="30">
      <c r="A6" s="255" t="s">
        <v>83</v>
      </c>
      <c r="B6" s="271"/>
      <c r="C6" s="271" t="s">
        <v>5</v>
      </c>
      <c r="D6" s="415" t="s">
        <v>8</v>
      </c>
      <c r="E6" s="278" t="s">
        <v>570</v>
      </c>
      <c r="F6" s="279"/>
      <c r="G6" s="278" t="s">
        <v>571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4"/>
      <c r="O6" s="281" t="s">
        <v>12</v>
      </c>
      <c r="P6" s="414"/>
      <c r="Q6" s="283" t="s">
        <v>86</v>
      </c>
      <c r="R6" s="284"/>
      <c r="S6" s="281" t="s">
        <v>12</v>
      </c>
      <c r="T6" s="414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2924815-2408452</f>
        <v>516363</v>
      </c>
      <c r="F9" s="287"/>
      <c r="G9" s="293">
        <f>4513165-3908518</f>
        <v>604647</v>
      </c>
      <c r="H9" s="288"/>
      <c r="I9" s="293">
        <v>1438948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2.3112346583884362E-5</v>
      </c>
      <c r="E10" s="297">
        <v>2408452</v>
      </c>
      <c r="F10" s="287"/>
      <c r="G10" s="297">
        <v>3908518</v>
      </c>
      <c r="H10" s="288"/>
      <c r="I10" s="297">
        <v>408218</v>
      </c>
      <c r="J10" s="287"/>
      <c r="K10" s="297">
        <v>73</v>
      </c>
      <c r="L10" s="288"/>
      <c r="M10" s="297">
        <v>0</v>
      </c>
      <c r="N10" s="287"/>
      <c r="O10" s="297">
        <v>255</v>
      </c>
      <c r="P10" s="288"/>
      <c r="Q10" s="297">
        <v>0</v>
      </c>
      <c r="R10" s="287"/>
      <c r="S10" s="297">
        <v>273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2924815</v>
      </c>
      <c r="F11" s="279"/>
      <c r="G11" s="301">
        <f>SUM(G8:G10)</f>
        <v>4513165</v>
      </c>
      <c r="H11" s="276"/>
      <c r="I11" s="301">
        <f>SUM(I9:I10)</f>
        <v>1847166</v>
      </c>
      <c r="J11" s="279"/>
      <c r="K11" s="301">
        <f>SUM(K9:K10)</f>
        <v>73</v>
      </c>
      <c r="L11" s="276"/>
      <c r="M11" s="301">
        <f>SUM(M9:M10)</f>
        <v>0</v>
      </c>
      <c r="N11" s="279"/>
      <c r="O11" s="301">
        <f>SUM(O9:O10)</f>
        <v>255</v>
      </c>
      <c r="P11" s="276"/>
      <c r="Q11" s="301">
        <f>SUM(Q9:Q10)</f>
        <v>0</v>
      </c>
      <c r="R11" s="279"/>
      <c r="S11" s="301">
        <f>SUM(S9:S10)</f>
        <v>273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659864</v>
      </c>
      <c r="F14" s="309"/>
      <c r="G14" s="366">
        <v>691953</v>
      </c>
      <c r="H14" s="310"/>
      <c r="I14" s="308">
        <v>548398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/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499860</v>
      </c>
      <c r="F22" s="313"/>
      <c r="G22" s="346">
        <v>429718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11278107</v>
      </c>
      <c r="F23" s="317"/>
      <c r="G23" s="316">
        <f>SUM(G14:G22)</f>
        <v>11240054</v>
      </c>
      <c r="H23" s="318"/>
      <c r="I23" s="316">
        <f>SUM(I14:I22)</f>
        <v>10777401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1045</v>
      </c>
      <c r="L27" s="321"/>
      <c r="M27" s="320">
        <v>31044</v>
      </c>
      <c r="N27" s="320"/>
      <c r="O27" s="320">
        <v>3613</v>
      </c>
      <c r="P27" s="321"/>
      <c r="Q27" s="320">
        <v>6751</v>
      </c>
      <c r="R27" s="320"/>
      <c r="S27" s="320">
        <v>2773</v>
      </c>
      <c r="T27" s="321"/>
      <c r="U27" s="320">
        <v>22418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493914</v>
      </c>
      <c r="F28" s="303"/>
      <c r="G28" s="303">
        <v>503323</v>
      </c>
      <c r="H28" s="304"/>
      <c r="I28" s="303">
        <v>323273</v>
      </c>
      <c r="J28" s="303"/>
      <c r="K28" s="303">
        <v>9409</v>
      </c>
      <c r="L28" s="304"/>
      <c r="M28" s="303">
        <v>315257</v>
      </c>
      <c r="N28" s="303"/>
      <c r="O28" s="303">
        <v>42463</v>
      </c>
      <c r="P28" s="304"/>
      <c r="Q28" s="303">
        <v>131414</v>
      </c>
      <c r="R28" s="303"/>
      <c r="S28" s="303">
        <v>68424</v>
      </c>
      <c r="T28" s="304"/>
      <c r="U28" s="303">
        <v>579170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3955010</v>
      </c>
      <c r="F29" s="303"/>
      <c r="G29" s="303">
        <v>4261558</v>
      </c>
      <c r="H29" s="304"/>
      <c r="I29" s="303">
        <v>2058895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-8710</v>
      </c>
      <c r="N30" s="303"/>
      <c r="O30" s="303">
        <v>0</v>
      </c>
      <c r="P30" s="304"/>
      <c r="Q30" s="303">
        <v>-20183</v>
      </c>
      <c r="R30" s="303">
        <v>0</v>
      </c>
      <c r="S30" s="303">
        <v>0</v>
      </c>
      <c r="T30" s="304"/>
      <c r="U30" s="303">
        <v>-20896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-5188462</v>
      </c>
      <c r="F31" s="303"/>
      <c r="G31" s="303">
        <f>-5118320-1</f>
        <v>-5118321</v>
      </c>
      <c r="H31" s="304"/>
      <c r="I31" s="303">
        <v>-1799222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-739538</v>
      </c>
      <c r="F32" s="274"/>
      <c r="G32" s="316">
        <f>SUM(G27:G31)</f>
        <v>-353440</v>
      </c>
      <c r="H32" s="325"/>
      <c r="I32" s="316">
        <f>SUM(I27:I31)</f>
        <v>582946</v>
      </c>
      <c r="J32" s="274"/>
      <c r="K32" s="316">
        <f>SUM(K27:K31)</f>
        <v>10454</v>
      </c>
      <c r="L32" s="325"/>
      <c r="M32" s="316">
        <f>SUM(M27:M31)</f>
        <v>337591</v>
      </c>
      <c r="N32" s="274"/>
      <c r="O32" s="316">
        <f>SUM(O27:O31)</f>
        <v>46076</v>
      </c>
      <c r="P32" s="325"/>
      <c r="Q32" s="316">
        <f>SUM(Q27:Q31)</f>
        <v>117982</v>
      </c>
      <c r="R32" s="274"/>
      <c r="S32" s="316">
        <f>SUM(S27:S31)</f>
        <v>71197</v>
      </c>
      <c r="T32" s="325"/>
      <c r="U32" s="316">
        <f>SUM(U27:U31)</f>
        <v>580692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13463384</v>
      </c>
      <c r="F34" s="274"/>
      <c r="G34" s="326">
        <f>+G32+G23+G11</f>
        <v>15399779</v>
      </c>
      <c r="H34" s="276"/>
      <c r="I34" s="326">
        <f>+I32+I23+I11</f>
        <v>13207513</v>
      </c>
      <c r="J34" s="274"/>
      <c r="K34" s="326">
        <f>+K32+K23+K11</f>
        <v>10527</v>
      </c>
      <c r="L34" s="276"/>
      <c r="M34" s="326">
        <f>+M32+M23+M11</f>
        <v>337591</v>
      </c>
      <c r="N34" s="274"/>
      <c r="O34" s="326">
        <f>+O32+O23+O11</f>
        <v>46331</v>
      </c>
      <c r="P34" s="276"/>
      <c r="Q34" s="326">
        <f>+Q32+Q23+Q11</f>
        <v>117982</v>
      </c>
      <c r="R34" s="274"/>
      <c r="S34" s="326">
        <f>+S32+S23+S11</f>
        <v>71470</v>
      </c>
      <c r="T34" s="276"/>
      <c r="U34" s="326">
        <f>+U32+U23+U11</f>
        <v>580692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6313032</v>
      </c>
      <c r="F36" s="305"/>
      <c r="G36" s="320">
        <v>6523309</v>
      </c>
      <c r="H36" s="288"/>
      <c r="I36" s="320">
        <v>5965968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73</v>
      </c>
      <c r="L48" s="328"/>
      <c r="M48" s="332"/>
      <c r="N48" s="328"/>
      <c r="O48" s="332">
        <f>+O10</f>
        <v>255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10454</v>
      </c>
      <c r="L51" s="335"/>
      <c r="M51" s="320"/>
      <c r="N51" s="335"/>
      <c r="O51" s="320">
        <f>+O27+O28</f>
        <v>46076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346301</v>
      </c>
      <c r="N53" s="328"/>
      <c r="O53" s="332"/>
      <c r="P53" s="328"/>
      <c r="Q53" s="332">
        <f>+Q27+Q28</f>
        <v>138165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-8710</v>
      </c>
      <c r="N54" s="328"/>
      <c r="O54" s="332"/>
      <c r="P54" s="328"/>
      <c r="Q54" s="332">
        <f>+Q30</f>
        <v>-20183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10527</v>
      </c>
      <c r="L56" s="328"/>
      <c r="M56" s="337">
        <f>SUM(M48:M55)</f>
        <v>337591</v>
      </c>
      <c r="N56" s="328"/>
      <c r="O56" s="337">
        <f>SUM(O48:O55)</f>
        <v>46331</v>
      </c>
      <c r="P56" s="332"/>
      <c r="Q56" s="337">
        <f>SUM(Q48:Q55)</f>
        <v>117982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70363</v>
      </c>
      <c r="L59" s="341"/>
      <c r="M59" s="341">
        <f>+M58-M56</f>
        <v>-130585</v>
      </c>
      <c r="N59" s="341"/>
      <c r="O59" s="340">
        <f>+O58-O56</f>
        <v>112734</v>
      </c>
      <c r="P59" s="341"/>
      <c r="Q59" s="341">
        <f>+Q58-Q56</f>
        <v>406229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7C286-F373-4FAF-984C-B7E18A1656B5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7" t="s">
        <v>0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271"/>
    </row>
    <row r="2" spans="1:22" ht="15.75" thickBot="1">
      <c r="B2" s="438" t="s">
        <v>569</v>
      </c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271"/>
    </row>
    <row r="3" spans="1:22">
      <c r="A3" s="260"/>
      <c r="B3" s="271"/>
      <c r="C3" s="271"/>
      <c r="D3" s="413"/>
      <c r="E3" s="274"/>
      <c r="F3" s="41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9" t="s">
        <v>522</v>
      </c>
      <c r="F4" s="439"/>
      <c r="G4" s="439"/>
      <c r="H4" s="439"/>
      <c r="I4" s="439"/>
      <c r="J4" s="275"/>
      <c r="K4" s="439" t="s">
        <v>80</v>
      </c>
      <c r="L4" s="439"/>
      <c r="M4" s="439"/>
      <c r="N4" s="439"/>
      <c r="O4" s="439"/>
      <c r="P4" s="439"/>
      <c r="Q4" s="439"/>
      <c r="R4" s="439"/>
      <c r="S4" s="439"/>
      <c r="T4" s="439"/>
      <c r="U4" s="439"/>
      <c r="V4" s="271"/>
    </row>
    <row r="5" spans="1:22" ht="15.75" thickBot="1">
      <c r="A5" s="260"/>
      <c r="B5" s="345">
        <v>42978</v>
      </c>
      <c r="C5" s="271"/>
      <c r="D5" s="271"/>
      <c r="E5" s="274"/>
      <c r="F5" s="274"/>
      <c r="G5" s="274"/>
      <c r="H5" s="276"/>
      <c r="I5" s="274"/>
      <c r="J5" s="276"/>
      <c r="K5" s="440" t="s">
        <v>81</v>
      </c>
      <c r="L5" s="440"/>
      <c r="M5" s="440"/>
      <c r="N5" s="277"/>
      <c r="O5" s="440" t="s">
        <v>82</v>
      </c>
      <c r="P5" s="440"/>
      <c r="Q5" s="440"/>
      <c r="R5" s="277"/>
      <c r="S5" s="440" t="s">
        <v>166</v>
      </c>
      <c r="T5" s="440"/>
      <c r="U5" s="440"/>
      <c r="V5" s="271"/>
    </row>
    <row r="6" spans="1:22" ht="30">
      <c r="A6" s="255" t="s">
        <v>83</v>
      </c>
      <c r="B6" s="271"/>
      <c r="C6" s="271" t="s">
        <v>5</v>
      </c>
      <c r="D6" s="413" t="s">
        <v>8</v>
      </c>
      <c r="E6" s="278" t="s">
        <v>567</v>
      </c>
      <c r="F6" s="279"/>
      <c r="G6" s="278" t="s">
        <v>568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2"/>
      <c r="O6" s="281" t="s">
        <v>12</v>
      </c>
      <c r="P6" s="412"/>
      <c r="Q6" s="283" t="s">
        <v>86</v>
      </c>
      <c r="R6" s="284"/>
      <c r="S6" s="281" t="s">
        <v>12</v>
      </c>
      <c r="T6" s="41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4289608-2408400</f>
        <v>1881208</v>
      </c>
      <c r="F9" s="287"/>
      <c r="G9" s="293">
        <f>2924815-2408452</f>
        <v>516363</v>
      </c>
      <c r="H9" s="288"/>
      <c r="I9" s="293">
        <v>2499068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2.4497327300070668E-5</v>
      </c>
      <c r="E10" s="297">
        <v>2408400</v>
      </c>
      <c r="F10" s="287"/>
      <c r="G10" s="297">
        <v>2408452</v>
      </c>
      <c r="H10" s="288"/>
      <c r="I10" s="297">
        <v>1408108</v>
      </c>
      <c r="J10" s="287"/>
      <c r="K10" s="297">
        <v>59</v>
      </c>
      <c r="L10" s="288"/>
      <c r="M10" s="297">
        <v>0</v>
      </c>
      <c r="N10" s="287"/>
      <c r="O10" s="297">
        <v>182</v>
      </c>
      <c r="P10" s="288"/>
      <c r="Q10" s="297">
        <v>0</v>
      </c>
      <c r="R10" s="287"/>
      <c r="S10" s="297">
        <v>218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4289608</v>
      </c>
      <c r="F11" s="279"/>
      <c r="G11" s="301">
        <f>SUM(G8:G10)</f>
        <v>2924815</v>
      </c>
      <c r="H11" s="276"/>
      <c r="I11" s="301">
        <f>SUM(I9:I10)</f>
        <v>3907176</v>
      </c>
      <c r="J11" s="279"/>
      <c r="K11" s="301">
        <f>SUM(K9:K10)</f>
        <v>59</v>
      </c>
      <c r="L11" s="276"/>
      <c r="M11" s="301">
        <f>SUM(M9:M10)</f>
        <v>0</v>
      </c>
      <c r="N11" s="279"/>
      <c r="O11" s="301">
        <f>SUM(O9:O10)</f>
        <v>182</v>
      </c>
      <c r="P11" s="276"/>
      <c r="Q11" s="301">
        <f>SUM(Q9:Q10)</f>
        <v>0</v>
      </c>
      <c r="R11" s="279"/>
      <c r="S11" s="301">
        <f>SUM(S9:S10)</f>
        <v>218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688911</v>
      </c>
      <c r="F14" s="309"/>
      <c r="G14" s="366">
        <v>659864</v>
      </c>
      <c r="H14" s="310"/>
      <c r="I14" s="308">
        <v>571059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499860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11307154</v>
      </c>
      <c r="F23" s="317"/>
      <c r="G23" s="316">
        <f>SUM(G14:G22)</f>
        <v>11278107</v>
      </c>
      <c r="H23" s="318"/>
      <c r="I23" s="316">
        <f>SUM(I14:I22)</f>
        <v>10800062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1563</v>
      </c>
      <c r="L27" s="321"/>
      <c r="M27" s="320">
        <v>-30610</v>
      </c>
      <c r="N27" s="320"/>
      <c r="O27" s="320">
        <v>2567</v>
      </c>
      <c r="P27" s="321"/>
      <c r="Q27" s="320">
        <v>-24293</v>
      </c>
      <c r="R27" s="320"/>
      <c r="S27" s="320">
        <v>2044</v>
      </c>
      <c r="T27" s="321"/>
      <c r="U27" s="320">
        <v>30698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480351</v>
      </c>
      <c r="F28" s="303"/>
      <c r="G28" s="303">
        <v>493914</v>
      </c>
      <c r="H28" s="304"/>
      <c r="I28" s="303">
        <v>292172</v>
      </c>
      <c r="J28" s="303"/>
      <c r="K28" s="303">
        <v>13562</v>
      </c>
      <c r="L28" s="304"/>
      <c r="M28" s="303">
        <v>-340589</v>
      </c>
      <c r="N28" s="303"/>
      <c r="O28" s="303">
        <v>33054</v>
      </c>
      <c r="P28" s="304"/>
      <c r="Q28" s="303">
        <v>-183843</v>
      </c>
      <c r="R28" s="303"/>
      <c r="S28" s="303">
        <v>59066</v>
      </c>
      <c r="T28" s="304"/>
      <c r="U28" s="303">
        <v>700414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4296869</v>
      </c>
      <c r="F29" s="303"/>
      <c r="G29" s="303">
        <v>3955010</v>
      </c>
      <c r="H29" s="304"/>
      <c r="I29" s="303">
        <v>2404664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-1270</v>
      </c>
      <c r="N30" s="303"/>
      <c r="O30" s="303">
        <v>0</v>
      </c>
      <c r="P30" s="304"/>
      <c r="Q30" s="303">
        <v>-11474</v>
      </c>
      <c r="R30" s="303">
        <v>0</v>
      </c>
      <c r="S30" s="303">
        <v>0</v>
      </c>
      <c r="T30" s="304"/>
      <c r="U30" s="303">
        <v>-11353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-5188462</v>
      </c>
      <c r="F31" s="303"/>
      <c r="G31" s="303">
        <v>-5188462</v>
      </c>
      <c r="H31" s="304"/>
      <c r="I31" s="303">
        <v>-1799222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-411242</v>
      </c>
      <c r="F32" s="274"/>
      <c r="G32" s="316">
        <f>SUM(G27:G31)</f>
        <v>-739538</v>
      </c>
      <c r="H32" s="325"/>
      <c r="I32" s="316">
        <f>SUM(I27:I31)</f>
        <v>897614</v>
      </c>
      <c r="J32" s="274"/>
      <c r="K32" s="316">
        <f>SUM(K27:K31)</f>
        <v>15125</v>
      </c>
      <c r="L32" s="325"/>
      <c r="M32" s="316">
        <f>SUM(M27:M31)</f>
        <v>-372469</v>
      </c>
      <c r="N32" s="274"/>
      <c r="O32" s="316">
        <f>SUM(O27:O31)</f>
        <v>35621</v>
      </c>
      <c r="P32" s="325"/>
      <c r="Q32" s="316">
        <f>SUM(Q27:Q31)</f>
        <v>-219610</v>
      </c>
      <c r="R32" s="274"/>
      <c r="S32" s="316">
        <f>SUM(S27:S31)</f>
        <v>61110</v>
      </c>
      <c r="T32" s="325"/>
      <c r="U32" s="316">
        <f>SUM(U27:U31)</f>
        <v>719759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15185520</v>
      </c>
      <c r="F34" s="274"/>
      <c r="G34" s="326">
        <f>+G32+G23+G11</f>
        <v>13463384</v>
      </c>
      <c r="H34" s="276"/>
      <c r="I34" s="326">
        <f>+I32+I23+I11</f>
        <v>15604852</v>
      </c>
      <c r="J34" s="274"/>
      <c r="K34" s="326">
        <f>+K32+K23+K11</f>
        <v>15184</v>
      </c>
      <c r="L34" s="276"/>
      <c r="M34" s="326">
        <f>+M32+M23+M11</f>
        <v>-372469</v>
      </c>
      <c r="N34" s="274"/>
      <c r="O34" s="326">
        <f>+O32+O23+O11</f>
        <v>35803</v>
      </c>
      <c r="P34" s="276"/>
      <c r="Q34" s="326">
        <f>+Q32+Q23+Q11</f>
        <v>-219610</v>
      </c>
      <c r="R34" s="274"/>
      <c r="S34" s="326">
        <f>+S32+S23+S11</f>
        <v>61328</v>
      </c>
      <c r="T34" s="276"/>
      <c r="U34" s="326">
        <f>+U32+U23+U11</f>
        <v>719759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6519038</v>
      </c>
      <c r="F36" s="305"/>
      <c r="G36" s="320">
        <v>6313032</v>
      </c>
      <c r="H36" s="288"/>
      <c r="I36" s="320">
        <v>6126083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59</v>
      </c>
      <c r="L48" s="328"/>
      <c r="M48" s="332"/>
      <c r="N48" s="328"/>
      <c r="O48" s="332">
        <f>+O10</f>
        <v>182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15125</v>
      </c>
      <c r="L51" s="335"/>
      <c r="M51" s="320"/>
      <c r="N51" s="335"/>
      <c r="O51" s="320">
        <f>+O27+O28</f>
        <v>35621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-371199</v>
      </c>
      <c r="N53" s="328"/>
      <c r="O53" s="332"/>
      <c r="P53" s="328"/>
      <c r="Q53" s="332">
        <f>+Q27+Q28</f>
        <v>-208136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-1270</v>
      </c>
      <c r="N54" s="328"/>
      <c r="O54" s="332"/>
      <c r="P54" s="328"/>
      <c r="Q54" s="332">
        <f>+Q30</f>
        <v>-11474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15184</v>
      </c>
      <c r="L56" s="328"/>
      <c r="M56" s="337">
        <f>SUM(M48:M55)</f>
        <v>-372469</v>
      </c>
      <c r="N56" s="328"/>
      <c r="O56" s="337">
        <f>SUM(O48:O55)</f>
        <v>35803</v>
      </c>
      <c r="P56" s="332"/>
      <c r="Q56" s="337">
        <f>SUM(Q48:Q55)</f>
        <v>-219610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65706</v>
      </c>
      <c r="L59" s="341"/>
      <c r="M59" s="341">
        <f>+M58-M56</f>
        <v>579475</v>
      </c>
      <c r="N59" s="341"/>
      <c r="O59" s="340">
        <f>+O58-O56</f>
        <v>123262</v>
      </c>
      <c r="P59" s="341"/>
      <c r="Q59" s="341">
        <f>+Q58-Q56</f>
        <v>743821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4B021-07EE-4EFD-9C39-558B9A899FA4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7" t="s">
        <v>0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271"/>
    </row>
    <row r="2" spans="1:22" ht="15.75" thickBot="1">
      <c r="B2" s="438" t="s">
        <v>536</v>
      </c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271"/>
    </row>
    <row r="3" spans="1:22">
      <c r="A3" s="260"/>
      <c r="B3" s="271"/>
      <c r="C3" s="271"/>
      <c r="D3" s="411"/>
      <c r="E3" s="274"/>
      <c r="F3" s="411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9" t="s">
        <v>522</v>
      </c>
      <c r="F4" s="439"/>
      <c r="G4" s="439"/>
      <c r="H4" s="439"/>
      <c r="I4" s="439"/>
      <c r="J4" s="275"/>
      <c r="K4" s="439" t="s">
        <v>80</v>
      </c>
      <c r="L4" s="439"/>
      <c r="M4" s="439"/>
      <c r="N4" s="439"/>
      <c r="O4" s="439"/>
      <c r="P4" s="439"/>
      <c r="Q4" s="439"/>
      <c r="R4" s="439"/>
      <c r="S4" s="439"/>
      <c r="T4" s="439"/>
      <c r="U4" s="439"/>
      <c r="V4" s="271"/>
    </row>
    <row r="5" spans="1:22" ht="15.75" thickBot="1">
      <c r="A5" s="260"/>
      <c r="B5" s="345">
        <v>42947</v>
      </c>
      <c r="C5" s="271"/>
      <c r="D5" s="271"/>
      <c r="E5" s="274"/>
      <c r="F5" s="274"/>
      <c r="G5" s="274"/>
      <c r="H5" s="276"/>
      <c r="I5" s="274"/>
      <c r="J5" s="276"/>
      <c r="K5" s="440" t="s">
        <v>81</v>
      </c>
      <c r="L5" s="440"/>
      <c r="M5" s="440"/>
      <c r="N5" s="277"/>
      <c r="O5" s="440" t="s">
        <v>82</v>
      </c>
      <c r="P5" s="440"/>
      <c r="Q5" s="440"/>
      <c r="R5" s="277"/>
      <c r="S5" s="440" t="s">
        <v>166</v>
      </c>
      <c r="T5" s="440"/>
      <c r="U5" s="440"/>
      <c r="V5" s="271"/>
    </row>
    <row r="6" spans="1:22" ht="30">
      <c r="A6" s="255" t="s">
        <v>83</v>
      </c>
      <c r="B6" s="271"/>
      <c r="C6" s="271" t="s">
        <v>5</v>
      </c>
      <c r="D6" s="411" t="s">
        <v>8</v>
      </c>
      <c r="E6" s="278" t="s">
        <v>565</v>
      </c>
      <c r="F6" s="279"/>
      <c r="G6" s="278" t="s">
        <v>566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0"/>
      <c r="O6" s="281" t="s">
        <v>12</v>
      </c>
      <c r="P6" s="410"/>
      <c r="Q6" s="283" t="s">
        <v>86</v>
      </c>
      <c r="R6" s="284"/>
      <c r="S6" s="281" t="s">
        <v>12</v>
      </c>
      <c r="T6" s="410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4194697-2408344</f>
        <v>1786353</v>
      </c>
      <c r="F9" s="287"/>
      <c r="G9" s="293">
        <f>4289608-2408400</f>
        <v>1881208</v>
      </c>
      <c r="H9" s="288"/>
      <c r="I9" s="293">
        <v>2499068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2.6158749561944749E-5</v>
      </c>
      <c r="E10" s="297">
        <v>2408344</v>
      </c>
      <c r="F10" s="287"/>
      <c r="G10" s="297">
        <v>2408400</v>
      </c>
      <c r="H10" s="288"/>
      <c r="I10" s="297">
        <v>1408108</v>
      </c>
      <c r="J10" s="287"/>
      <c r="K10" s="297">
        <v>63</v>
      </c>
      <c r="L10" s="288"/>
      <c r="M10" s="297">
        <v>0</v>
      </c>
      <c r="N10" s="287"/>
      <c r="O10" s="297">
        <v>123</v>
      </c>
      <c r="P10" s="288"/>
      <c r="Q10" s="297">
        <v>0</v>
      </c>
      <c r="R10" s="287"/>
      <c r="S10" s="297">
        <v>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4194697</v>
      </c>
      <c r="F11" s="279"/>
      <c r="G11" s="301">
        <f>SUM(G8:G10)</f>
        <v>4289608</v>
      </c>
      <c r="H11" s="276"/>
      <c r="I11" s="301">
        <f>SUM(I9:I10)</f>
        <v>3907176</v>
      </c>
      <c r="J11" s="279"/>
      <c r="K11" s="301">
        <f>SUM(K9:K10)</f>
        <v>63</v>
      </c>
      <c r="L11" s="276"/>
      <c r="M11" s="301">
        <f>SUM(M9:M10)</f>
        <v>0</v>
      </c>
      <c r="N11" s="279"/>
      <c r="O11" s="301">
        <f>SUM(O9:O10)</f>
        <v>123</v>
      </c>
      <c r="P11" s="276"/>
      <c r="Q11" s="301">
        <f>SUM(Q9:Q10)</f>
        <v>0</v>
      </c>
      <c r="R11" s="279"/>
      <c r="S11" s="301">
        <f>SUM(S9:S10)</f>
        <v>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683262</v>
      </c>
      <c r="F14" s="309"/>
      <c r="G14" s="366">
        <v>688911</v>
      </c>
      <c r="H14" s="310"/>
      <c r="I14" s="308">
        <v>571059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499860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11301505</v>
      </c>
      <c r="F23" s="317"/>
      <c r="G23" s="316">
        <f>SUM(G14:G22)</f>
        <v>11307154</v>
      </c>
      <c r="H23" s="318"/>
      <c r="I23" s="316">
        <f>SUM(I14:I22)</f>
        <v>10800062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276</v>
      </c>
      <c r="L27" s="321"/>
      <c r="M27" s="320">
        <v>5373</v>
      </c>
      <c r="N27" s="320"/>
      <c r="O27" s="320">
        <v>1005</v>
      </c>
      <c r="P27" s="321"/>
      <c r="Q27" s="320">
        <v>6316</v>
      </c>
      <c r="R27" s="320"/>
      <c r="S27" s="320">
        <v>294</v>
      </c>
      <c r="T27" s="321"/>
      <c r="U27" s="320">
        <v>20637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470255</v>
      </c>
      <c r="F28" s="303"/>
      <c r="G28" s="303">
        <v>480351</v>
      </c>
      <c r="H28" s="304"/>
      <c r="I28" s="303">
        <v>292172</v>
      </c>
      <c r="J28" s="303"/>
      <c r="K28" s="303">
        <v>10097</v>
      </c>
      <c r="L28" s="304"/>
      <c r="M28" s="303">
        <v>130707</v>
      </c>
      <c r="N28" s="303"/>
      <c r="O28" s="303">
        <v>19491</v>
      </c>
      <c r="P28" s="304"/>
      <c r="Q28" s="303">
        <v>156747</v>
      </c>
      <c r="R28" s="303"/>
      <c r="S28" s="303">
        <v>19168</v>
      </c>
      <c r="T28" s="304"/>
      <c r="U28" s="303">
        <v>452105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4167505</v>
      </c>
      <c r="F29" s="303"/>
      <c r="G29" s="303">
        <v>4296869</v>
      </c>
      <c r="H29" s="304"/>
      <c r="I29" s="303">
        <v>2404664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-1343</v>
      </c>
      <c r="N30" s="303"/>
      <c r="O30" s="303">
        <v>0</v>
      </c>
      <c r="P30" s="304"/>
      <c r="Q30" s="303">
        <v>-10204</v>
      </c>
      <c r="R30" s="303">
        <v>0</v>
      </c>
      <c r="S30" s="303">
        <v>0</v>
      </c>
      <c r="T30" s="304"/>
      <c r="U30" s="303">
        <v>-8858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-5188462</v>
      </c>
      <c r="F31" s="303"/>
      <c r="G31" s="303">
        <v>-5188462</v>
      </c>
      <c r="H31" s="304"/>
      <c r="I31" s="303">
        <v>-1799222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-550702</v>
      </c>
      <c r="F32" s="274"/>
      <c r="G32" s="316">
        <f>SUM(G27:G31)</f>
        <v>-411242</v>
      </c>
      <c r="H32" s="325"/>
      <c r="I32" s="316">
        <f>SUM(I27:I31)</f>
        <v>897614</v>
      </c>
      <c r="J32" s="274"/>
      <c r="K32" s="316">
        <f>SUM(K27:K31)</f>
        <v>10373</v>
      </c>
      <c r="L32" s="325"/>
      <c r="M32" s="316">
        <f>SUM(M27:M31)</f>
        <v>134737</v>
      </c>
      <c r="N32" s="274"/>
      <c r="O32" s="316">
        <f>SUM(O27:O31)</f>
        <v>20496</v>
      </c>
      <c r="P32" s="325"/>
      <c r="Q32" s="316">
        <f>SUM(Q27:Q31)</f>
        <v>152859</v>
      </c>
      <c r="R32" s="274"/>
      <c r="S32" s="316">
        <f>SUM(S27:S31)</f>
        <v>19462</v>
      </c>
      <c r="T32" s="325"/>
      <c r="U32" s="316">
        <f>SUM(U27:U31)</f>
        <v>463884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14945500</v>
      </c>
      <c r="F34" s="274"/>
      <c r="G34" s="326">
        <f>+G32+G23+G11</f>
        <v>15185520</v>
      </c>
      <c r="H34" s="276"/>
      <c r="I34" s="326">
        <f>+I32+I23+I11</f>
        <v>15604852</v>
      </c>
      <c r="J34" s="274"/>
      <c r="K34" s="326">
        <f>+K32+K23+K11</f>
        <v>10436</v>
      </c>
      <c r="L34" s="276"/>
      <c r="M34" s="326">
        <f>+M32+M23+M11</f>
        <v>134737</v>
      </c>
      <c r="N34" s="274"/>
      <c r="O34" s="326">
        <f>+O32+O23+O11</f>
        <v>20619</v>
      </c>
      <c r="P34" s="276"/>
      <c r="Q34" s="326">
        <f>+Q32+Q23+Q11</f>
        <v>152859</v>
      </c>
      <c r="R34" s="274"/>
      <c r="S34" s="326">
        <f>+S32+S23+S11</f>
        <v>19539</v>
      </c>
      <c r="T34" s="276"/>
      <c r="U34" s="326">
        <f>+U32+U23+U11</f>
        <v>463884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6416688</v>
      </c>
      <c r="F36" s="305"/>
      <c r="G36" s="320">
        <v>6519038</v>
      </c>
      <c r="H36" s="288"/>
      <c r="I36" s="320">
        <v>6126083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63</v>
      </c>
      <c r="L48" s="328"/>
      <c r="M48" s="332"/>
      <c r="N48" s="328"/>
      <c r="O48" s="332">
        <f>+O10</f>
        <v>123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10373</v>
      </c>
      <c r="L51" s="335"/>
      <c r="M51" s="320"/>
      <c r="N51" s="335"/>
      <c r="O51" s="320">
        <f>+O27+O28</f>
        <v>20496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136080</v>
      </c>
      <c r="N53" s="328"/>
      <c r="O53" s="332"/>
      <c r="P53" s="328"/>
      <c r="Q53" s="332">
        <f>+Q27+Q28</f>
        <v>163063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-1343</v>
      </c>
      <c r="N54" s="328"/>
      <c r="O54" s="332"/>
      <c r="P54" s="328"/>
      <c r="Q54" s="332">
        <f>+Q30</f>
        <v>-10204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10436</v>
      </c>
      <c r="L56" s="328"/>
      <c r="M56" s="337">
        <f>SUM(M48:M55)</f>
        <v>134737</v>
      </c>
      <c r="N56" s="328"/>
      <c r="O56" s="337">
        <f>SUM(O48:O55)</f>
        <v>20619</v>
      </c>
      <c r="P56" s="332"/>
      <c r="Q56" s="337">
        <f>SUM(Q48:Q55)</f>
        <v>152859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70454</v>
      </c>
      <c r="L59" s="341"/>
      <c r="M59" s="341">
        <f>+M58-M56</f>
        <v>72269</v>
      </c>
      <c r="N59" s="341"/>
      <c r="O59" s="340">
        <f>+O58-O56</f>
        <v>138446</v>
      </c>
      <c r="P59" s="341"/>
      <c r="Q59" s="341">
        <f>+Q58-Q56</f>
        <v>371352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E36" sqref="E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37927</v>
      </c>
      <c r="I7" s="4"/>
      <c r="J7" s="18">
        <v>37892</v>
      </c>
      <c r="K7" s="4"/>
      <c r="L7" s="18">
        <v>37563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1555</v>
      </c>
      <c r="Q11" s="13"/>
      <c r="R11" s="12">
        <v>1751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4.0199999999999996</v>
      </c>
      <c r="G13" s="11"/>
      <c r="H13" s="12">
        <v>129909</v>
      </c>
      <c r="I13" s="13"/>
      <c r="J13" s="12">
        <v>129409</v>
      </c>
      <c r="K13" s="13"/>
      <c r="L13" s="12">
        <v>123107</v>
      </c>
      <c r="M13" s="13"/>
      <c r="N13" s="12">
        <v>500</v>
      </c>
      <c r="O13" s="13"/>
      <c r="P13" s="12">
        <v>2144</v>
      </c>
      <c r="Q13" s="13"/>
      <c r="R13" s="12">
        <v>1984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4.7300000000000004</v>
      </c>
      <c r="G14" s="11"/>
      <c r="H14" s="15">
        <v>75023</v>
      </c>
      <c r="I14" s="13"/>
      <c r="J14" s="15">
        <v>74823</v>
      </c>
      <c r="K14" s="13"/>
      <c r="L14" s="15">
        <v>71494</v>
      </c>
      <c r="M14" s="13"/>
      <c r="N14" s="15">
        <v>200</v>
      </c>
      <c r="O14" s="13"/>
      <c r="P14" s="15">
        <v>1102</v>
      </c>
      <c r="Q14" s="13"/>
      <c r="R14" s="15">
        <v>1041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768009</v>
      </c>
      <c r="I16" s="13"/>
      <c r="J16" s="16">
        <f>SUM(J11:J14)</f>
        <v>767309</v>
      </c>
      <c r="K16" s="13"/>
      <c r="L16" s="16">
        <f>SUM(L11:L14)</f>
        <v>757678</v>
      </c>
      <c r="M16" s="13"/>
      <c r="N16" s="16">
        <f>SUM(N11:N14)</f>
        <v>1068</v>
      </c>
      <c r="O16" s="13"/>
      <c r="P16" s="16">
        <f>SUM(P11:P14)</f>
        <v>4801</v>
      </c>
      <c r="Q16" s="13"/>
      <c r="R16" s="16">
        <f>SUM(R11:R14)</f>
        <v>4776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4.26</v>
      </c>
      <c r="G23" s="7"/>
      <c r="H23" s="15">
        <v>427034</v>
      </c>
      <c r="I23" s="13"/>
      <c r="J23" s="15">
        <v>425565</v>
      </c>
      <c r="K23" s="15">
        <v>425705</v>
      </c>
      <c r="L23" s="15">
        <v>453262</v>
      </c>
      <c r="M23" s="13"/>
      <c r="N23" s="15">
        <v>1901</v>
      </c>
      <c r="O23" s="13"/>
      <c r="P23" s="15">
        <v>7163</v>
      </c>
      <c r="Q23" s="13"/>
      <c r="R23" s="15">
        <v>7937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427034</v>
      </c>
      <c r="I25" s="13"/>
      <c r="J25" s="16">
        <f>SUM(J22:J23)</f>
        <v>425565</v>
      </c>
      <c r="K25" s="13"/>
      <c r="L25" s="16">
        <f>SUM(L22:L23)</f>
        <v>453262</v>
      </c>
      <c r="M25" s="13"/>
      <c r="N25" s="16">
        <f>SUM(N22:N23)</f>
        <v>1901</v>
      </c>
      <c r="O25" s="13"/>
      <c r="P25" s="16">
        <f>SUM(P22:P23)</f>
        <v>7163</v>
      </c>
      <c r="Q25" s="13"/>
      <c r="R25" s="16">
        <f>SUM(R22:R23)</f>
        <v>7937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1349821</v>
      </c>
      <c r="I31" s="13"/>
      <c r="J31" s="12">
        <v>1344121</v>
      </c>
      <c r="K31" s="13"/>
      <c r="L31" s="12">
        <v>1279066</v>
      </c>
      <c r="M31" s="13"/>
      <c r="N31" s="12">
        <v>5700</v>
      </c>
      <c r="O31" s="13" t="s">
        <v>31</v>
      </c>
      <c r="P31" s="12">
        <v>22724</v>
      </c>
      <c r="Q31" s="13"/>
      <c r="R31" s="12">
        <v>21631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5153</v>
      </c>
      <c r="I33" s="13"/>
      <c r="J33" s="12">
        <v>5133</v>
      </c>
      <c r="K33" s="13"/>
      <c r="L33" s="12">
        <v>4917</v>
      </c>
      <c r="M33" s="13"/>
      <c r="N33" s="12">
        <v>20</v>
      </c>
      <c r="O33" s="13"/>
      <c r="P33" s="12">
        <v>82</v>
      </c>
      <c r="Q33" s="13"/>
      <c r="R33" s="12">
        <v>76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4.47</v>
      </c>
      <c r="G34" s="7"/>
      <c r="H34" s="15">
        <v>9189814</v>
      </c>
      <c r="I34" s="13"/>
      <c r="J34" s="15">
        <v>9651256</v>
      </c>
      <c r="K34" s="13"/>
      <c r="L34" s="15">
        <v>7275892</v>
      </c>
      <c r="M34" s="13"/>
      <c r="N34" s="15">
        <v>38190</v>
      </c>
      <c r="O34" s="13"/>
      <c r="P34" s="15">
        <v>134491</v>
      </c>
      <c r="Q34" s="13"/>
      <c r="R34" s="15">
        <v>137744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10553347</v>
      </c>
      <c r="I36" s="13"/>
      <c r="J36" s="16">
        <f>SUM(J31:J34)</f>
        <v>11009069</v>
      </c>
      <c r="K36" s="13"/>
      <c r="L36" s="16">
        <f>SUM(L31:L34)</f>
        <v>8568499</v>
      </c>
      <c r="M36" s="13"/>
      <c r="N36" s="16">
        <f>SUM(N31:N34)</f>
        <v>43910</v>
      </c>
      <c r="O36" s="13"/>
      <c r="P36" s="16">
        <f>SUM(P31:P34)</f>
        <v>157297</v>
      </c>
      <c r="Q36" s="13"/>
      <c r="R36" s="16">
        <f>SUM(R31:R34)</f>
        <v>159451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CE0F9-0195-44C2-9C05-71189DF9DF49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7" t="s">
        <v>0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271"/>
    </row>
    <row r="2" spans="1:22" ht="15.75" thickBot="1">
      <c r="B2" s="438" t="s">
        <v>536</v>
      </c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271"/>
    </row>
    <row r="3" spans="1:22">
      <c r="A3" s="260"/>
      <c r="B3" s="271"/>
      <c r="C3" s="271"/>
      <c r="D3" s="406"/>
      <c r="E3" s="274"/>
      <c r="F3" s="40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9" t="s">
        <v>522</v>
      </c>
      <c r="F4" s="439"/>
      <c r="G4" s="439"/>
      <c r="H4" s="439"/>
      <c r="I4" s="439"/>
      <c r="J4" s="275"/>
      <c r="K4" s="439" t="s">
        <v>80</v>
      </c>
      <c r="L4" s="439"/>
      <c r="M4" s="439"/>
      <c r="N4" s="439"/>
      <c r="O4" s="439"/>
      <c r="P4" s="439"/>
      <c r="Q4" s="439"/>
      <c r="R4" s="439"/>
      <c r="S4" s="439"/>
      <c r="T4" s="439"/>
      <c r="U4" s="439"/>
      <c r="V4" s="271"/>
    </row>
    <row r="5" spans="1:22" ht="15.75" thickBot="1">
      <c r="A5" s="260"/>
      <c r="B5" s="345">
        <v>42916</v>
      </c>
      <c r="C5" s="271"/>
      <c r="D5" s="271"/>
      <c r="E5" s="274"/>
      <c r="F5" s="274"/>
      <c r="G5" s="274"/>
      <c r="H5" s="276"/>
      <c r="I5" s="274"/>
      <c r="J5" s="276"/>
      <c r="K5" s="440" t="s">
        <v>81</v>
      </c>
      <c r="L5" s="440"/>
      <c r="M5" s="440"/>
      <c r="N5" s="277"/>
      <c r="O5" s="440" t="s">
        <v>82</v>
      </c>
      <c r="P5" s="440"/>
      <c r="Q5" s="440"/>
      <c r="R5" s="277"/>
      <c r="S5" s="440" t="s">
        <v>166</v>
      </c>
      <c r="T5" s="440"/>
      <c r="U5" s="440"/>
      <c r="V5" s="271"/>
    </row>
    <row r="6" spans="1:22" ht="30">
      <c r="A6" s="255" t="s">
        <v>83</v>
      </c>
      <c r="B6" s="271"/>
      <c r="C6" s="271" t="s">
        <v>5</v>
      </c>
      <c r="D6" s="406" t="s">
        <v>8</v>
      </c>
      <c r="E6" s="278" t="s">
        <v>563</v>
      </c>
      <c r="F6" s="279"/>
      <c r="G6" s="278" t="s">
        <v>564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5"/>
      <c r="O6" s="281" t="s">
        <v>12</v>
      </c>
      <c r="P6" s="405"/>
      <c r="Q6" s="283" t="s">
        <v>86</v>
      </c>
      <c r="R6" s="284"/>
      <c r="S6" s="281" t="s">
        <v>12</v>
      </c>
      <c r="T6" s="40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4693610-2408291</f>
        <v>2285319</v>
      </c>
      <c r="F9" s="287"/>
      <c r="G9" s="293">
        <f>4194697-2408344</f>
        <v>1786353</v>
      </c>
      <c r="H9" s="288"/>
      <c r="I9" s="293">
        <v>2306105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2.4498430958542634E-5</v>
      </c>
      <c r="E10" s="297">
        <v>2408291</v>
      </c>
      <c r="F10" s="287"/>
      <c r="G10" s="297">
        <v>2408344</v>
      </c>
      <c r="H10" s="288"/>
      <c r="I10" s="297">
        <v>1408043</v>
      </c>
      <c r="J10" s="287"/>
      <c r="K10" s="297">
        <v>59</v>
      </c>
      <c r="L10" s="288"/>
      <c r="M10" s="297">
        <v>0</v>
      </c>
      <c r="N10" s="287"/>
      <c r="O10" s="297">
        <v>59</v>
      </c>
      <c r="P10" s="288"/>
      <c r="Q10" s="297">
        <v>0</v>
      </c>
      <c r="R10" s="287"/>
      <c r="S10" s="297">
        <v>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4693610</v>
      </c>
      <c r="F11" s="279"/>
      <c r="G11" s="301">
        <f>SUM(G8:G10)</f>
        <v>4194697</v>
      </c>
      <c r="H11" s="276"/>
      <c r="I11" s="301">
        <f>SUM(I9:I10)</f>
        <v>3714148</v>
      </c>
      <c r="J11" s="279"/>
      <c r="K11" s="301">
        <f>SUM(K9:K10)</f>
        <v>59</v>
      </c>
      <c r="L11" s="276"/>
      <c r="M11" s="301">
        <f>SUM(M9:M10)</f>
        <v>0</v>
      </c>
      <c r="N11" s="279"/>
      <c r="O11" s="301">
        <f>SUM(O9:O10)</f>
        <v>59</v>
      </c>
      <c r="P11" s="276"/>
      <c r="Q11" s="301">
        <f>SUM(Q9:Q10)</f>
        <v>0</v>
      </c>
      <c r="R11" s="279"/>
      <c r="S11" s="301">
        <f>SUM(S9:S10)</f>
        <v>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681590</v>
      </c>
      <c r="F14" s="309"/>
      <c r="G14" s="366">
        <v>683262</v>
      </c>
      <c r="H14" s="310"/>
      <c r="I14" s="308">
        <v>544137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4506552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499860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11726203</v>
      </c>
      <c r="F23" s="317"/>
      <c r="G23" s="316">
        <f>SUM(G14:G22)</f>
        <v>11301505</v>
      </c>
      <c r="H23" s="318"/>
      <c r="I23" s="316">
        <f>SUM(I14:I22)</f>
        <v>10773140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728</v>
      </c>
      <c r="L27" s="321"/>
      <c r="M27" s="320">
        <v>944</v>
      </c>
      <c r="N27" s="320"/>
      <c r="O27" s="320">
        <v>728</v>
      </c>
      <c r="P27" s="321"/>
      <c r="Q27" s="320">
        <v>944</v>
      </c>
      <c r="R27" s="320"/>
      <c r="S27" s="320">
        <v>294</v>
      </c>
      <c r="T27" s="321"/>
      <c r="U27" s="320">
        <v>20637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460860</v>
      </c>
      <c r="F28" s="303"/>
      <c r="G28" s="303">
        <v>470255</v>
      </c>
      <c r="H28" s="304"/>
      <c r="I28" s="303">
        <v>274017</v>
      </c>
      <c r="J28" s="303"/>
      <c r="K28" s="303">
        <v>9395</v>
      </c>
      <c r="L28" s="304"/>
      <c r="M28" s="303">
        <v>26039</v>
      </c>
      <c r="N28" s="303"/>
      <c r="O28" s="303">
        <v>9395</v>
      </c>
      <c r="P28" s="304"/>
      <c r="Q28" s="303">
        <v>26039</v>
      </c>
      <c r="R28" s="303"/>
      <c r="S28" s="303">
        <v>19168</v>
      </c>
      <c r="T28" s="304"/>
      <c r="U28" s="303">
        <v>452105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4150327</v>
      </c>
      <c r="F29" s="303"/>
      <c r="G29" s="303">
        <v>4167505</v>
      </c>
      <c r="H29" s="304"/>
      <c r="I29" s="303">
        <v>1943867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-8861</v>
      </c>
      <c r="N30" s="303"/>
      <c r="O30" s="303">
        <v>0</v>
      </c>
      <c r="P30" s="304"/>
      <c r="Q30" s="303">
        <v>-8861</v>
      </c>
      <c r="R30" s="303">
        <v>0</v>
      </c>
      <c r="S30" s="303">
        <v>0</v>
      </c>
      <c r="T30" s="304"/>
      <c r="U30" s="303">
        <v>-8858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-5614832</v>
      </c>
      <c r="F31" s="303"/>
      <c r="G31" s="303">
        <v>-5188462</v>
      </c>
      <c r="H31" s="304"/>
      <c r="I31" s="303">
        <v>-1799222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-1003645</v>
      </c>
      <c r="F32" s="274"/>
      <c r="G32" s="316">
        <f>SUM(G27:G31)</f>
        <v>-550702</v>
      </c>
      <c r="H32" s="325"/>
      <c r="I32" s="316">
        <f>SUM(I27:I31)</f>
        <v>418662</v>
      </c>
      <c r="J32" s="274"/>
      <c r="K32" s="316">
        <f>SUM(K27:K31)</f>
        <v>10123</v>
      </c>
      <c r="L32" s="325"/>
      <c r="M32" s="316">
        <f>SUM(M27:M31)</f>
        <v>18122</v>
      </c>
      <c r="N32" s="274"/>
      <c r="O32" s="316">
        <f>SUM(O27:O31)</f>
        <v>10123</v>
      </c>
      <c r="P32" s="325"/>
      <c r="Q32" s="316">
        <f>SUM(Q27:Q31)</f>
        <v>18122</v>
      </c>
      <c r="R32" s="274"/>
      <c r="S32" s="316">
        <f>SUM(S27:S31)</f>
        <v>19462</v>
      </c>
      <c r="T32" s="325"/>
      <c r="U32" s="316">
        <f>SUM(U27:U31)</f>
        <v>463884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15416168</v>
      </c>
      <c r="F34" s="274"/>
      <c r="G34" s="326">
        <f>+G32+G23+G11</f>
        <v>14945500</v>
      </c>
      <c r="H34" s="276"/>
      <c r="I34" s="326">
        <f>+I32+I23+I11</f>
        <v>14905950</v>
      </c>
      <c r="J34" s="274"/>
      <c r="K34" s="326">
        <f>+K32+K23+K11</f>
        <v>10182</v>
      </c>
      <c r="L34" s="276"/>
      <c r="M34" s="326">
        <f>+M32+M23+M11</f>
        <v>18122</v>
      </c>
      <c r="N34" s="274"/>
      <c r="O34" s="326">
        <f>+O32+O23+O11</f>
        <v>10182</v>
      </c>
      <c r="P34" s="276"/>
      <c r="Q34" s="326">
        <f>+Q32+Q23+Q11</f>
        <v>18122</v>
      </c>
      <c r="R34" s="274"/>
      <c r="S34" s="326">
        <f>+S32+S23+S11</f>
        <v>19539</v>
      </c>
      <c r="T34" s="276"/>
      <c r="U34" s="326">
        <f>+U32+U23+U11</f>
        <v>463884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6353835</v>
      </c>
      <c r="F36" s="305"/>
      <c r="G36" s="320">
        <v>6416688</v>
      </c>
      <c r="H36" s="288"/>
      <c r="I36" s="320">
        <v>5950704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59</v>
      </c>
      <c r="L48" s="328"/>
      <c r="M48" s="332"/>
      <c r="N48" s="328"/>
      <c r="O48" s="332">
        <f>+O10</f>
        <v>59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10123</v>
      </c>
      <c r="L51" s="335"/>
      <c r="M51" s="320"/>
      <c r="N51" s="335"/>
      <c r="O51" s="320">
        <f>+O27+O28</f>
        <v>10123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26983</v>
      </c>
      <c r="N53" s="328"/>
      <c r="O53" s="332"/>
      <c r="P53" s="328"/>
      <c r="Q53" s="332">
        <f>+Q27+Q28</f>
        <v>26983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-8861</v>
      </c>
      <c r="N54" s="328"/>
      <c r="O54" s="332"/>
      <c r="P54" s="328"/>
      <c r="Q54" s="332">
        <f>+Q30</f>
        <v>-8861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10182</v>
      </c>
      <c r="L56" s="328"/>
      <c r="M56" s="337">
        <f>SUM(M48:M55)</f>
        <v>18122</v>
      </c>
      <c r="N56" s="328"/>
      <c r="O56" s="337">
        <f>SUM(O48:O55)</f>
        <v>10182</v>
      </c>
      <c r="P56" s="332"/>
      <c r="Q56" s="337">
        <f>SUM(Q48:Q55)</f>
        <v>18122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70708</v>
      </c>
      <c r="L59" s="341"/>
      <c r="M59" s="341">
        <f>+M58-M56</f>
        <v>188884</v>
      </c>
      <c r="N59" s="341"/>
      <c r="O59" s="340">
        <f>+O58-O56</f>
        <v>148883</v>
      </c>
      <c r="P59" s="341"/>
      <c r="Q59" s="341">
        <f>+Q58-Q56</f>
        <v>506089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tabColor rgb="FFFFFF00"/>
    <pageSetUpPr fitToPage="1"/>
  </sheetPr>
  <dimension ref="A1:AA73"/>
  <sheetViews>
    <sheetView showGridLines="0" zoomScaleNormal="100" workbookViewId="0">
      <selection activeCell="G10" sqref="G1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7" t="s">
        <v>0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271"/>
    </row>
    <row r="2" spans="1:22" ht="15.75" thickBot="1">
      <c r="B2" s="438" t="s">
        <v>536</v>
      </c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271"/>
    </row>
    <row r="3" spans="1:22">
      <c r="A3" s="260"/>
      <c r="B3" s="271"/>
      <c r="C3" s="271"/>
      <c r="D3" s="404"/>
      <c r="E3" s="274"/>
      <c r="F3" s="40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9" t="s">
        <v>522</v>
      </c>
      <c r="F4" s="439"/>
      <c r="G4" s="439"/>
      <c r="H4" s="439"/>
      <c r="I4" s="439"/>
      <c r="J4" s="275"/>
      <c r="K4" s="439" t="s">
        <v>80</v>
      </c>
      <c r="L4" s="439"/>
      <c r="M4" s="439"/>
      <c r="N4" s="439"/>
      <c r="O4" s="439"/>
      <c r="P4" s="439"/>
      <c r="Q4" s="439"/>
      <c r="R4" s="439"/>
      <c r="S4" s="439"/>
      <c r="T4" s="439"/>
      <c r="U4" s="439"/>
      <c r="V4" s="271"/>
    </row>
    <row r="5" spans="1:22" ht="15.75" thickBot="1">
      <c r="A5" s="260"/>
      <c r="B5" s="345">
        <v>42886</v>
      </c>
      <c r="C5" s="271"/>
      <c r="D5" s="271"/>
      <c r="E5" s="274"/>
      <c r="F5" s="274"/>
      <c r="G5" s="274"/>
      <c r="H5" s="276"/>
      <c r="I5" s="274"/>
      <c r="J5" s="276"/>
      <c r="K5" s="440" t="s">
        <v>81</v>
      </c>
      <c r="L5" s="440"/>
      <c r="M5" s="440"/>
      <c r="N5" s="277"/>
      <c r="O5" s="440" t="s">
        <v>82</v>
      </c>
      <c r="P5" s="440"/>
      <c r="Q5" s="440"/>
      <c r="R5" s="277"/>
      <c r="S5" s="440" t="s">
        <v>166</v>
      </c>
      <c r="T5" s="440"/>
      <c r="U5" s="440"/>
      <c r="V5" s="271"/>
    </row>
    <row r="6" spans="1:22" ht="30">
      <c r="A6" s="255" t="s">
        <v>83</v>
      </c>
      <c r="B6" s="271"/>
      <c r="C6" s="271" t="s">
        <v>5</v>
      </c>
      <c r="D6" s="404" t="s">
        <v>8</v>
      </c>
      <c r="E6" s="278" t="s">
        <v>560</v>
      </c>
      <c r="F6" s="279"/>
      <c r="G6" s="278" t="s">
        <v>561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3"/>
      <c r="O6" s="281" t="s">
        <v>12</v>
      </c>
      <c r="P6" s="403"/>
      <c r="Q6" s="283" t="s">
        <v>86</v>
      </c>
      <c r="R6" s="284"/>
      <c r="S6" s="281" t="s">
        <v>12</v>
      </c>
      <c r="T6" s="40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4462655-408264</f>
        <v>4054391</v>
      </c>
      <c r="F9" s="287"/>
      <c r="G9" s="293">
        <f>4693610-2408291</f>
        <v>2285319</v>
      </c>
      <c r="H9" s="288"/>
      <c r="I9" s="293">
        <v>3093862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2.4142968981610512E-5</v>
      </c>
      <c r="E10" s="297">
        <v>408264</v>
      </c>
      <c r="F10" s="287"/>
      <c r="G10" s="297">
        <v>2408291</v>
      </c>
      <c r="H10" s="288"/>
      <c r="I10" s="297">
        <v>1407973</v>
      </c>
      <c r="J10" s="287"/>
      <c r="K10" s="297">
        <v>34</v>
      </c>
      <c r="L10" s="288"/>
      <c r="M10" s="297">
        <v>0</v>
      </c>
      <c r="N10" s="287"/>
      <c r="O10" s="297">
        <v>402</v>
      </c>
      <c r="P10" s="288"/>
      <c r="Q10" s="297">
        <v>0</v>
      </c>
      <c r="R10" s="287"/>
      <c r="S10" s="297">
        <v>3677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4462655</v>
      </c>
      <c r="F11" s="279"/>
      <c r="G11" s="301">
        <f>SUM(G8:G10)</f>
        <v>4693610</v>
      </c>
      <c r="H11" s="276"/>
      <c r="I11" s="301">
        <f>SUM(I9:I10)</f>
        <v>4501835</v>
      </c>
      <c r="J11" s="279"/>
      <c r="K11" s="301">
        <f>SUM(K9:K10)</f>
        <v>34</v>
      </c>
      <c r="L11" s="276"/>
      <c r="M11" s="301">
        <f>SUM(M9:M10)</f>
        <v>0</v>
      </c>
      <c r="N11" s="279"/>
      <c r="O11" s="301">
        <f>SUM(O9:O10)</f>
        <v>402</v>
      </c>
      <c r="P11" s="276"/>
      <c r="Q11" s="301">
        <f>SUM(Q9:Q10)</f>
        <v>0</v>
      </c>
      <c r="R11" s="279"/>
      <c r="S11" s="301">
        <f>SUM(S9:S10)</f>
        <v>3677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656781</v>
      </c>
      <c r="F14" s="309"/>
      <c r="G14" s="366">
        <v>681590</v>
      </c>
      <c r="H14" s="310"/>
      <c r="I14" s="308">
        <v>523206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4506552</v>
      </c>
      <c r="H17" s="310"/>
      <c r="I17" s="311">
        <v>3862825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407">
        <v>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12885784</v>
      </c>
      <c r="F23" s="317"/>
      <c r="G23" s="316">
        <f>SUM(G14:G22)</f>
        <v>11726203</v>
      </c>
      <c r="H23" s="318"/>
      <c r="I23" s="316">
        <f>SUM(I14:I22)</f>
        <v>11132611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1044</v>
      </c>
      <c r="L27" s="321"/>
      <c r="M27" s="320">
        <v>23765</v>
      </c>
      <c r="N27" s="320"/>
      <c r="O27" s="320">
        <v>8854</v>
      </c>
      <c r="P27" s="321"/>
      <c r="Q27" s="320">
        <v>156420</v>
      </c>
      <c r="R27" s="320"/>
      <c r="S27" s="320">
        <v>11228</v>
      </c>
      <c r="T27" s="321"/>
      <c r="U27" s="320">
        <v>10747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444170</v>
      </c>
      <c r="F28" s="303"/>
      <c r="G28" s="303">
        <v>460860</v>
      </c>
      <c r="H28" s="304"/>
      <c r="I28" s="303">
        <v>254849</v>
      </c>
      <c r="J28" s="303"/>
      <c r="K28" s="303">
        <v>16690</v>
      </c>
      <c r="L28" s="304"/>
      <c r="M28" s="303">
        <v>73866</v>
      </c>
      <c r="N28" s="303"/>
      <c r="O28" s="303">
        <v>206010</v>
      </c>
      <c r="P28" s="304"/>
      <c r="Q28" s="303">
        <v>2692465</v>
      </c>
      <c r="R28" s="303"/>
      <c r="S28" s="303">
        <v>254849</v>
      </c>
      <c r="T28" s="304"/>
      <c r="U28" s="303">
        <v>-5495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4077824</v>
      </c>
      <c r="F29" s="303"/>
      <c r="G29" s="303">
        <v>4150327</v>
      </c>
      <c r="H29" s="304"/>
      <c r="I29" s="303">
        <v>1500620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-1363</v>
      </c>
      <c r="N30" s="303"/>
      <c r="O30" s="303">
        <v>0</v>
      </c>
      <c r="P30" s="304"/>
      <c r="Q30" s="303">
        <v>-42759</v>
      </c>
      <c r="R30" s="303">
        <v>0</v>
      </c>
      <c r="S30" s="303">
        <v>0</v>
      </c>
      <c r="T30" s="304"/>
      <c r="U30" s="303">
        <v>-42371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-5614832</v>
      </c>
      <c r="H31" s="304"/>
      <c r="I31" s="303">
        <v>-2179624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-2277228</v>
      </c>
      <c r="F32" s="274"/>
      <c r="G32" s="316">
        <f>SUM(G27:G31)</f>
        <v>-1003645</v>
      </c>
      <c r="H32" s="325"/>
      <c r="I32" s="316">
        <f>SUM(I27:I31)</f>
        <v>-424155</v>
      </c>
      <c r="J32" s="274"/>
      <c r="K32" s="316">
        <f>SUM(K27:K31)</f>
        <v>17734</v>
      </c>
      <c r="L32" s="325"/>
      <c r="M32" s="316">
        <f>SUM(M27:M31)</f>
        <v>96268</v>
      </c>
      <c r="N32" s="274"/>
      <c r="O32" s="316">
        <f>SUM(O27:O31)</f>
        <v>214864</v>
      </c>
      <c r="P32" s="325"/>
      <c r="Q32" s="316">
        <f>SUM(Q27:Q31)</f>
        <v>2806126</v>
      </c>
      <c r="R32" s="274"/>
      <c r="S32" s="316">
        <f>SUM(S27:S31)</f>
        <v>266077</v>
      </c>
      <c r="T32" s="325"/>
      <c r="U32" s="316">
        <f>SUM(U27:U31)</f>
        <v>-37119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15071211</v>
      </c>
      <c r="F34" s="274"/>
      <c r="G34" s="326">
        <f>+G32+G23+G11</f>
        <v>15416168</v>
      </c>
      <c r="H34" s="276"/>
      <c r="I34" s="326">
        <f>+I32+I23+I11</f>
        <v>15210291</v>
      </c>
      <c r="J34" s="274"/>
      <c r="K34" s="326">
        <f>+K32+K23+K11</f>
        <v>17768</v>
      </c>
      <c r="L34" s="276"/>
      <c r="M34" s="326">
        <f>+M32+M23+M11</f>
        <v>96268</v>
      </c>
      <c r="N34" s="274"/>
      <c r="O34" s="326">
        <f>+O32+O23+O11</f>
        <v>215266</v>
      </c>
      <c r="P34" s="276"/>
      <c r="Q34" s="326">
        <f>+Q32+Q23+Q11</f>
        <v>2806126</v>
      </c>
      <c r="R34" s="274"/>
      <c r="S34" s="326">
        <f>+S32+S23+S11</f>
        <v>269754</v>
      </c>
      <c r="T34" s="276"/>
      <c r="U34" s="326">
        <f>+U32+U23+U11</f>
        <v>-37119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6620214</v>
      </c>
      <c r="F36" s="305"/>
      <c r="G36" s="320">
        <v>6353835</v>
      </c>
      <c r="H36" s="288"/>
      <c r="I36" s="320">
        <v>5710371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34</v>
      </c>
      <c r="L48" s="328"/>
      <c r="M48" s="332"/>
      <c r="N48" s="328"/>
      <c r="O48" s="332">
        <f>+O10</f>
        <v>402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17734</v>
      </c>
      <c r="L51" s="335"/>
      <c r="M51" s="320"/>
      <c r="N51" s="335"/>
      <c r="O51" s="320">
        <f>+O27+O28</f>
        <v>214864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97631</v>
      </c>
      <c r="N53" s="328"/>
      <c r="O53" s="332"/>
      <c r="P53" s="328"/>
      <c r="Q53" s="332">
        <f>+Q27+Q28</f>
        <v>2848885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-1363</v>
      </c>
      <c r="N54" s="328"/>
      <c r="O54" s="332"/>
      <c r="P54" s="328"/>
      <c r="Q54" s="332">
        <f>+Q30</f>
        <v>-42759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17768</v>
      </c>
      <c r="L56" s="328"/>
      <c r="M56" s="337">
        <f>SUM(M48:M55)</f>
        <v>96268</v>
      </c>
      <c r="N56" s="328"/>
      <c r="O56" s="337">
        <f>SUM(O48:O55)</f>
        <v>215266</v>
      </c>
      <c r="P56" s="332"/>
      <c r="Q56" s="337">
        <f>SUM(Q48:Q55)</f>
        <v>2806126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63122</v>
      </c>
      <c r="L59" s="341"/>
      <c r="M59" s="341">
        <f>+M58-M56</f>
        <v>110738</v>
      </c>
      <c r="N59" s="341"/>
      <c r="O59" s="340">
        <f>+O58-O56</f>
        <v>-56201</v>
      </c>
      <c r="P59" s="341"/>
      <c r="Q59" s="341">
        <f>+Q58-Q56</f>
        <v>-2281915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7" t="s">
        <v>0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271"/>
    </row>
    <row r="2" spans="1:22" ht="15.75" thickBot="1">
      <c r="B2" s="438" t="s">
        <v>536</v>
      </c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271"/>
    </row>
    <row r="3" spans="1:22">
      <c r="A3" s="260"/>
      <c r="B3" s="271"/>
      <c r="C3" s="271"/>
      <c r="D3" s="402"/>
      <c r="E3" s="274"/>
      <c r="F3" s="40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9" t="s">
        <v>522</v>
      </c>
      <c r="F4" s="439"/>
      <c r="G4" s="439"/>
      <c r="H4" s="439"/>
      <c r="I4" s="439"/>
      <c r="J4" s="275"/>
      <c r="K4" s="439" t="s">
        <v>80</v>
      </c>
      <c r="L4" s="439"/>
      <c r="M4" s="439"/>
      <c r="N4" s="439"/>
      <c r="O4" s="439"/>
      <c r="P4" s="439"/>
      <c r="Q4" s="439"/>
      <c r="R4" s="439"/>
      <c r="S4" s="439"/>
      <c r="T4" s="439"/>
      <c r="U4" s="439"/>
      <c r="V4" s="271"/>
    </row>
    <row r="5" spans="1:22" ht="15.75" thickBot="1">
      <c r="A5" s="260"/>
      <c r="B5" s="345">
        <v>42855</v>
      </c>
      <c r="C5" s="271"/>
      <c r="D5" s="271"/>
      <c r="E5" s="274"/>
      <c r="F5" s="274"/>
      <c r="G5" s="274"/>
      <c r="H5" s="276"/>
      <c r="I5" s="274"/>
      <c r="J5" s="276"/>
      <c r="K5" s="440" t="s">
        <v>81</v>
      </c>
      <c r="L5" s="440"/>
      <c r="M5" s="440"/>
      <c r="N5" s="277"/>
      <c r="O5" s="440" t="s">
        <v>82</v>
      </c>
      <c r="P5" s="440"/>
      <c r="Q5" s="440"/>
      <c r="R5" s="277"/>
      <c r="S5" s="440" t="s">
        <v>166</v>
      </c>
      <c r="T5" s="440"/>
      <c r="U5" s="440"/>
      <c r="V5" s="271"/>
    </row>
    <row r="6" spans="1:22" ht="30">
      <c r="A6" s="255" t="s">
        <v>83</v>
      </c>
      <c r="B6" s="271"/>
      <c r="C6" s="271" t="s">
        <v>5</v>
      </c>
      <c r="D6" s="402" t="s">
        <v>8</v>
      </c>
      <c r="E6" s="278" t="s">
        <v>558</v>
      </c>
      <c r="F6" s="279"/>
      <c r="G6" s="278" t="s">
        <v>557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1"/>
      <c r="O6" s="281" t="s">
        <v>12</v>
      </c>
      <c r="P6" s="401"/>
      <c r="Q6" s="283" t="s">
        <v>86</v>
      </c>
      <c r="R6" s="284"/>
      <c r="S6" s="281" t="s">
        <v>12</v>
      </c>
      <c r="T6" s="40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4413620-408262</f>
        <v>4005358</v>
      </c>
      <c r="F9" s="287"/>
      <c r="G9" s="293">
        <f>4462655-408264</f>
        <v>4054391</v>
      </c>
      <c r="H9" s="288"/>
      <c r="I9" s="293">
        <f>4355458-1407882</f>
        <v>2947576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2.4494014887462248E-5</v>
      </c>
      <c r="E10" s="297">
        <v>408262</v>
      </c>
      <c r="F10" s="287"/>
      <c r="G10" s="297">
        <v>408264</v>
      </c>
      <c r="H10" s="288"/>
      <c r="I10" s="297">
        <v>1407882</v>
      </c>
      <c r="J10" s="287"/>
      <c r="K10" s="297">
        <v>10</v>
      </c>
      <c r="L10" s="288"/>
      <c r="M10" s="297">
        <v>0</v>
      </c>
      <c r="N10" s="287"/>
      <c r="O10" s="297">
        <v>368</v>
      </c>
      <c r="P10" s="288"/>
      <c r="Q10" s="297">
        <v>0</v>
      </c>
      <c r="R10" s="287"/>
      <c r="S10" s="297">
        <v>3578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4413620</v>
      </c>
      <c r="F11" s="279"/>
      <c r="G11" s="301">
        <f>SUM(G8:G10)</f>
        <v>4462655</v>
      </c>
      <c r="H11" s="276"/>
      <c r="I11" s="301">
        <f>SUM(I9:I10)</f>
        <v>4355458</v>
      </c>
      <c r="J11" s="279"/>
      <c r="K11" s="301">
        <f>SUM(K9:K10)</f>
        <v>10</v>
      </c>
      <c r="L11" s="276"/>
      <c r="M11" s="301">
        <f>SUM(M9:M10)</f>
        <v>0</v>
      </c>
      <c r="N11" s="279"/>
      <c r="O11" s="301">
        <f>SUM(O9:O10)</f>
        <v>368</v>
      </c>
      <c r="P11" s="276"/>
      <c r="Q11" s="301">
        <f>SUM(Q9:Q10)</f>
        <v>0</v>
      </c>
      <c r="R11" s="279"/>
      <c r="S11" s="301">
        <f>SUM(S9:S10)</f>
        <v>3578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665335</v>
      </c>
      <c r="F14" s="309"/>
      <c r="G14" s="366">
        <v>656781</v>
      </c>
      <c r="H14" s="310"/>
      <c r="I14" s="308">
        <v>512146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768432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3482423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3178148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>
        <v>1000000</v>
      </c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12894338</v>
      </c>
      <c r="F23" s="317"/>
      <c r="G23" s="316">
        <f>SUM(G14:G22)</f>
        <v>12885784</v>
      </c>
      <c r="H23" s="318"/>
      <c r="I23" s="316">
        <f>SUM(I14:I22)</f>
        <v>9297790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205</v>
      </c>
      <c r="L27" s="321"/>
      <c r="M27" s="320">
        <v>-8759</v>
      </c>
      <c r="N27" s="320"/>
      <c r="O27" s="320">
        <v>7810</v>
      </c>
      <c r="P27" s="321"/>
      <c r="Q27" s="320">
        <v>132655</v>
      </c>
      <c r="R27" s="320"/>
      <c r="S27" s="320">
        <v>9811</v>
      </c>
      <c r="T27" s="321"/>
      <c r="U27" s="320">
        <v>1104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432941</v>
      </c>
      <c r="F28" s="303"/>
      <c r="G28" s="303">
        <v>444170</v>
      </c>
      <c r="H28" s="304"/>
      <c r="I28" s="303">
        <v>221259</v>
      </c>
      <c r="J28" s="303"/>
      <c r="K28" s="303">
        <v>11229</v>
      </c>
      <c r="L28" s="304"/>
      <c r="M28" s="303">
        <v>81511</v>
      </c>
      <c r="N28" s="303"/>
      <c r="O28" s="303">
        <v>189321</v>
      </c>
      <c r="P28" s="304"/>
      <c r="Q28" s="303">
        <v>2618599</v>
      </c>
      <c r="R28" s="303"/>
      <c r="S28" s="303">
        <v>221259</v>
      </c>
      <c r="T28" s="304"/>
      <c r="U28" s="303">
        <v>-319470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3997593</v>
      </c>
      <c r="F29" s="303"/>
      <c r="G29" s="303">
        <v>4077824</v>
      </c>
      <c r="H29" s="304"/>
      <c r="I29" s="303">
        <v>1187903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-1280</v>
      </c>
      <c r="N30" s="303"/>
      <c r="O30" s="303">
        <v>0</v>
      </c>
      <c r="P30" s="304"/>
      <c r="Q30" s="303">
        <v>-41396</v>
      </c>
      <c r="R30" s="303">
        <v>0</v>
      </c>
      <c r="S30" s="303">
        <v>0</v>
      </c>
      <c r="T30" s="304"/>
      <c r="U30" s="303">
        <v>-41114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-2368688</v>
      </c>
      <c r="F32" s="274"/>
      <c r="G32" s="316">
        <f>SUM(G27:G31)</f>
        <v>-2277228</v>
      </c>
      <c r="H32" s="325"/>
      <c r="I32" s="316">
        <f>SUM(I27:I31)</f>
        <v>1053299</v>
      </c>
      <c r="J32" s="274"/>
      <c r="K32" s="316">
        <f>SUM(K27:K31)</f>
        <v>11434</v>
      </c>
      <c r="L32" s="325"/>
      <c r="M32" s="316">
        <f>SUM(M27:M31)</f>
        <v>71472</v>
      </c>
      <c r="N32" s="274"/>
      <c r="O32" s="316">
        <f>SUM(O27:O31)</f>
        <v>197131</v>
      </c>
      <c r="P32" s="325"/>
      <c r="Q32" s="316">
        <f>SUM(Q27:Q31)</f>
        <v>2709858</v>
      </c>
      <c r="R32" s="274"/>
      <c r="S32" s="316">
        <f>SUM(S27:S31)</f>
        <v>231070</v>
      </c>
      <c r="T32" s="325"/>
      <c r="U32" s="316">
        <f>SUM(U27:U31)</f>
        <v>-359480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14939270</v>
      </c>
      <c r="F34" s="274"/>
      <c r="G34" s="326">
        <f>+G32+G23+G11</f>
        <v>15071211</v>
      </c>
      <c r="H34" s="276"/>
      <c r="I34" s="326">
        <f>+I32+I23+I11</f>
        <v>14706547</v>
      </c>
      <c r="J34" s="274"/>
      <c r="K34" s="326">
        <f>+K32+K23+K11</f>
        <v>11444</v>
      </c>
      <c r="L34" s="276"/>
      <c r="M34" s="326">
        <f>+M32+M23+M11</f>
        <v>71472</v>
      </c>
      <c r="N34" s="274"/>
      <c r="O34" s="326">
        <f>+O32+O23+O11</f>
        <v>197499</v>
      </c>
      <c r="P34" s="276"/>
      <c r="Q34" s="326">
        <f>+Q32+Q23+Q11</f>
        <v>2709858</v>
      </c>
      <c r="R34" s="274"/>
      <c r="S34" s="326">
        <f>+S32+S23+S11</f>
        <v>234648</v>
      </c>
      <c r="T34" s="276"/>
      <c r="U34" s="326">
        <f>+U32+U23+U11</f>
        <v>-359480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6601493</v>
      </c>
      <c r="F36" s="305"/>
      <c r="G36" s="320">
        <v>6620214</v>
      </c>
      <c r="H36" s="288"/>
      <c r="I36" s="320">
        <v>5555453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10</v>
      </c>
      <c r="L48" s="328"/>
      <c r="M48" s="332"/>
      <c r="N48" s="328"/>
      <c r="O48" s="332">
        <f>+O10</f>
        <v>368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11434</v>
      </c>
      <c r="L51" s="335"/>
      <c r="M51" s="320"/>
      <c r="N51" s="335"/>
      <c r="O51" s="320">
        <f>+O27+O28</f>
        <v>197131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72752</v>
      </c>
      <c r="N53" s="328"/>
      <c r="O53" s="332"/>
      <c r="P53" s="328"/>
      <c r="Q53" s="332">
        <f>+Q27+Q28</f>
        <v>2751254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-1280</v>
      </c>
      <c r="N54" s="328"/>
      <c r="O54" s="332"/>
      <c r="P54" s="328"/>
      <c r="Q54" s="332">
        <f>+Q30</f>
        <v>-41396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11444</v>
      </c>
      <c r="L56" s="328"/>
      <c r="M56" s="337">
        <f>SUM(M48:M55)</f>
        <v>71472</v>
      </c>
      <c r="N56" s="328"/>
      <c r="O56" s="337">
        <f>SUM(O48:O55)</f>
        <v>197499</v>
      </c>
      <c r="P56" s="332"/>
      <c r="Q56" s="337">
        <f>SUM(Q48:Q55)</f>
        <v>2709858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69446</v>
      </c>
      <c r="L59" s="341"/>
      <c r="M59" s="341">
        <f>+M58-M56</f>
        <v>135534</v>
      </c>
      <c r="N59" s="341"/>
      <c r="O59" s="340">
        <f>+O58-O56</f>
        <v>-38434</v>
      </c>
      <c r="P59" s="341"/>
      <c r="Q59" s="341">
        <f>+Q58-Q56</f>
        <v>-2185647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7" t="s">
        <v>0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271"/>
    </row>
    <row r="2" spans="1:22" ht="15.75" thickBot="1">
      <c r="B2" s="438" t="s">
        <v>536</v>
      </c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271"/>
    </row>
    <row r="3" spans="1:22">
      <c r="A3" s="260"/>
      <c r="B3" s="271"/>
      <c r="C3" s="271"/>
      <c r="D3" s="400"/>
      <c r="E3" s="274"/>
      <c r="F3" s="40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9" t="s">
        <v>522</v>
      </c>
      <c r="F4" s="439"/>
      <c r="G4" s="439"/>
      <c r="H4" s="439"/>
      <c r="I4" s="439"/>
      <c r="J4" s="275"/>
      <c r="K4" s="439" t="s">
        <v>80</v>
      </c>
      <c r="L4" s="439"/>
      <c r="M4" s="439"/>
      <c r="N4" s="439"/>
      <c r="O4" s="439"/>
      <c r="P4" s="439"/>
      <c r="Q4" s="439"/>
      <c r="R4" s="439"/>
      <c r="S4" s="439"/>
      <c r="T4" s="439"/>
      <c r="U4" s="439"/>
      <c r="V4" s="271"/>
    </row>
    <row r="5" spans="1:22" ht="15.75" thickBot="1">
      <c r="A5" s="260"/>
      <c r="B5" s="345">
        <v>42825</v>
      </c>
      <c r="C5" s="271"/>
      <c r="D5" s="271"/>
      <c r="E5" s="274"/>
      <c r="F5" s="274"/>
      <c r="G5" s="274"/>
      <c r="H5" s="276"/>
      <c r="I5" s="274"/>
      <c r="J5" s="276"/>
      <c r="K5" s="440" t="s">
        <v>81</v>
      </c>
      <c r="L5" s="440"/>
      <c r="M5" s="440"/>
      <c r="N5" s="277"/>
      <c r="O5" s="440" t="s">
        <v>82</v>
      </c>
      <c r="P5" s="440"/>
      <c r="Q5" s="440"/>
      <c r="R5" s="277"/>
      <c r="S5" s="440" t="s">
        <v>166</v>
      </c>
      <c r="T5" s="440"/>
      <c r="U5" s="440"/>
      <c r="V5" s="271"/>
    </row>
    <row r="6" spans="1:22" ht="30">
      <c r="A6" s="255" t="s">
        <v>83</v>
      </c>
      <c r="B6" s="271"/>
      <c r="C6" s="271" t="s">
        <v>5</v>
      </c>
      <c r="D6" s="400" t="s">
        <v>8</v>
      </c>
      <c r="E6" s="278" t="s">
        <v>555</v>
      </c>
      <c r="F6" s="279"/>
      <c r="G6" s="278" t="s">
        <v>556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9"/>
      <c r="O6" s="281" t="s">
        <v>12</v>
      </c>
      <c r="P6" s="399"/>
      <c r="Q6" s="283" t="s">
        <v>86</v>
      </c>
      <c r="R6" s="284"/>
      <c r="S6" s="281" t="s">
        <v>12</v>
      </c>
      <c r="T6" s="39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5652619-408259</f>
        <v>5244360</v>
      </c>
      <c r="F9" s="287"/>
      <c r="G9" s="293">
        <f>4413620-408262</f>
        <v>4005358</v>
      </c>
      <c r="H9" s="288"/>
      <c r="I9" s="293">
        <f>4085420-1407790</f>
        <v>2677630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2.4494164877572041E-5</v>
      </c>
      <c r="E10" s="297">
        <v>408259</v>
      </c>
      <c r="F10" s="287"/>
      <c r="G10" s="297">
        <v>408262</v>
      </c>
      <c r="H10" s="288"/>
      <c r="I10" s="297">
        <v>1407790</v>
      </c>
      <c r="J10" s="287"/>
      <c r="K10" s="297">
        <v>10</v>
      </c>
      <c r="L10" s="288"/>
      <c r="M10" s="297">
        <v>0</v>
      </c>
      <c r="N10" s="287"/>
      <c r="O10" s="297">
        <v>358</v>
      </c>
      <c r="P10" s="288"/>
      <c r="Q10" s="297">
        <v>0</v>
      </c>
      <c r="R10" s="287"/>
      <c r="S10" s="297">
        <v>3479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5652619</v>
      </c>
      <c r="F11" s="279"/>
      <c r="G11" s="301">
        <f>SUM(G8:G10)</f>
        <v>4413620</v>
      </c>
      <c r="H11" s="276"/>
      <c r="I11" s="301">
        <f>SUM(I9:I10)</f>
        <v>4085420</v>
      </c>
      <c r="J11" s="279"/>
      <c r="K11" s="301">
        <f>SUM(K9:K10)</f>
        <v>10</v>
      </c>
      <c r="L11" s="276"/>
      <c r="M11" s="301">
        <f>SUM(M9:M10)</f>
        <v>0</v>
      </c>
      <c r="N11" s="279"/>
      <c r="O11" s="301">
        <f>SUM(O9:O10)</f>
        <v>358</v>
      </c>
      <c r="P11" s="276"/>
      <c r="Q11" s="301">
        <f>SUM(Q9:Q10)</f>
        <v>0</v>
      </c>
      <c r="R11" s="279"/>
      <c r="S11" s="301">
        <f>SUM(S9:S10)</f>
        <v>3479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642184</v>
      </c>
      <c r="F14" s="309"/>
      <c r="G14" s="366">
        <v>665335</v>
      </c>
      <c r="H14" s="310"/>
      <c r="I14" s="308">
        <v>487594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768432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3482423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3178148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>
        <v>1000000</v>
      </c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12871186.26</v>
      </c>
      <c r="F23" s="317"/>
      <c r="G23" s="316">
        <f>SUM(G14:G22)</f>
        <v>12894338</v>
      </c>
      <c r="H23" s="318"/>
      <c r="I23" s="316">
        <f>SUM(I14:I22)</f>
        <v>9273238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983</v>
      </c>
      <c r="L27" s="321"/>
      <c r="M27" s="320">
        <v>22170</v>
      </c>
      <c r="N27" s="320"/>
      <c r="O27" s="320">
        <v>7606</v>
      </c>
      <c r="P27" s="321"/>
      <c r="Q27" s="320">
        <v>134524</v>
      </c>
      <c r="R27" s="320"/>
      <c r="S27" s="320">
        <v>6623</v>
      </c>
      <c r="T27" s="321"/>
      <c r="U27" s="320">
        <v>119245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423516</v>
      </c>
      <c r="F28" s="303"/>
      <c r="G28" s="303">
        <v>432941</v>
      </c>
      <c r="H28" s="304"/>
      <c r="I28" s="303">
        <v>197756</v>
      </c>
      <c r="J28" s="303"/>
      <c r="K28" s="303">
        <v>9425</v>
      </c>
      <c r="L28" s="304"/>
      <c r="M28" s="303">
        <v>320434</v>
      </c>
      <c r="N28" s="303"/>
      <c r="O28" s="303">
        <v>178091</v>
      </c>
      <c r="P28" s="304"/>
      <c r="Q28" s="303">
        <v>2537089</v>
      </c>
      <c r="R28" s="303"/>
      <c r="S28" s="303">
        <v>168667</v>
      </c>
      <c r="T28" s="304"/>
      <c r="U28" s="303">
        <v>2216655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3685079</v>
      </c>
      <c r="F29" s="303"/>
      <c r="G29" s="303">
        <v>3997593</v>
      </c>
      <c r="H29" s="304"/>
      <c r="I29" s="303">
        <v>710026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/>
      <c r="F30" s="303"/>
      <c r="G30" s="303"/>
      <c r="H30" s="304"/>
      <c r="I30" s="303">
        <v>0</v>
      </c>
      <c r="J30" s="303"/>
      <c r="K30" s="303">
        <v>0</v>
      </c>
      <c r="L30" s="304"/>
      <c r="M30" s="303">
        <v>-7920</v>
      </c>
      <c r="N30" s="303"/>
      <c r="O30" s="303">
        <v>0</v>
      </c>
      <c r="P30" s="304"/>
      <c r="Q30" s="303">
        <v>-40116</v>
      </c>
      <c r="R30" s="303">
        <v>0</v>
      </c>
      <c r="S30" s="303">
        <v>0</v>
      </c>
      <c r="T30" s="304"/>
      <c r="U30" s="303">
        <v>-32196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-2690627</v>
      </c>
      <c r="F32" s="274"/>
      <c r="G32" s="316">
        <f>SUM(G27:G31)</f>
        <v>-2368688</v>
      </c>
      <c r="H32" s="325"/>
      <c r="I32" s="316">
        <f>SUM(I27:I31)</f>
        <v>551919</v>
      </c>
      <c r="J32" s="274"/>
      <c r="K32" s="316">
        <f>SUM(K27:K31)</f>
        <v>10408</v>
      </c>
      <c r="L32" s="325"/>
      <c r="M32" s="316">
        <f>SUM(M27:M31)</f>
        <v>334684</v>
      </c>
      <c r="N32" s="274"/>
      <c r="O32" s="316">
        <f>SUM(O27:O31)</f>
        <v>185697</v>
      </c>
      <c r="P32" s="325"/>
      <c r="Q32" s="316">
        <f>SUM(Q27:Q31)</f>
        <v>2631497</v>
      </c>
      <c r="R32" s="274"/>
      <c r="S32" s="316">
        <f>SUM(S27:S31)</f>
        <v>175290</v>
      </c>
      <c r="T32" s="325"/>
      <c r="U32" s="316">
        <f>SUM(U27:U31)</f>
        <v>2303704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15833178.26</v>
      </c>
      <c r="F34" s="274"/>
      <c r="G34" s="326">
        <f>+G32+G23+G11</f>
        <v>14939270</v>
      </c>
      <c r="H34" s="276"/>
      <c r="I34" s="326">
        <f>+I32+I23+I11</f>
        <v>13910577</v>
      </c>
      <c r="J34" s="274"/>
      <c r="K34" s="326">
        <f>+K32+K23+K11</f>
        <v>10418</v>
      </c>
      <c r="L34" s="276"/>
      <c r="M34" s="326">
        <f>+M32+M23+M11</f>
        <v>334684</v>
      </c>
      <c r="N34" s="274"/>
      <c r="O34" s="326">
        <f>+O32+O23+O11</f>
        <v>186055</v>
      </c>
      <c r="P34" s="276"/>
      <c r="Q34" s="326">
        <f>+Q32+Q23+Q11</f>
        <v>2631497</v>
      </c>
      <c r="R34" s="274"/>
      <c r="S34" s="326">
        <f>+S32+S23+S11</f>
        <v>178769</v>
      </c>
      <c r="T34" s="276"/>
      <c r="U34" s="326">
        <f>+U32+U23+U11</f>
        <v>2303704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6357473</v>
      </c>
      <c r="F36" s="305"/>
      <c r="G36" s="320">
        <v>6601493</v>
      </c>
      <c r="H36" s="288"/>
      <c r="I36" s="320">
        <v>5337894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10</v>
      </c>
      <c r="L48" s="328"/>
      <c r="M48" s="332"/>
      <c r="N48" s="328"/>
      <c r="O48" s="332">
        <f>+O10</f>
        <v>358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10408</v>
      </c>
      <c r="L51" s="335"/>
      <c r="M51" s="320"/>
      <c r="N51" s="335"/>
      <c r="O51" s="320">
        <f>+O27+O28</f>
        <v>185697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342604</v>
      </c>
      <c r="N53" s="328"/>
      <c r="O53" s="332"/>
      <c r="P53" s="328"/>
      <c r="Q53" s="332">
        <f>+Q27+Q28</f>
        <v>2671613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-7920</v>
      </c>
      <c r="N54" s="328"/>
      <c r="O54" s="332"/>
      <c r="P54" s="328"/>
      <c r="Q54" s="332">
        <f>+Q30</f>
        <v>-40116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10418</v>
      </c>
      <c r="L56" s="328"/>
      <c r="M56" s="337">
        <f>SUM(M48:M55)</f>
        <v>334684</v>
      </c>
      <c r="N56" s="328"/>
      <c r="O56" s="337">
        <f>SUM(O48:O55)</f>
        <v>186055</v>
      </c>
      <c r="P56" s="332"/>
      <c r="Q56" s="337">
        <f>SUM(Q48:Q55)</f>
        <v>2631497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70472</v>
      </c>
      <c r="L59" s="341"/>
      <c r="M59" s="341">
        <f>+M58-M56</f>
        <v>-127678</v>
      </c>
      <c r="N59" s="341"/>
      <c r="O59" s="340">
        <f>+O58-O56</f>
        <v>-26990</v>
      </c>
      <c r="P59" s="341"/>
      <c r="Q59" s="341">
        <f>+Q58-Q56</f>
        <v>-2107286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tabColor rgb="FFFFFF00"/>
    <pageSetUpPr fitToPage="1"/>
  </sheetPr>
  <dimension ref="A1:AA73"/>
  <sheetViews>
    <sheetView showGridLines="0" zoomScaleNormal="100" workbookViewId="0">
      <selection activeCell="O27" sqref="O27:Q3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7" t="s">
        <v>0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271"/>
    </row>
    <row r="2" spans="1:22" ht="15.75" thickBot="1">
      <c r="B2" s="438" t="s">
        <v>536</v>
      </c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271"/>
    </row>
    <row r="3" spans="1:22">
      <c r="A3" s="260"/>
      <c r="B3" s="271"/>
      <c r="C3" s="271"/>
      <c r="D3" s="398"/>
      <c r="E3" s="274"/>
      <c r="F3" s="39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9" t="s">
        <v>522</v>
      </c>
      <c r="F4" s="439"/>
      <c r="G4" s="439"/>
      <c r="H4" s="439"/>
      <c r="I4" s="439"/>
      <c r="J4" s="275"/>
      <c r="K4" s="439" t="s">
        <v>80</v>
      </c>
      <c r="L4" s="439"/>
      <c r="M4" s="439"/>
      <c r="N4" s="439"/>
      <c r="O4" s="439"/>
      <c r="P4" s="439"/>
      <c r="Q4" s="439"/>
      <c r="R4" s="439"/>
      <c r="S4" s="439"/>
      <c r="T4" s="439"/>
      <c r="U4" s="439"/>
      <c r="V4" s="271"/>
    </row>
    <row r="5" spans="1:22" ht="15.75" thickBot="1">
      <c r="A5" s="260"/>
      <c r="B5" s="345">
        <v>42794</v>
      </c>
      <c r="C5" s="271"/>
      <c r="D5" s="271"/>
      <c r="E5" s="274"/>
      <c r="F5" s="274"/>
      <c r="G5" s="274"/>
      <c r="H5" s="276"/>
      <c r="I5" s="274"/>
      <c r="J5" s="276"/>
      <c r="K5" s="440" t="s">
        <v>81</v>
      </c>
      <c r="L5" s="440"/>
      <c r="M5" s="440"/>
      <c r="N5" s="277"/>
      <c r="O5" s="440" t="s">
        <v>82</v>
      </c>
      <c r="P5" s="440"/>
      <c r="Q5" s="440"/>
      <c r="R5" s="277"/>
      <c r="S5" s="440" t="s">
        <v>166</v>
      </c>
      <c r="T5" s="440"/>
      <c r="U5" s="440"/>
      <c r="V5" s="271"/>
    </row>
    <row r="6" spans="1:22" ht="30">
      <c r="A6" s="255" t="s">
        <v>83</v>
      </c>
      <c r="B6" s="271"/>
      <c r="C6" s="271" t="s">
        <v>5</v>
      </c>
      <c r="D6" s="398" t="s">
        <v>8</v>
      </c>
      <c r="E6" s="278" t="s">
        <v>554</v>
      </c>
      <c r="F6" s="279"/>
      <c r="G6" s="278" t="s">
        <v>553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7"/>
      <c r="O6" s="281" t="s">
        <v>12</v>
      </c>
      <c r="P6" s="397"/>
      <c r="Q6" s="283" t="s">
        <v>86</v>
      </c>
      <c r="R6" s="284"/>
      <c r="S6" s="281" t="s">
        <v>12</v>
      </c>
      <c r="T6" s="39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3440635-408255</f>
        <v>3032380</v>
      </c>
      <c r="F9" s="287"/>
      <c r="G9" s="293">
        <f>5652619-408259</f>
        <v>5244360</v>
      </c>
      <c r="H9" s="288"/>
      <c r="I9" s="332">
        <f>3561635-1407681</f>
        <v>2153954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2.6943812353493019E-5</v>
      </c>
      <c r="E10" s="297">
        <v>408255</v>
      </c>
      <c r="F10" s="287"/>
      <c r="G10" s="297">
        <v>408259</v>
      </c>
      <c r="H10" s="288"/>
      <c r="I10" s="297">
        <v>1407681</v>
      </c>
      <c r="J10" s="287"/>
      <c r="K10" s="297">
        <v>11</v>
      </c>
      <c r="L10" s="288"/>
      <c r="M10" s="297">
        <v>0</v>
      </c>
      <c r="N10" s="287"/>
      <c r="O10" s="297">
        <v>348</v>
      </c>
      <c r="P10" s="288"/>
      <c r="Q10" s="297">
        <v>0</v>
      </c>
      <c r="R10" s="287"/>
      <c r="S10" s="297">
        <v>3363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3440635</v>
      </c>
      <c r="F11" s="279"/>
      <c r="G11" s="301">
        <f>SUM(G8:G10)</f>
        <v>5652619</v>
      </c>
      <c r="H11" s="276"/>
      <c r="I11" s="301">
        <f>SUM(I9:I10)</f>
        <v>3561635</v>
      </c>
      <c r="J11" s="279"/>
      <c r="K11" s="301">
        <f>SUM(K9:K10)</f>
        <v>11</v>
      </c>
      <c r="L11" s="276"/>
      <c r="M11" s="301">
        <f>SUM(M9:M10)</f>
        <v>0</v>
      </c>
      <c r="N11" s="279"/>
      <c r="O11" s="301">
        <f>SUM(O9:O10)</f>
        <v>348</v>
      </c>
      <c r="P11" s="276"/>
      <c r="Q11" s="301">
        <f>SUM(Q9:Q10)</f>
        <v>0</v>
      </c>
      <c r="R11" s="279"/>
      <c r="S11" s="301">
        <f>SUM(S9:S10)</f>
        <v>3363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630166</v>
      </c>
      <c r="F14" s="309"/>
      <c r="G14" s="366">
        <v>642184</v>
      </c>
      <c r="H14" s="310"/>
      <c r="I14" s="308">
        <v>444684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3482422.62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10859168.26</v>
      </c>
      <c r="F23" s="317"/>
      <c r="G23" s="316">
        <f>SUM(G14:G22)</f>
        <v>12871186.26</v>
      </c>
      <c r="H23" s="318"/>
      <c r="I23" s="316">
        <f>SUM(I14:I22)</f>
        <v>9230328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1181</v>
      </c>
      <c r="L27" s="321"/>
      <c r="M27" s="320">
        <v>11050</v>
      </c>
      <c r="N27" s="320"/>
      <c r="O27" s="320">
        <v>6623</v>
      </c>
      <c r="P27" s="321"/>
      <c r="Q27" s="320">
        <v>119245</v>
      </c>
      <c r="R27" s="320"/>
      <c r="S27" s="320">
        <v>9025</v>
      </c>
      <c r="T27" s="321"/>
      <c r="U27" s="320">
        <v>-65364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409228</v>
      </c>
      <c r="F28" s="303"/>
      <c r="G28" s="303">
        <v>423516</v>
      </c>
      <c r="H28" s="304"/>
      <c r="I28" s="303">
        <v>185628</v>
      </c>
      <c r="J28" s="303"/>
      <c r="K28" s="303">
        <v>14288</v>
      </c>
      <c r="L28" s="304"/>
      <c r="M28" s="303">
        <v>95274</v>
      </c>
      <c r="N28" s="303"/>
      <c r="O28" s="303">
        <v>168667</v>
      </c>
      <c r="P28" s="304"/>
      <c r="Q28" s="303">
        <v>2216655</v>
      </c>
      <c r="R28" s="303"/>
      <c r="S28" s="303">
        <v>185629</v>
      </c>
      <c r="T28" s="304"/>
      <c r="U28" s="303">
        <v>-1370922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3590656</v>
      </c>
      <c r="F29" s="303"/>
      <c r="G29" s="303">
        <v>3685079</v>
      </c>
      <c r="H29" s="304"/>
      <c r="I29" s="303">
        <v>147309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/>
      <c r="F30" s="303"/>
      <c r="G30" s="303"/>
      <c r="H30" s="304"/>
      <c r="I30" s="303">
        <v>0</v>
      </c>
      <c r="J30" s="303"/>
      <c r="K30" s="303">
        <v>0</v>
      </c>
      <c r="L30" s="304"/>
      <c r="M30" s="303">
        <v>-851</v>
      </c>
      <c r="N30" s="303"/>
      <c r="O30" s="303">
        <v>0</v>
      </c>
      <c r="P30" s="304"/>
      <c r="Q30" s="303">
        <v>-32196</v>
      </c>
      <c r="R30" s="303">
        <v>0</v>
      </c>
      <c r="S30" s="303">
        <v>0</v>
      </c>
      <c r="T30" s="304"/>
      <c r="U30" s="303">
        <v>-30256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-799338</v>
      </c>
      <c r="F32" s="274"/>
      <c r="G32" s="316">
        <f>SUM(G27:G31)</f>
        <v>-2690627</v>
      </c>
      <c r="H32" s="325"/>
      <c r="I32" s="316">
        <f>SUM(I27:I31)</f>
        <v>-22926</v>
      </c>
      <c r="J32" s="274"/>
      <c r="K32" s="316">
        <f>SUM(K27:K31)</f>
        <v>15469</v>
      </c>
      <c r="L32" s="325"/>
      <c r="M32" s="316">
        <f>SUM(M27:M31)</f>
        <v>105473</v>
      </c>
      <c r="N32" s="274"/>
      <c r="O32" s="316">
        <f>SUM(O27:O31)</f>
        <v>175290</v>
      </c>
      <c r="P32" s="325"/>
      <c r="Q32" s="316">
        <f>SUM(Q27:Q31)</f>
        <v>2303704</v>
      </c>
      <c r="R32" s="274"/>
      <c r="S32" s="316">
        <f>SUM(S27:S31)</f>
        <v>194654</v>
      </c>
      <c r="T32" s="325"/>
      <c r="U32" s="316">
        <f>SUM(U27:U31)</f>
        <v>-1466542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13500465.26</v>
      </c>
      <c r="F34" s="274"/>
      <c r="G34" s="326">
        <f>+G32+G23+G11</f>
        <v>15833178.26</v>
      </c>
      <c r="H34" s="276"/>
      <c r="I34" s="326">
        <f>+I32+I23+I11</f>
        <v>12769037</v>
      </c>
      <c r="J34" s="274"/>
      <c r="K34" s="326">
        <f>+K32+K23+K11</f>
        <v>15480</v>
      </c>
      <c r="L34" s="276"/>
      <c r="M34" s="326">
        <f>+M32+M23+M11</f>
        <v>105473</v>
      </c>
      <c r="N34" s="274"/>
      <c r="O34" s="326">
        <f>+O32+O23+O11</f>
        <v>175638</v>
      </c>
      <c r="P34" s="276"/>
      <c r="Q34" s="326">
        <f>+Q32+Q23+Q11</f>
        <v>2303704</v>
      </c>
      <c r="R34" s="274"/>
      <c r="S34" s="326">
        <f>+S32+S23+S11</f>
        <v>198017</v>
      </c>
      <c r="T34" s="276"/>
      <c r="U34" s="326">
        <f>+U32+U23+U11</f>
        <v>-1466542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6373219</v>
      </c>
      <c r="F36" s="305"/>
      <c r="G36" s="320">
        <v>6357473</v>
      </c>
      <c r="H36" s="288"/>
      <c r="I36" s="320">
        <v>4954464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11</v>
      </c>
      <c r="L48" s="328"/>
      <c r="M48" s="332"/>
      <c r="N48" s="328"/>
      <c r="O48" s="332">
        <f>+O10</f>
        <v>348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15469</v>
      </c>
      <c r="L51" s="335"/>
      <c r="M51" s="320"/>
      <c r="N51" s="335"/>
      <c r="O51" s="320">
        <f>+O27+O28</f>
        <v>175290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106324</v>
      </c>
      <c r="N53" s="328"/>
      <c r="O53" s="332"/>
      <c r="P53" s="328"/>
      <c r="Q53" s="332">
        <f>+Q27+Q28</f>
        <v>2335900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-851</v>
      </c>
      <c r="N54" s="328"/>
      <c r="O54" s="332"/>
      <c r="P54" s="328"/>
      <c r="Q54" s="332">
        <f>+Q30</f>
        <v>-32196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15480</v>
      </c>
      <c r="L56" s="328"/>
      <c r="M56" s="337">
        <f>SUM(M48:M55)</f>
        <v>105473</v>
      </c>
      <c r="N56" s="328"/>
      <c r="O56" s="337">
        <f>SUM(O48:O55)</f>
        <v>175638</v>
      </c>
      <c r="P56" s="332"/>
      <c r="Q56" s="337">
        <f>SUM(Q48:Q55)</f>
        <v>2303704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65410</v>
      </c>
      <c r="L59" s="341"/>
      <c r="M59" s="341">
        <f>+M58-M56</f>
        <v>101533</v>
      </c>
      <c r="N59" s="341"/>
      <c r="O59" s="340">
        <f>+O58-O56</f>
        <v>-16573</v>
      </c>
      <c r="P59" s="341"/>
      <c r="Q59" s="341">
        <f>+Q58-Q56</f>
        <v>-1779493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tabColor rgb="FFFFFF00"/>
    <pageSetUpPr fitToPage="1"/>
  </sheetPr>
  <dimension ref="A1:AA73"/>
  <sheetViews>
    <sheetView showGridLines="0" zoomScaleNormal="100" workbookViewId="0">
      <selection activeCell="Q30" sqref="Q3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7" t="s">
        <v>0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271"/>
    </row>
    <row r="2" spans="1:22" ht="15.75" thickBot="1">
      <c r="B2" s="438" t="s">
        <v>536</v>
      </c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271"/>
    </row>
    <row r="3" spans="1:22">
      <c r="A3" s="260"/>
      <c r="B3" s="271"/>
      <c r="C3" s="271"/>
      <c r="D3" s="396"/>
      <c r="E3" s="274"/>
      <c r="F3" s="39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9" t="s">
        <v>522</v>
      </c>
      <c r="F4" s="439"/>
      <c r="G4" s="439"/>
      <c r="H4" s="439"/>
      <c r="I4" s="439"/>
      <c r="J4" s="275"/>
      <c r="K4" s="439" t="s">
        <v>80</v>
      </c>
      <c r="L4" s="439"/>
      <c r="M4" s="439"/>
      <c r="N4" s="439"/>
      <c r="O4" s="439"/>
      <c r="P4" s="439"/>
      <c r="Q4" s="439"/>
      <c r="R4" s="439"/>
      <c r="S4" s="439"/>
      <c r="T4" s="439"/>
      <c r="U4" s="439"/>
      <c r="V4" s="271"/>
    </row>
    <row r="5" spans="1:22" ht="15.75" thickBot="1">
      <c r="A5" s="260"/>
      <c r="B5" s="345">
        <v>42766</v>
      </c>
      <c r="C5" s="271"/>
      <c r="D5" s="271"/>
      <c r="E5" s="274"/>
      <c r="F5" s="274"/>
      <c r="G5" s="274"/>
      <c r="H5" s="276"/>
      <c r="I5" s="274"/>
      <c r="J5" s="276"/>
      <c r="K5" s="440" t="s">
        <v>81</v>
      </c>
      <c r="L5" s="440"/>
      <c r="M5" s="440"/>
      <c r="N5" s="277"/>
      <c r="O5" s="440" t="s">
        <v>82</v>
      </c>
      <c r="P5" s="440"/>
      <c r="Q5" s="440"/>
      <c r="R5" s="277"/>
      <c r="S5" s="440" t="s">
        <v>166</v>
      </c>
      <c r="T5" s="440"/>
      <c r="U5" s="440"/>
      <c r="V5" s="271"/>
    </row>
    <row r="6" spans="1:22" ht="30">
      <c r="A6" s="255" t="s">
        <v>83</v>
      </c>
      <c r="B6" s="271"/>
      <c r="C6" s="271" t="s">
        <v>5</v>
      </c>
      <c r="D6" s="396" t="s">
        <v>8</v>
      </c>
      <c r="E6" s="278" t="s">
        <v>551</v>
      </c>
      <c r="F6" s="279"/>
      <c r="G6" s="278" t="s">
        <v>552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5"/>
      <c r="O6" s="281" t="s">
        <v>12</v>
      </c>
      <c r="P6" s="395"/>
      <c r="Q6" s="283" t="s">
        <v>86</v>
      </c>
      <c r="R6" s="284"/>
      <c r="S6" s="281" t="s">
        <v>12</v>
      </c>
      <c r="T6" s="39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3886370-408248</f>
        <v>3478122</v>
      </c>
      <c r="F9" s="287"/>
      <c r="G9" s="293">
        <f>3440635-408255</f>
        <v>3032380</v>
      </c>
      <c r="H9" s="288"/>
      <c r="I9" s="293">
        <f>3385303-1407101</f>
        <v>1978202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3.1843116314330753E-5</v>
      </c>
      <c r="E10" s="297">
        <v>408248</v>
      </c>
      <c r="F10" s="287"/>
      <c r="G10" s="297">
        <v>408255</v>
      </c>
      <c r="H10" s="288"/>
      <c r="I10" s="297">
        <v>1407101</v>
      </c>
      <c r="J10" s="287"/>
      <c r="K10" s="297">
        <v>13</v>
      </c>
      <c r="L10" s="288"/>
      <c r="M10" s="297">
        <v>0</v>
      </c>
      <c r="N10" s="287"/>
      <c r="O10" s="297">
        <v>337</v>
      </c>
      <c r="P10" s="288"/>
      <c r="Q10" s="297">
        <v>0</v>
      </c>
      <c r="R10" s="287"/>
      <c r="S10" s="297">
        <v>3094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3886370</v>
      </c>
      <c r="F11" s="279"/>
      <c r="G11" s="301">
        <f>SUM(G8:G10)</f>
        <v>3440635</v>
      </c>
      <c r="H11" s="276"/>
      <c r="I11" s="301">
        <f>SUM(I9:I10)</f>
        <v>3385303</v>
      </c>
      <c r="J11" s="279"/>
      <c r="K11" s="301">
        <f>SUM(K9:K10)</f>
        <v>13</v>
      </c>
      <c r="L11" s="276"/>
      <c r="M11" s="301">
        <f>SUM(M9:M10)</f>
        <v>0</v>
      </c>
      <c r="N11" s="279"/>
      <c r="O11" s="301">
        <f>SUM(O9:O10)</f>
        <v>337</v>
      </c>
      <c r="P11" s="276"/>
      <c r="Q11" s="301">
        <f>SUM(Q9:Q10)</f>
        <v>0</v>
      </c>
      <c r="R11" s="279"/>
      <c r="S11" s="301">
        <f>SUM(S9:S10)</f>
        <v>3094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620129.75</v>
      </c>
      <c r="F14" s="309"/>
      <c r="G14" s="366">
        <v>630166</v>
      </c>
      <c r="H14" s="310"/>
      <c r="I14" s="308">
        <v>530262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3482422.62</v>
      </c>
      <c r="H17" s="310"/>
      <c r="I17" s="311">
        <v>3539064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68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2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10849132.01</v>
      </c>
      <c r="F23" s="317"/>
      <c r="G23" s="316">
        <f>SUM(G14:G22)</f>
        <v>10859168.26</v>
      </c>
      <c r="H23" s="318"/>
      <c r="I23" s="316">
        <f>SUM(I14:I22)</f>
        <v>9815906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230</v>
      </c>
      <c r="L27" s="321"/>
      <c r="M27" s="320">
        <v>17530</v>
      </c>
      <c r="N27" s="320"/>
      <c r="O27" s="320">
        <v>5442</v>
      </c>
      <c r="P27" s="321"/>
      <c r="Q27" s="320">
        <v>108195</v>
      </c>
      <c r="R27" s="320"/>
      <c r="S27" s="320">
        <v>7453</v>
      </c>
      <c r="T27" s="321"/>
      <c r="U27" s="320">
        <v>-6234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398480</v>
      </c>
      <c r="F28" s="303"/>
      <c r="G28" s="303">
        <v>409228</v>
      </c>
      <c r="H28" s="304"/>
      <c r="I28" s="319">
        <v>155495</v>
      </c>
      <c r="J28" s="303"/>
      <c r="K28" s="303">
        <v>10748</v>
      </c>
      <c r="L28" s="304"/>
      <c r="M28" s="303">
        <v>224313</v>
      </c>
      <c r="N28" s="303"/>
      <c r="O28" s="303">
        <v>154378</v>
      </c>
      <c r="P28" s="304"/>
      <c r="Q28" s="303">
        <v>2121380</v>
      </c>
      <c r="R28" s="303"/>
      <c r="S28" s="303">
        <v>165908</v>
      </c>
      <c r="T28" s="304"/>
      <c r="U28" s="303">
        <v>-99482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3367092</v>
      </c>
      <c r="F29" s="303"/>
      <c r="G29" s="303">
        <v>3590656</v>
      </c>
      <c r="H29" s="304"/>
      <c r="I29" s="322">
        <v>1935447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/>
      <c r="H30" s="304"/>
      <c r="I30" s="322"/>
      <c r="J30" s="303"/>
      <c r="K30" s="303">
        <v>0</v>
      </c>
      <c r="L30" s="304"/>
      <c r="M30" s="303">
        <v>-749</v>
      </c>
      <c r="N30" s="303"/>
      <c r="O30" s="303">
        <v>0</v>
      </c>
      <c r="P30" s="304"/>
      <c r="Q30" s="303">
        <v>-31344</v>
      </c>
      <c r="R30" s="303">
        <v>0</v>
      </c>
      <c r="S30" s="303">
        <v>0</v>
      </c>
      <c r="T30" s="304"/>
      <c r="U30" s="303">
        <v>-29118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-4799222</v>
      </c>
      <c r="H31" s="304"/>
      <c r="I31" s="322">
        <v>-855863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-1033650</v>
      </c>
      <c r="F32" s="274"/>
      <c r="G32" s="316">
        <f>SUM(G27:G31)</f>
        <v>-799338</v>
      </c>
      <c r="H32" s="325"/>
      <c r="I32" s="316">
        <f>SUM(I27:I31)</f>
        <v>1235079</v>
      </c>
      <c r="J32" s="274"/>
      <c r="K32" s="316">
        <f>SUM(K27:K31)</f>
        <v>10978</v>
      </c>
      <c r="L32" s="325"/>
      <c r="M32" s="316">
        <f>SUM(M27:M31)</f>
        <v>241094</v>
      </c>
      <c r="N32" s="274"/>
      <c r="O32" s="316">
        <f>SUM(O27:O31)</f>
        <v>159820</v>
      </c>
      <c r="P32" s="325"/>
      <c r="Q32" s="316">
        <f>SUM(Q27:Q31)</f>
        <v>2198231</v>
      </c>
      <c r="R32" s="274"/>
      <c r="S32" s="316">
        <f>SUM(S27:S31)</f>
        <v>173361</v>
      </c>
      <c r="T32" s="325"/>
      <c r="U32" s="316">
        <f>SUM(U27:U31)</f>
        <v>-134834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13701852.01</v>
      </c>
      <c r="F34" s="274"/>
      <c r="G34" s="326">
        <f>+G32+G23+G11</f>
        <v>13500465.26</v>
      </c>
      <c r="H34" s="276"/>
      <c r="I34" s="326">
        <f>+I32+I23+I11</f>
        <v>14436288</v>
      </c>
      <c r="J34" s="274"/>
      <c r="K34" s="326">
        <f>+K32+K23+K11</f>
        <v>10991</v>
      </c>
      <c r="L34" s="276"/>
      <c r="M34" s="326">
        <f>+M32+M23+M11</f>
        <v>241094</v>
      </c>
      <c r="N34" s="274"/>
      <c r="O34" s="326">
        <f>+O32+O23+O11</f>
        <v>160157</v>
      </c>
      <c r="P34" s="276"/>
      <c r="Q34" s="326">
        <f>+Q32+Q23+Q11</f>
        <v>2198231</v>
      </c>
      <c r="R34" s="274"/>
      <c r="S34" s="326">
        <f>+S32+S23+S11</f>
        <v>176455</v>
      </c>
      <c r="T34" s="276"/>
      <c r="U34" s="326">
        <f>+U32+U23+U11</f>
        <v>-134834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6265142</v>
      </c>
      <c r="F36" s="305"/>
      <c r="G36" s="320">
        <v>6373219</v>
      </c>
      <c r="H36" s="288"/>
      <c r="I36" s="320">
        <v>5818839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13</v>
      </c>
      <c r="L48" s="328"/>
      <c r="M48" s="332"/>
      <c r="N48" s="328"/>
      <c r="O48" s="332">
        <f>+O10</f>
        <v>337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10978</v>
      </c>
      <c r="L51" s="335"/>
      <c r="M51" s="320"/>
      <c r="N51" s="335"/>
      <c r="O51" s="320">
        <f>+O27+O28</f>
        <v>159820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241843</v>
      </c>
      <c r="N53" s="328"/>
      <c r="O53" s="332"/>
      <c r="P53" s="328"/>
      <c r="Q53" s="332">
        <f>+Q27+Q28</f>
        <v>2229575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-749</v>
      </c>
      <c r="N54" s="328"/>
      <c r="O54" s="332"/>
      <c r="P54" s="328"/>
      <c r="Q54" s="332">
        <f>+Q30</f>
        <v>-31344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10991</v>
      </c>
      <c r="L56" s="328"/>
      <c r="M56" s="337">
        <f>SUM(M48:M55)</f>
        <v>241094</v>
      </c>
      <c r="N56" s="328"/>
      <c r="O56" s="337">
        <f>SUM(O48:O55)</f>
        <v>160157</v>
      </c>
      <c r="P56" s="332"/>
      <c r="Q56" s="337">
        <f>SUM(Q48:Q55)</f>
        <v>2198231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69899</v>
      </c>
      <c r="L59" s="341"/>
      <c r="M59" s="341">
        <f>+M58-M56</f>
        <v>-34088</v>
      </c>
      <c r="N59" s="341"/>
      <c r="O59" s="340">
        <f>+O58-O56</f>
        <v>-1092</v>
      </c>
      <c r="P59" s="341"/>
      <c r="Q59" s="341">
        <f>+Q58-Q56</f>
        <v>-1674020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tabColor rgb="FFFFFF00"/>
    <pageSetUpPr fitToPage="1"/>
  </sheetPr>
  <dimension ref="A1:AA74"/>
  <sheetViews>
    <sheetView showGridLines="0" zoomScaleNormal="100" workbookViewId="0">
      <selection activeCell="S10" sqref="S10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7" t="s">
        <v>0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271"/>
    </row>
    <row r="2" spans="1:22" ht="15.75" thickBot="1">
      <c r="B2" s="438" t="s">
        <v>523</v>
      </c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9" t="s">
        <v>522</v>
      </c>
      <c r="F4" s="439"/>
      <c r="G4" s="439"/>
      <c r="H4" s="439"/>
      <c r="I4" s="439"/>
      <c r="J4" s="275"/>
      <c r="K4" s="439" t="s">
        <v>80</v>
      </c>
      <c r="L4" s="439"/>
      <c r="M4" s="439"/>
      <c r="N4" s="439"/>
      <c r="O4" s="439"/>
      <c r="P4" s="439"/>
      <c r="Q4" s="439"/>
      <c r="R4" s="439"/>
      <c r="S4" s="439"/>
      <c r="T4" s="439"/>
      <c r="U4" s="439"/>
      <c r="V4" s="271"/>
    </row>
    <row r="5" spans="1:22" ht="15.75" thickBot="1">
      <c r="A5" s="260"/>
      <c r="B5" s="345">
        <v>42429</v>
      </c>
      <c r="C5" s="271"/>
      <c r="D5" s="271"/>
      <c r="E5" s="274"/>
      <c r="F5" s="274"/>
      <c r="G5" s="274"/>
      <c r="H5" s="276"/>
      <c r="I5" s="274"/>
      <c r="J5" s="276"/>
      <c r="K5" s="440" t="s">
        <v>81</v>
      </c>
      <c r="L5" s="440"/>
      <c r="M5" s="440"/>
      <c r="N5" s="277"/>
      <c r="O5" s="440" t="s">
        <v>82</v>
      </c>
      <c r="P5" s="440"/>
      <c r="Q5" s="440"/>
      <c r="R5" s="277"/>
      <c r="S5" s="440" t="s">
        <v>166</v>
      </c>
      <c r="T5" s="440"/>
      <c r="U5" s="440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526</v>
      </c>
      <c r="F6" s="279"/>
      <c r="G6" s="278" t="s">
        <v>527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8"/>
      <c r="O6" s="281" t="s">
        <v>12</v>
      </c>
      <c r="P6" s="348"/>
      <c r="Q6" s="283" t="s">
        <v>86</v>
      </c>
      <c r="R6" s="284"/>
      <c r="S6" s="281" t="s">
        <v>12</v>
      </c>
      <c r="T6" s="34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5161917-1407418</f>
        <v>3754499</v>
      </c>
      <c r="F9" s="287"/>
      <c r="G9" s="332">
        <f>3561635-1407681</f>
        <v>2153954</v>
      </c>
      <c r="H9" s="288"/>
      <c r="I9" s="293">
        <v>1275060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1.9182273873849553E-4</v>
      </c>
      <c r="E10" s="297">
        <v>1407418</v>
      </c>
      <c r="F10" s="287"/>
      <c r="G10" s="297">
        <v>1407681</v>
      </c>
      <c r="H10" s="288"/>
      <c r="I10" s="297">
        <v>4901142</v>
      </c>
      <c r="J10" s="287"/>
      <c r="K10" s="297">
        <v>270</v>
      </c>
      <c r="L10" s="288"/>
      <c r="M10" s="297">
        <v>0</v>
      </c>
      <c r="N10" s="287"/>
      <c r="O10" s="297">
        <v>3363</v>
      </c>
      <c r="P10" s="288"/>
      <c r="Q10" s="297">
        <v>0</v>
      </c>
      <c r="R10" s="287"/>
      <c r="S10" s="297">
        <v>6840.92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5161917</v>
      </c>
      <c r="F11" s="279"/>
      <c r="G11" s="301">
        <f>SUM(G8:G10)</f>
        <v>3561635</v>
      </c>
      <c r="H11" s="276"/>
      <c r="I11" s="301">
        <f>SUM(I9:I10)</f>
        <v>6176202</v>
      </c>
      <c r="J11" s="279"/>
      <c r="K11" s="301">
        <f>SUM(K9:K10)</f>
        <v>270</v>
      </c>
      <c r="L11" s="276"/>
      <c r="M11" s="301">
        <f>SUM(M9:M10)</f>
        <v>0</v>
      </c>
      <c r="N11" s="279"/>
      <c r="O11" s="301">
        <f>SUM(O9:O10)</f>
        <v>3363</v>
      </c>
      <c r="P11" s="276"/>
      <c r="Q11" s="301">
        <f>SUM(Q9:Q10)</f>
        <v>0</v>
      </c>
      <c r="R11" s="279"/>
      <c r="S11" s="301">
        <f>SUM(S9:S10)</f>
        <v>6840.92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502241</v>
      </c>
      <c r="F14" s="309"/>
      <c r="G14" s="308">
        <v>444684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9787885</v>
      </c>
      <c r="F24" s="317"/>
      <c r="G24" s="316">
        <f>SUM(G14:G23)</f>
        <v>9230328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452804</v>
      </c>
      <c r="J28" s="320"/>
      <c r="K28" s="320">
        <v>1572</v>
      </c>
      <c r="L28" s="321"/>
      <c r="M28" s="320">
        <v>-59130</v>
      </c>
      <c r="N28" s="320"/>
      <c r="O28" s="320">
        <v>9025</v>
      </c>
      <c r="P28" s="321"/>
      <c r="Q28" s="320">
        <v>-65364</v>
      </c>
      <c r="R28" s="320"/>
      <c r="S28" s="320">
        <v>7840.579999999999</v>
      </c>
      <c r="T28" s="321"/>
      <c r="U28" s="320">
        <v>-18899.259999999998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165908</v>
      </c>
      <c r="F29" s="303"/>
      <c r="G29" s="303">
        <v>185628</v>
      </c>
      <c r="H29" s="304"/>
      <c r="I29" s="303">
        <v>8177627</v>
      </c>
      <c r="J29" s="303"/>
      <c r="K29" s="303">
        <v>19721</v>
      </c>
      <c r="L29" s="304"/>
      <c r="M29" s="303">
        <v>-1271440</v>
      </c>
      <c r="N29" s="303"/>
      <c r="O29" s="303">
        <v>185629</v>
      </c>
      <c r="P29" s="304"/>
      <c r="Q29" s="303">
        <v>-1370922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1419886</v>
      </c>
      <c r="F30" s="303"/>
      <c r="G30" s="303">
        <v>147309</v>
      </c>
      <c r="H30" s="304"/>
      <c r="I30" s="303">
        <v>1343672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333686.52999999997</v>
      </c>
      <c r="T30" s="304"/>
      <c r="U30" s="303">
        <v>-313085.13999999996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/>
      <c r="J31" s="303"/>
      <c r="K31" s="303">
        <v>0</v>
      </c>
      <c r="L31" s="304"/>
      <c r="M31" s="303">
        <v>-1137</v>
      </c>
      <c r="N31" s="303"/>
      <c r="O31" s="303">
        <v>0</v>
      </c>
      <c r="P31" s="304"/>
      <c r="Q31" s="303">
        <v>-30256</v>
      </c>
      <c r="R31" s="303"/>
      <c r="S31" s="303">
        <v>0</v>
      </c>
      <c r="T31" s="304"/>
      <c r="U31" s="303">
        <v>-25361.59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729931</v>
      </c>
      <c r="F33" s="274"/>
      <c r="G33" s="316">
        <f>SUM(G28:G32)</f>
        <v>-22926</v>
      </c>
      <c r="H33" s="325"/>
      <c r="I33" s="316">
        <f>SUM(I28:I32)</f>
        <v>9411026</v>
      </c>
      <c r="J33" s="274"/>
      <c r="K33" s="316">
        <f>SUM(K28:K32)</f>
        <v>21293</v>
      </c>
      <c r="L33" s="325"/>
      <c r="M33" s="316">
        <f>SUM(M28:M32)</f>
        <v>-1331707</v>
      </c>
      <c r="N33" s="274"/>
      <c r="O33" s="316">
        <f>SUM(O28:O32)</f>
        <v>194654</v>
      </c>
      <c r="P33" s="325"/>
      <c r="Q33" s="316">
        <f>SUM(Q28:Q32)</f>
        <v>-1466542</v>
      </c>
      <c r="R33" s="274"/>
      <c r="S33" s="316">
        <f>SUM(S28:S32)</f>
        <v>341527.11</v>
      </c>
      <c r="T33" s="325"/>
      <c r="U33" s="316">
        <f>SUM(U28:U32)</f>
        <v>-357345.99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15679733</v>
      </c>
      <c r="F35" s="274"/>
      <c r="G35" s="326">
        <f>+G33+G24+G11</f>
        <v>12769037</v>
      </c>
      <c r="H35" s="276"/>
      <c r="I35" s="326">
        <f>+I33+I24+I11</f>
        <v>16355659.67</v>
      </c>
      <c r="J35" s="274"/>
      <c r="K35" s="326">
        <f>+K33+K24+K11</f>
        <v>21563</v>
      </c>
      <c r="L35" s="276"/>
      <c r="M35" s="326">
        <f>+M33+M24+M11</f>
        <v>-1331707</v>
      </c>
      <c r="N35" s="274"/>
      <c r="O35" s="326">
        <f>+O33+O24+O11</f>
        <v>198017</v>
      </c>
      <c r="P35" s="276"/>
      <c r="Q35" s="326">
        <f>+Q33+Q24+Q11</f>
        <v>-1466542</v>
      </c>
      <c r="R35" s="274"/>
      <c r="S35" s="326">
        <f>+S33+S24+S11</f>
        <v>348368.02999999997</v>
      </c>
      <c r="T35" s="276"/>
      <c r="U35" s="326">
        <f>+U33+U24+U11</f>
        <v>-357345.99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5596115</v>
      </c>
      <c r="F37" s="305"/>
      <c r="G37" s="320">
        <v>4954464</v>
      </c>
      <c r="H37" s="288"/>
      <c r="I37" s="320">
        <v>5329180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270</v>
      </c>
      <c r="L49" s="328"/>
      <c r="M49" s="332"/>
      <c r="N49" s="328"/>
      <c r="O49" s="332">
        <f>+O10</f>
        <v>3363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21293</v>
      </c>
      <c r="L52" s="335"/>
      <c r="M52" s="320"/>
      <c r="N52" s="335"/>
      <c r="O52" s="320">
        <f>+O28+O29</f>
        <v>194654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-1330570</v>
      </c>
      <c r="N54" s="328"/>
      <c r="O54" s="332"/>
      <c r="P54" s="328"/>
      <c r="Q54" s="332">
        <f>+Q28+Q29</f>
        <v>-1436286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-1137</v>
      </c>
      <c r="N55" s="328"/>
      <c r="O55" s="332"/>
      <c r="P55" s="328"/>
      <c r="Q55" s="332">
        <f>+Q31</f>
        <v>-30256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21563</v>
      </c>
      <c r="L57" s="328"/>
      <c r="M57" s="337">
        <f>SUM(M49:M56)</f>
        <v>-1331707</v>
      </c>
      <c r="N57" s="328"/>
      <c r="O57" s="337">
        <f>SUM(O49:O56)</f>
        <v>198017</v>
      </c>
      <c r="P57" s="332"/>
      <c r="Q57" s="337">
        <f>SUM(Q49:Q56)</f>
        <v>-1466542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59327</v>
      </c>
      <c r="L60" s="341"/>
      <c r="M60" s="341">
        <f>+M59-M57</f>
        <v>1538713</v>
      </c>
      <c r="N60" s="341"/>
      <c r="O60" s="340">
        <f>+O59-O57</f>
        <v>-38952</v>
      </c>
      <c r="P60" s="341"/>
      <c r="Q60" s="341">
        <f>+Q59-Q57</f>
        <v>1990753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tabColor rgb="FFFFFF00"/>
    <pageSetUpPr fitToPage="1"/>
  </sheetPr>
  <dimension ref="A1:AA75"/>
  <sheetViews>
    <sheetView showGridLines="0" zoomScaleNormal="100" workbookViewId="0">
      <selection activeCell="G36" sqref="G36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7" t="s">
        <v>0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271"/>
    </row>
    <row r="2" spans="1:22" ht="15.75" thickBot="1">
      <c r="B2" s="438" t="s">
        <v>536</v>
      </c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271"/>
    </row>
    <row r="3" spans="1:22">
      <c r="A3" s="260"/>
      <c r="B3" s="271"/>
      <c r="C3" s="271"/>
      <c r="D3" s="392"/>
      <c r="E3" s="274"/>
      <c r="F3" s="39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9" t="s">
        <v>522</v>
      </c>
      <c r="F4" s="439"/>
      <c r="G4" s="439"/>
      <c r="H4" s="439"/>
      <c r="I4" s="439"/>
      <c r="J4" s="275"/>
      <c r="K4" s="439" t="s">
        <v>80</v>
      </c>
      <c r="L4" s="439"/>
      <c r="M4" s="439"/>
      <c r="N4" s="439"/>
      <c r="O4" s="439"/>
      <c r="P4" s="439"/>
      <c r="Q4" s="439"/>
      <c r="R4" s="439"/>
      <c r="S4" s="439"/>
      <c r="T4" s="439"/>
      <c r="U4" s="439"/>
      <c r="V4" s="271"/>
    </row>
    <row r="5" spans="1:22" ht="15.75" thickBot="1">
      <c r="A5" s="260"/>
      <c r="B5" s="345">
        <v>42704</v>
      </c>
      <c r="C5" s="271"/>
      <c r="D5" s="271"/>
      <c r="E5" s="274"/>
      <c r="F5" s="274"/>
      <c r="G5" s="274"/>
      <c r="H5" s="276"/>
      <c r="I5" s="274"/>
      <c r="J5" s="276"/>
      <c r="K5" s="440" t="s">
        <v>81</v>
      </c>
      <c r="L5" s="440"/>
      <c r="M5" s="440"/>
      <c r="N5" s="277"/>
      <c r="O5" s="440" t="s">
        <v>82</v>
      </c>
      <c r="P5" s="440"/>
      <c r="Q5" s="440"/>
      <c r="R5" s="277"/>
      <c r="S5" s="440" t="s">
        <v>166</v>
      </c>
      <c r="T5" s="440"/>
      <c r="U5" s="440"/>
      <c r="V5" s="271"/>
    </row>
    <row r="6" spans="1:22" ht="30">
      <c r="A6" s="255" t="s">
        <v>83</v>
      </c>
      <c r="B6" s="271"/>
      <c r="C6" s="271" t="s">
        <v>5</v>
      </c>
      <c r="D6" s="392" t="s">
        <v>8</v>
      </c>
      <c r="E6" s="278" t="s">
        <v>548</v>
      </c>
      <c r="F6" s="279"/>
      <c r="G6" s="278" t="s">
        <v>547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1"/>
      <c r="O6" s="281" t="s">
        <v>12</v>
      </c>
      <c r="P6" s="391"/>
      <c r="Q6" s="283" t="s">
        <v>86</v>
      </c>
      <c r="R6" s="284"/>
      <c r="S6" s="281" t="s">
        <v>12</v>
      </c>
      <c r="T6" s="39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4590527-408229</f>
        <v>4182298</v>
      </c>
      <c r="F9" s="287"/>
      <c r="G9" s="293">
        <f>4497309-408239</f>
        <v>4089070</v>
      </c>
      <c r="H9" s="288"/>
      <c r="I9" s="293">
        <v>198536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4.1642783305653127E-5</v>
      </c>
      <c r="E10" s="297">
        <v>408229</v>
      </c>
      <c r="F10" s="287"/>
      <c r="G10" s="297">
        <v>408239</v>
      </c>
      <c r="H10" s="288"/>
      <c r="I10" s="297">
        <v>2406742</v>
      </c>
      <c r="J10" s="287"/>
      <c r="K10" s="297">
        <v>17</v>
      </c>
      <c r="L10" s="288"/>
      <c r="M10" s="297">
        <v>0</v>
      </c>
      <c r="N10" s="287"/>
      <c r="O10" s="297">
        <v>308</v>
      </c>
      <c r="P10" s="288"/>
      <c r="Q10" s="297">
        <v>0</v>
      </c>
      <c r="R10" s="287"/>
      <c r="S10" s="297">
        <v>2403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4590527</v>
      </c>
      <c r="F11" s="279"/>
      <c r="G11" s="301">
        <f>SUM(G8:G10)</f>
        <v>4497309</v>
      </c>
      <c r="H11" s="276"/>
      <c r="I11" s="301">
        <f>SUM(I9:I10)</f>
        <v>2605278</v>
      </c>
      <c r="J11" s="279"/>
      <c r="K11" s="301">
        <f>SUM(K9:K10)</f>
        <v>17</v>
      </c>
      <c r="L11" s="276"/>
      <c r="M11" s="301">
        <f>SUM(M9:M10)</f>
        <v>0</v>
      </c>
      <c r="N11" s="279"/>
      <c r="O11" s="301">
        <f>SUM(O9:O10)</f>
        <v>308</v>
      </c>
      <c r="P11" s="276"/>
      <c r="Q11" s="301">
        <f>SUM(Q9:Q10)</f>
        <v>0</v>
      </c>
      <c r="R11" s="279"/>
      <c r="S11" s="301">
        <f>SUM(S9:S10)</f>
        <v>2403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603814</v>
      </c>
      <c r="F14" s="309"/>
      <c r="G14" s="366">
        <v>623934</v>
      </c>
      <c r="H14" s="310"/>
      <c r="I14" s="366">
        <v>533765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 hidden="1">
      <c r="A15" s="216">
        <v>1121</v>
      </c>
      <c r="B15" s="305" t="s">
        <v>508</v>
      </c>
      <c r="C15" s="305"/>
      <c r="D15" s="307"/>
      <c r="E15" s="368">
        <v>0</v>
      </c>
      <c r="F15" s="309"/>
      <c r="G15" s="368"/>
      <c r="H15" s="310"/>
      <c r="I15" s="368">
        <v>0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68">
        <v>768432</v>
      </c>
      <c r="F16" s="309"/>
      <c r="G16" s="368">
        <v>768432</v>
      </c>
      <c r="H16" s="310"/>
      <c r="I16" s="368">
        <v>768431.67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 hidden="1">
      <c r="A17" s="216">
        <v>1124</v>
      </c>
      <c r="B17" s="305" t="s">
        <v>509</v>
      </c>
      <c r="C17" s="305"/>
      <c r="D17" s="307"/>
      <c r="E17" s="368">
        <v>0</v>
      </c>
      <c r="F17" s="309"/>
      <c r="G17" s="368"/>
      <c r="H17" s="310"/>
      <c r="I17" s="368">
        <v>0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68">
        <v>400000</v>
      </c>
      <c r="F18" s="309"/>
      <c r="G18" s="368">
        <v>400000</v>
      </c>
      <c r="H18" s="310"/>
      <c r="I18" s="368">
        <v>400000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68">
        <v>3482423</v>
      </c>
      <c r="F19" s="309"/>
      <c r="G19" s="368">
        <v>3482423</v>
      </c>
      <c r="H19" s="310"/>
      <c r="I19" s="368">
        <v>3539064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68">
        <v>3178148</v>
      </c>
      <c r="F20" s="309"/>
      <c r="G20" s="368">
        <v>3178148</v>
      </c>
      <c r="H20" s="310"/>
      <c r="I20" s="368">
        <v>3178148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68">
        <v>400000</v>
      </c>
      <c r="F21" s="309"/>
      <c r="G21" s="368">
        <v>400000</v>
      </c>
      <c r="H21" s="310"/>
      <c r="I21" s="368">
        <v>400000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68">
        <v>0</v>
      </c>
      <c r="F22" s="309"/>
      <c r="G22" s="368">
        <v>0</v>
      </c>
      <c r="H22" s="310"/>
      <c r="I22" s="368">
        <v>1000000</v>
      </c>
      <c r="J22" s="309"/>
      <c r="K22" s="368">
        <v>0</v>
      </c>
      <c r="L22" s="310"/>
      <c r="M22" s="368">
        <v>0</v>
      </c>
      <c r="N22" s="309"/>
      <c r="O22" s="368">
        <v>0</v>
      </c>
      <c r="P22" s="310"/>
      <c r="Q22" s="368">
        <v>0</v>
      </c>
      <c r="R22" s="309"/>
      <c r="S22" s="368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68">
        <v>2000000</v>
      </c>
      <c r="F23" s="309"/>
      <c r="G23" s="368">
        <v>2000000</v>
      </c>
      <c r="H23" s="310"/>
      <c r="I23" s="368">
        <v>0</v>
      </c>
      <c r="J23" s="309"/>
      <c r="K23" s="368">
        <v>0</v>
      </c>
      <c r="L23" s="310"/>
      <c r="M23" s="368">
        <v>0</v>
      </c>
      <c r="N23" s="309"/>
      <c r="O23" s="368">
        <v>0</v>
      </c>
      <c r="P23" s="310"/>
      <c r="Q23" s="368">
        <v>0</v>
      </c>
      <c r="R23" s="309"/>
      <c r="S23" s="368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10832817</v>
      </c>
      <c r="F25" s="317"/>
      <c r="G25" s="316">
        <f>SUM(G14:G24)</f>
        <v>10852937</v>
      </c>
      <c r="H25" s="318"/>
      <c r="I25" s="316">
        <f>SUM(I14:I24)</f>
        <v>9819408.6699999999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1706</v>
      </c>
      <c r="L29" s="321"/>
      <c r="M29" s="320">
        <v>18414</v>
      </c>
      <c r="N29" s="320"/>
      <c r="O29" s="320">
        <v>4729</v>
      </c>
      <c r="P29" s="321"/>
      <c r="Q29" s="320">
        <v>94952</v>
      </c>
      <c r="R29" s="320"/>
      <c r="S29" s="320">
        <v>6570.69</v>
      </c>
      <c r="T29" s="321"/>
      <c r="U29" s="320">
        <v>26172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339704</v>
      </c>
      <c r="F30" s="303"/>
      <c r="G30" s="303">
        <v>388914</v>
      </c>
      <c r="H30" s="304"/>
      <c r="I30" s="303">
        <v>144069</v>
      </c>
      <c r="J30" s="303"/>
      <c r="K30" s="303">
        <v>49210</v>
      </c>
      <c r="L30" s="304"/>
      <c r="M30" s="303">
        <v>327177</v>
      </c>
      <c r="N30" s="303"/>
      <c r="O30" s="303">
        <v>134064</v>
      </c>
      <c r="P30" s="304"/>
      <c r="Q30" s="303">
        <v>1921015</v>
      </c>
      <c r="R30" s="303"/>
      <c r="S30" s="303">
        <v>144070</v>
      </c>
      <c r="T30" s="304"/>
      <c r="U30" s="303">
        <v>517602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3072441</v>
      </c>
      <c r="F31" s="303"/>
      <c r="G31" s="303">
        <v>3398674</v>
      </c>
      <c r="H31" s="304"/>
      <c r="I31" s="303">
        <v>2046526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-944</v>
      </c>
      <c r="N32" s="303"/>
      <c r="O32" s="303">
        <v>0</v>
      </c>
      <c r="P32" s="304"/>
      <c r="Q32" s="303">
        <v>-22962</v>
      </c>
      <c r="R32" s="303">
        <v>0</v>
      </c>
      <c r="S32" s="303">
        <v>0</v>
      </c>
      <c r="T32" s="304"/>
      <c r="U32" s="303">
        <v>-19563.18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-4799222</v>
      </c>
      <c r="F33" s="303"/>
      <c r="G33" s="303">
        <v>-4799222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-1387077</v>
      </c>
      <c r="F34" s="274"/>
      <c r="G34" s="316">
        <f>SUM(G29:G33)</f>
        <v>-1011634</v>
      </c>
      <c r="H34" s="325"/>
      <c r="I34" s="316">
        <f>SUM(I29:I33)</f>
        <v>1334732</v>
      </c>
      <c r="J34" s="274"/>
      <c r="K34" s="316">
        <f>SUM(K29:K33)</f>
        <v>50916</v>
      </c>
      <c r="L34" s="325"/>
      <c r="M34" s="316">
        <f>SUM(M29:M33)</f>
        <v>344647</v>
      </c>
      <c r="N34" s="274"/>
      <c r="O34" s="316">
        <f>SUM(O29:O33)</f>
        <v>138793</v>
      </c>
      <c r="P34" s="325"/>
      <c r="Q34" s="316">
        <f>SUM(Q29:Q33)</f>
        <v>1993005</v>
      </c>
      <c r="R34" s="274"/>
      <c r="S34" s="316">
        <f>SUM(S29:S33)</f>
        <v>150640.69</v>
      </c>
      <c r="T34" s="325"/>
      <c r="U34" s="316">
        <f>SUM(U29:U33)</f>
        <v>524210.82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14036267</v>
      </c>
      <c r="F36" s="274"/>
      <c r="G36" s="326">
        <f>+G34+G25+G11</f>
        <v>14338612</v>
      </c>
      <c r="H36" s="276"/>
      <c r="I36" s="326">
        <f>+I34+I25+I11</f>
        <v>13759418.67</v>
      </c>
      <c r="J36" s="274"/>
      <c r="K36" s="326">
        <f>+K34+K25+K11</f>
        <v>50933</v>
      </c>
      <c r="L36" s="276"/>
      <c r="M36" s="326">
        <f>+M34+M25+M11</f>
        <v>344647</v>
      </c>
      <c r="N36" s="274"/>
      <c r="O36" s="326">
        <f>+O34+O25+O11</f>
        <v>139101</v>
      </c>
      <c r="P36" s="276"/>
      <c r="Q36" s="326">
        <f>+Q34+Q25+Q11</f>
        <v>1993005</v>
      </c>
      <c r="R36" s="274"/>
      <c r="S36" s="326">
        <f>+S34+S25+S11</f>
        <v>153043.69</v>
      </c>
      <c r="T36" s="276"/>
      <c r="U36" s="326">
        <f>+U34+U25+U11</f>
        <v>524210.82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6051213</v>
      </c>
      <c r="F38" s="305"/>
      <c r="G38" s="320">
        <v>6268301</v>
      </c>
      <c r="H38" s="288"/>
      <c r="I38" s="320">
        <v>5789084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17</v>
      </c>
      <c r="L50" s="328"/>
      <c r="M50" s="332"/>
      <c r="N50" s="328"/>
      <c r="O50" s="332">
        <f>+O10</f>
        <v>308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50916</v>
      </c>
      <c r="L53" s="335"/>
      <c r="M53" s="320"/>
      <c r="N53" s="335"/>
      <c r="O53" s="320">
        <f>+O29+O30</f>
        <v>138793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345591</v>
      </c>
      <c r="N55" s="328"/>
      <c r="O55" s="332"/>
      <c r="P55" s="328"/>
      <c r="Q55" s="332">
        <f>+Q29+Q30</f>
        <v>2015967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-944</v>
      </c>
      <c r="N56" s="328"/>
      <c r="O56" s="332"/>
      <c r="P56" s="328"/>
      <c r="Q56" s="332">
        <f>+Q32</f>
        <v>-22962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50933</v>
      </c>
      <c r="L58" s="328"/>
      <c r="M58" s="337">
        <f>SUM(M50:M57)</f>
        <v>344647</v>
      </c>
      <c r="N58" s="328"/>
      <c r="O58" s="337">
        <f>SUM(O50:O57)</f>
        <v>139101</v>
      </c>
      <c r="P58" s="332"/>
      <c r="Q58" s="337">
        <f>SUM(Q50:Q57)</f>
        <v>1993005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29957</v>
      </c>
      <c r="L61" s="341"/>
      <c r="M61" s="341">
        <f>+M60-M58</f>
        <v>-137641</v>
      </c>
      <c r="N61" s="341"/>
      <c r="O61" s="340">
        <f>+O60-O58</f>
        <v>19964</v>
      </c>
      <c r="P61" s="341"/>
      <c r="Q61" s="341">
        <f>+Q60-Q58</f>
        <v>-1468794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tabColor rgb="FFFFFF00"/>
    <pageSetUpPr fitToPage="1"/>
  </sheetPr>
  <dimension ref="A1:AA75"/>
  <sheetViews>
    <sheetView showGridLines="0" zoomScaleNormal="100" workbookViewId="0">
      <selection activeCell="I13" sqref="I13:I25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7" t="s">
        <v>0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271"/>
    </row>
    <row r="2" spans="1:22" ht="15.75" thickBot="1">
      <c r="B2" s="438" t="s">
        <v>536</v>
      </c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271"/>
    </row>
    <row r="3" spans="1:22">
      <c r="A3" s="260"/>
      <c r="B3" s="271"/>
      <c r="C3" s="271"/>
      <c r="D3" s="390"/>
      <c r="E3" s="274"/>
      <c r="F3" s="39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9" t="s">
        <v>522</v>
      </c>
      <c r="F4" s="439"/>
      <c r="G4" s="439"/>
      <c r="H4" s="439"/>
      <c r="I4" s="439"/>
      <c r="J4" s="275"/>
      <c r="K4" s="439" t="s">
        <v>80</v>
      </c>
      <c r="L4" s="439"/>
      <c r="M4" s="439"/>
      <c r="N4" s="439"/>
      <c r="O4" s="439"/>
      <c r="P4" s="439"/>
      <c r="Q4" s="439"/>
      <c r="R4" s="439"/>
      <c r="S4" s="439"/>
      <c r="T4" s="439"/>
      <c r="U4" s="439"/>
      <c r="V4" s="271"/>
    </row>
    <row r="5" spans="1:22" ht="15.75" thickBot="1">
      <c r="A5" s="260"/>
      <c r="B5" s="345">
        <v>42674</v>
      </c>
      <c r="C5" s="271"/>
      <c r="D5" s="271"/>
      <c r="E5" s="274"/>
      <c r="F5" s="274"/>
      <c r="G5" s="274"/>
      <c r="H5" s="276"/>
      <c r="I5" s="274"/>
      <c r="J5" s="276"/>
      <c r="K5" s="440" t="s">
        <v>81</v>
      </c>
      <c r="L5" s="440"/>
      <c r="M5" s="440"/>
      <c r="N5" s="277"/>
      <c r="O5" s="440" t="s">
        <v>82</v>
      </c>
      <c r="P5" s="440"/>
      <c r="Q5" s="440"/>
      <c r="R5" s="277"/>
      <c r="S5" s="440" t="s">
        <v>166</v>
      </c>
      <c r="T5" s="440"/>
      <c r="U5" s="440"/>
      <c r="V5" s="271"/>
    </row>
    <row r="6" spans="1:22" ht="30">
      <c r="A6" s="255" t="s">
        <v>83</v>
      </c>
      <c r="B6" s="271"/>
      <c r="C6" s="271" t="s">
        <v>5</v>
      </c>
      <c r="D6" s="390" t="s">
        <v>8</v>
      </c>
      <c r="E6" s="278" t="s">
        <v>545</v>
      </c>
      <c r="F6" s="279"/>
      <c r="G6" s="278" t="s">
        <v>546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9"/>
      <c r="O6" s="281" t="s">
        <v>12</v>
      </c>
      <c r="P6" s="389"/>
      <c r="Q6" s="283" t="s">
        <v>86</v>
      </c>
      <c r="R6" s="284"/>
      <c r="S6" s="281" t="s">
        <v>12</v>
      </c>
      <c r="T6" s="38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1438948</v>
      </c>
      <c r="F9" s="287"/>
      <c r="G9" s="293">
        <f>4590527-408229</f>
        <v>4182298</v>
      </c>
      <c r="H9" s="288"/>
      <c r="I9" s="293">
        <v>954914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4.164385440818571E-5</v>
      </c>
      <c r="E10" s="297">
        <v>408218</v>
      </c>
      <c r="F10" s="287"/>
      <c r="G10" s="297">
        <v>408229</v>
      </c>
      <c r="H10" s="288"/>
      <c r="I10" s="297">
        <v>2406116</v>
      </c>
      <c r="J10" s="287"/>
      <c r="K10" s="297">
        <v>17</v>
      </c>
      <c r="L10" s="288"/>
      <c r="M10" s="297">
        <v>0</v>
      </c>
      <c r="N10" s="287"/>
      <c r="O10" s="297">
        <v>290</v>
      </c>
      <c r="P10" s="288"/>
      <c r="Q10" s="297">
        <v>0</v>
      </c>
      <c r="R10" s="287"/>
      <c r="S10" s="297">
        <v>1770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1847166</v>
      </c>
      <c r="F11" s="279"/>
      <c r="G11" s="301">
        <f>SUM(G8:G10)</f>
        <v>4590527</v>
      </c>
      <c r="H11" s="276"/>
      <c r="I11" s="301">
        <f>SUM(I9:I10)</f>
        <v>3361030</v>
      </c>
      <c r="J11" s="279"/>
      <c r="K11" s="301">
        <f>SUM(K9:K10)</f>
        <v>17</v>
      </c>
      <c r="L11" s="276"/>
      <c r="M11" s="301">
        <f>SUM(M9:M10)</f>
        <v>0</v>
      </c>
      <c r="N11" s="279"/>
      <c r="O11" s="301">
        <f>SUM(O9:O10)</f>
        <v>290</v>
      </c>
      <c r="P11" s="276"/>
      <c r="Q11" s="301">
        <f>SUM(Q9:Q10)</f>
        <v>0</v>
      </c>
      <c r="R11" s="279"/>
      <c r="S11" s="301">
        <f>SUM(S9:S10)</f>
        <v>1770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548398</v>
      </c>
      <c r="F14" s="309"/>
      <c r="G14" s="308">
        <v>603814</v>
      </c>
      <c r="H14" s="310"/>
      <c r="I14" s="308">
        <v>522998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 hidden="1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 hidden="1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3178148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10777401</v>
      </c>
      <c r="F25" s="317"/>
      <c r="G25" s="316">
        <f>SUM(G14:G24)</f>
        <v>10832817</v>
      </c>
      <c r="H25" s="318"/>
      <c r="I25" s="316">
        <f>SUM(I14:I24)</f>
        <v>9808641.6699999999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249</v>
      </c>
      <c r="L29" s="321"/>
      <c r="M29" s="320">
        <v>55168</v>
      </c>
      <c r="N29" s="320"/>
      <c r="O29" s="320">
        <v>3022</v>
      </c>
      <c r="P29" s="321"/>
      <c r="Q29" s="320">
        <v>77586</v>
      </c>
      <c r="R29" s="320"/>
      <c r="S29" s="320">
        <v>4702.1499999999996</v>
      </c>
      <c r="T29" s="321"/>
      <c r="U29" s="320">
        <v>17273.760000000002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323273</v>
      </c>
      <c r="F30" s="303"/>
      <c r="G30" s="303">
        <v>339704</v>
      </c>
      <c r="H30" s="304"/>
      <c r="I30" s="303">
        <v>57574</v>
      </c>
      <c r="J30" s="303"/>
      <c r="K30" s="303">
        <v>16431</v>
      </c>
      <c r="L30" s="304"/>
      <c r="M30" s="303">
        <v>1014668</v>
      </c>
      <c r="N30" s="303"/>
      <c r="O30" s="303">
        <v>84855</v>
      </c>
      <c r="P30" s="304"/>
      <c r="Q30" s="303">
        <v>1593838</v>
      </c>
      <c r="R30" s="303"/>
      <c r="S30" s="303">
        <v>68879</v>
      </c>
      <c r="T30" s="304"/>
      <c r="U30" s="303">
        <v>319656.90000000002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2058895</v>
      </c>
      <c r="F31" s="303"/>
      <c r="G31" s="303">
        <v>3072441</v>
      </c>
      <c r="H31" s="304"/>
      <c r="I31" s="303">
        <v>1659415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-1122</v>
      </c>
      <c r="N32" s="303"/>
      <c r="O32" s="303">
        <v>0</v>
      </c>
      <c r="P32" s="304"/>
      <c r="Q32" s="303">
        <v>-22018</v>
      </c>
      <c r="R32" s="303">
        <v>0</v>
      </c>
      <c r="S32" s="303">
        <v>0</v>
      </c>
      <c r="T32" s="304"/>
      <c r="U32" s="303">
        <v>-19724.43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-4799222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582946</v>
      </c>
      <c r="F34" s="274"/>
      <c r="G34" s="316">
        <f>SUM(G29:G33)</f>
        <v>-1387077</v>
      </c>
      <c r="H34" s="325"/>
      <c r="I34" s="316">
        <f>SUM(I29:I33)</f>
        <v>861126</v>
      </c>
      <c r="J34" s="274"/>
      <c r="K34" s="316">
        <f>SUM(K29:K33)</f>
        <v>16680</v>
      </c>
      <c r="L34" s="325"/>
      <c r="M34" s="316">
        <f>SUM(M29:M33)</f>
        <v>1068714</v>
      </c>
      <c r="N34" s="274"/>
      <c r="O34" s="316">
        <f>SUM(O29:O33)</f>
        <v>87877</v>
      </c>
      <c r="P34" s="325"/>
      <c r="Q34" s="316">
        <f>SUM(Q29:Q33)</f>
        <v>1649406</v>
      </c>
      <c r="R34" s="274"/>
      <c r="S34" s="316">
        <f>SUM(S29:S33)</f>
        <v>73581.149999999994</v>
      </c>
      <c r="T34" s="325"/>
      <c r="U34" s="316">
        <f>SUM(U29:U33)</f>
        <v>317206.23000000004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13207513</v>
      </c>
      <c r="F36" s="274"/>
      <c r="G36" s="326">
        <f>+G34+G25+G11</f>
        <v>14036267</v>
      </c>
      <c r="H36" s="276"/>
      <c r="I36" s="326">
        <f>+I34+I25+I11</f>
        <v>14030797.67</v>
      </c>
      <c r="J36" s="274"/>
      <c r="K36" s="326">
        <f>+K34+K25+K11</f>
        <v>16697</v>
      </c>
      <c r="L36" s="276"/>
      <c r="M36" s="326">
        <f>+M34+M25+M11</f>
        <v>1068714</v>
      </c>
      <c r="N36" s="274"/>
      <c r="O36" s="326">
        <f>+O34+O25+O11</f>
        <v>88167</v>
      </c>
      <c r="P36" s="276"/>
      <c r="Q36" s="326">
        <f>+Q34+Q25+Q11</f>
        <v>1649406</v>
      </c>
      <c r="R36" s="274"/>
      <c r="S36" s="326">
        <f>+S34+S25+S11</f>
        <v>75351.149999999994</v>
      </c>
      <c r="T36" s="276"/>
      <c r="U36" s="326">
        <f>+U34+U25+U11</f>
        <v>317206.23000000004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5965968</v>
      </c>
      <c r="F38" s="305"/>
      <c r="G38" s="320">
        <v>6051213</v>
      </c>
      <c r="H38" s="288"/>
      <c r="I38" s="320">
        <v>5697341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17</v>
      </c>
      <c r="L50" s="328"/>
      <c r="M50" s="332"/>
      <c r="N50" s="328"/>
      <c r="O50" s="332">
        <f>+O10</f>
        <v>290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16680</v>
      </c>
      <c r="L53" s="335"/>
      <c r="M53" s="320"/>
      <c r="N53" s="335"/>
      <c r="O53" s="320">
        <f>+O29+O30</f>
        <v>87877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1069836</v>
      </c>
      <c r="N55" s="328"/>
      <c r="O55" s="332"/>
      <c r="P55" s="328"/>
      <c r="Q55" s="332">
        <f>+Q29+Q30</f>
        <v>1671424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-1122</v>
      </c>
      <c r="N56" s="328"/>
      <c r="O56" s="332"/>
      <c r="P56" s="328"/>
      <c r="Q56" s="332">
        <f>+Q32</f>
        <v>-22018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16697</v>
      </c>
      <c r="L58" s="328"/>
      <c r="M58" s="337">
        <f>SUM(M50:M57)</f>
        <v>1068714</v>
      </c>
      <c r="N58" s="328"/>
      <c r="O58" s="337">
        <f>SUM(O50:O57)</f>
        <v>88167</v>
      </c>
      <c r="P58" s="332"/>
      <c r="Q58" s="337">
        <f>SUM(Q50:Q57)</f>
        <v>1649406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64193</v>
      </c>
      <c r="L61" s="341"/>
      <c r="M61" s="341">
        <f>+M60-M58</f>
        <v>-861708</v>
      </c>
      <c r="N61" s="341"/>
      <c r="O61" s="340">
        <f>+O60-O58</f>
        <v>70898</v>
      </c>
      <c r="P61" s="341"/>
      <c r="Q61" s="341">
        <f>+Q60-Q58</f>
        <v>-1125195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tabColor rgb="FFFFFF00"/>
    <pageSetUpPr fitToPage="1"/>
  </sheetPr>
  <dimension ref="A1:AA75"/>
  <sheetViews>
    <sheetView showGridLines="0" topLeftCell="A7" zoomScaleNormal="100" workbookViewId="0">
      <selection activeCell="G38" sqref="G38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7" t="s">
        <v>0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271"/>
    </row>
    <row r="2" spans="1:22" ht="15.75" thickBot="1">
      <c r="B2" s="438" t="s">
        <v>536</v>
      </c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271"/>
    </row>
    <row r="3" spans="1:22">
      <c r="A3" s="260"/>
      <c r="B3" s="271"/>
      <c r="C3" s="271"/>
      <c r="D3" s="388"/>
      <c r="E3" s="274"/>
      <c r="F3" s="38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9" t="s">
        <v>522</v>
      </c>
      <c r="F4" s="439"/>
      <c r="G4" s="439"/>
      <c r="H4" s="439"/>
      <c r="I4" s="439"/>
      <c r="J4" s="275"/>
      <c r="K4" s="439" t="s">
        <v>80</v>
      </c>
      <c r="L4" s="439"/>
      <c r="M4" s="439"/>
      <c r="N4" s="439"/>
      <c r="O4" s="439"/>
      <c r="P4" s="439"/>
      <c r="Q4" s="439"/>
      <c r="R4" s="439"/>
      <c r="S4" s="439"/>
      <c r="T4" s="439"/>
      <c r="U4" s="439"/>
      <c r="V4" s="271"/>
    </row>
    <row r="5" spans="1:22" ht="15.75" thickBot="1">
      <c r="A5" s="260"/>
      <c r="B5" s="345">
        <v>42643</v>
      </c>
      <c r="C5" s="271"/>
      <c r="D5" s="271"/>
      <c r="E5" s="274"/>
      <c r="F5" s="274"/>
      <c r="G5" s="274"/>
      <c r="H5" s="276"/>
      <c r="I5" s="274"/>
      <c r="J5" s="276"/>
      <c r="K5" s="440" t="s">
        <v>81</v>
      </c>
      <c r="L5" s="440"/>
      <c r="M5" s="440"/>
      <c r="N5" s="277"/>
      <c r="O5" s="440" t="s">
        <v>82</v>
      </c>
      <c r="P5" s="440"/>
      <c r="Q5" s="440"/>
      <c r="R5" s="277"/>
      <c r="S5" s="440" t="s">
        <v>166</v>
      </c>
      <c r="T5" s="440"/>
      <c r="U5" s="440"/>
      <c r="V5" s="271"/>
    </row>
    <row r="6" spans="1:22" ht="30">
      <c r="A6" s="255" t="s">
        <v>83</v>
      </c>
      <c r="B6" s="271"/>
      <c r="C6" s="271" t="s">
        <v>5</v>
      </c>
      <c r="D6" s="388" t="s">
        <v>8</v>
      </c>
      <c r="E6" s="278" t="s">
        <v>543</v>
      </c>
      <c r="F6" s="279"/>
      <c r="G6" s="278" t="s">
        <v>544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7"/>
      <c r="O6" s="281" t="s">
        <v>12</v>
      </c>
      <c r="P6" s="387"/>
      <c r="Q6" s="283" t="s">
        <v>86</v>
      </c>
      <c r="R6" s="284"/>
      <c r="S6" s="281" t="s">
        <v>12</v>
      </c>
      <c r="T6" s="38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1334750</v>
      </c>
      <c r="F9" s="287"/>
      <c r="G9" s="293">
        <v>1438948</v>
      </c>
      <c r="H9" s="288"/>
      <c r="I9" s="293">
        <v>1013299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6.0559748247621104E-5</v>
      </c>
      <c r="E10" s="297">
        <v>1408170</v>
      </c>
      <c r="F10" s="287"/>
      <c r="G10" s="297">
        <v>408218</v>
      </c>
      <c r="H10" s="288"/>
      <c r="I10" s="297">
        <v>2405549</v>
      </c>
      <c r="J10" s="287"/>
      <c r="K10" s="297">
        <v>55</v>
      </c>
      <c r="L10" s="288"/>
      <c r="M10" s="297">
        <v>0</v>
      </c>
      <c r="N10" s="287"/>
      <c r="O10" s="297">
        <v>273</v>
      </c>
      <c r="P10" s="288"/>
      <c r="Q10" s="297">
        <v>0</v>
      </c>
      <c r="R10" s="287"/>
      <c r="S10" s="297">
        <v>1196.81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2742920</v>
      </c>
      <c r="F11" s="279"/>
      <c r="G11" s="301">
        <f>SUM(G8:G10)</f>
        <v>1847166</v>
      </c>
      <c r="H11" s="276"/>
      <c r="I11" s="301">
        <f>SUM(I9:I10)</f>
        <v>3418848</v>
      </c>
      <c r="J11" s="279"/>
      <c r="K11" s="301">
        <f>SUM(K9:K10)</f>
        <v>55</v>
      </c>
      <c r="L11" s="276"/>
      <c r="M11" s="301">
        <f>SUM(M9:M10)</f>
        <v>0</v>
      </c>
      <c r="N11" s="279"/>
      <c r="O11" s="301">
        <f>SUM(O9:O10)</f>
        <v>273</v>
      </c>
      <c r="P11" s="276"/>
      <c r="Q11" s="301">
        <f>SUM(Q9:Q10)</f>
        <v>0</v>
      </c>
      <c r="R11" s="279"/>
      <c r="S11" s="301">
        <f>SUM(S9:S10)</f>
        <v>1196.81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555947</v>
      </c>
      <c r="F14" s="309"/>
      <c r="G14" s="308">
        <v>548398</v>
      </c>
      <c r="H14" s="310"/>
      <c r="I14" s="308">
        <v>512241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3178148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10784950</v>
      </c>
      <c r="F25" s="317"/>
      <c r="G25" s="316">
        <f>SUM(G14:G24)</f>
        <v>10777401</v>
      </c>
      <c r="H25" s="318"/>
      <c r="I25" s="316">
        <f>SUM(I14:I24)</f>
        <v>9797884.6699999999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729</v>
      </c>
      <c r="L29" s="321"/>
      <c r="M29" s="320">
        <v>-8280</v>
      </c>
      <c r="N29" s="320"/>
      <c r="O29" s="320">
        <v>2773</v>
      </c>
      <c r="P29" s="321"/>
      <c r="Q29" s="320">
        <v>22418</v>
      </c>
      <c r="R29" s="320"/>
      <c r="S29" s="320">
        <v>3842.67</v>
      </c>
      <c r="T29" s="321"/>
      <c r="U29" s="320">
        <v>7375.58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313916</v>
      </c>
      <c r="F30" s="303"/>
      <c r="G30" s="303">
        <v>323273</v>
      </c>
      <c r="H30" s="304"/>
      <c r="I30" s="303">
        <v>57574</v>
      </c>
      <c r="J30" s="303"/>
      <c r="K30" s="303">
        <v>9357</v>
      </c>
      <c r="L30" s="304"/>
      <c r="M30" s="303">
        <v>-121244</v>
      </c>
      <c r="N30" s="303"/>
      <c r="O30" s="303">
        <v>68424</v>
      </c>
      <c r="P30" s="304"/>
      <c r="Q30" s="303">
        <v>579170</v>
      </c>
      <c r="R30" s="303"/>
      <c r="S30" s="303">
        <v>57573.63</v>
      </c>
      <c r="T30" s="304"/>
      <c r="U30" s="303">
        <v>130947.89000000001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2189682</v>
      </c>
      <c r="F31" s="303"/>
      <c r="G31" s="303">
        <v>2058895</v>
      </c>
      <c r="H31" s="304"/>
      <c r="I31" s="303">
        <v>1659415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-9543</v>
      </c>
      <c r="N32" s="303"/>
      <c r="O32" s="303">
        <v>0</v>
      </c>
      <c r="P32" s="304"/>
      <c r="Q32" s="303">
        <v>-20896</v>
      </c>
      <c r="R32" s="303">
        <v>0</v>
      </c>
      <c r="S32" s="303">
        <v>0</v>
      </c>
      <c r="T32" s="304"/>
      <c r="U32" s="303">
        <v>-20020.400000000001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704376</v>
      </c>
      <c r="F34" s="274"/>
      <c r="G34" s="316">
        <f>SUM(G29:G33)</f>
        <v>582946</v>
      </c>
      <c r="H34" s="325"/>
      <c r="I34" s="316">
        <f>SUM(I29:I33)</f>
        <v>861126</v>
      </c>
      <c r="J34" s="274"/>
      <c r="K34" s="316">
        <f>SUM(K29:K33)</f>
        <v>10086</v>
      </c>
      <c r="L34" s="325"/>
      <c r="M34" s="316">
        <f>SUM(M29:M33)</f>
        <v>-139067</v>
      </c>
      <c r="N34" s="274"/>
      <c r="O34" s="316">
        <f>SUM(O29:O33)</f>
        <v>71197</v>
      </c>
      <c r="P34" s="325"/>
      <c r="Q34" s="316">
        <f>SUM(Q29:Q33)</f>
        <v>580692</v>
      </c>
      <c r="R34" s="274"/>
      <c r="S34" s="316">
        <f>SUM(S29:S33)</f>
        <v>61416.299999999996</v>
      </c>
      <c r="T34" s="325"/>
      <c r="U34" s="316">
        <f>SUM(U29:U33)</f>
        <v>118303.07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14232246</v>
      </c>
      <c r="F36" s="274"/>
      <c r="G36" s="326">
        <f>+G34+G25+G11</f>
        <v>13207513</v>
      </c>
      <c r="H36" s="276"/>
      <c r="I36" s="326">
        <f>+I34+I25+I11</f>
        <v>14077858.67</v>
      </c>
      <c r="J36" s="274"/>
      <c r="K36" s="326">
        <f>+K34+K25+K11</f>
        <v>10141</v>
      </c>
      <c r="L36" s="276"/>
      <c r="M36" s="326">
        <f>+M34+M25+M11</f>
        <v>-139067</v>
      </c>
      <c r="N36" s="274"/>
      <c r="O36" s="326">
        <f>+O34+O25+O11</f>
        <v>71470</v>
      </c>
      <c r="P36" s="276"/>
      <c r="Q36" s="326">
        <f>+Q34+Q25+Q11</f>
        <v>580692</v>
      </c>
      <c r="R36" s="274"/>
      <c r="S36" s="326">
        <f>+S34+S25+S11</f>
        <v>62613.109999999993</v>
      </c>
      <c r="T36" s="276"/>
      <c r="U36" s="326">
        <f>+U34+U25+U11</f>
        <v>118303.07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6034357</v>
      </c>
      <c r="F38" s="305"/>
      <c r="G38" s="320">
        <v>5965968</v>
      </c>
      <c r="H38" s="288"/>
      <c r="I38" s="320">
        <v>5590854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55</v>
      </c>
      <c r="L50" s="328"/>
      <c r="M50" s="332"/>
      <c r="N50" s="328"/>
      <c r="O50" s="332">
        <f>+O10</f>
        <v>273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10086</v>
      </c>
      <c r="L53" s="335"/>
      <c r="M53" s="320"/>
      <c r="N53" s="335"/>
      <c r="O53" s="320">
        <f>+O29+O30</f>
        <v>71197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-129524</v>
      </c>
      <c r="N55" s="328"/>
      <c r="O55" s="332"/>
      <c r="P55" s="328"/>
      <c r="Q55" s="332">
        <f>+Q29+Q30</f>
        <v>601588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-9543</v>
      </c>
      <c r="N56" s="328"/>
      <c r="O56" s="332"/>
      <c r="P56" s="328"/>
      <c r="Q56" s="332">
        <f>+Q32</f>
        <v>-20896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10141</v>
      </c>
      <c r="L58" s="328"/>
      <c r="M58" s="337">
        <f>SUM(M50:M57)</f>
        <v>-139067</v>
      </c>
      <c r="N58" s="328"/>
      <c r="O58" s="337">
        <f>SUM(O50:O57)</f>
        <v>71470</v>
      </c>
      <c r="P58" s="332"/>
      <c r="Q58" s="337">
        <f>SUM(Q50:Q57)</f>
        <v>580692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70749</v>
      </c>
      <c r="L61" s="341"/>
      <c r="M61" s="341">
        <f>+M60-M58</f>
        <v>346073</v>
      </c>
      <c r="N61" s="341"/>
      <c r="O61" s="340">
        <f>+O60-O58</f>
        <v>87595</v>
      </c>
      <c r="P61" s="341"/>
      <c r="Q61" s="341">
        <f>+Q60-Q58</f>
        <v>-56481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A41" sqref="A4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37955</v>
      </c>
      <c r="I7" s="4"/>
      <c r="J7" s="18">
        <v>37927</v>
      </c>
      <c r="K7" s="4"/>
      <c r="L7" s="18">
        <v>37591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285</v>
      </c>
      <c r="O11" s="13"/>
      <c r="P11" s="12">
        <v>1840</v>
      </c>
      <c r="Q11" s="13"/>
      <c r="R11" s="12">
        <v>2182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130409</v>
      </c>
      <c r="I13" s="13"/>
      <c r="J13" s="12">
        <v>129909</v>
      </c>
      <c r="K13" s="13"/>
      <c r="L13" s="12">
        <v>123607</v>
      </c>
      <c r="M13" s="13"/>
      <c r="N13" s="12">
        <v>500</v>
      </c>
      <c r="O13" s="13"/>
      <c r="P13" s="12">
        <v>2644</v>
      </c>
      <c r="Q13" s="13"/>
      <c r="R13" s="12">
        <v>2484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4.53</v>
      </c>
      <c r="G14" s="11"/>
      <c r="H14" s="15">
        <v>75223</v>
      </c>
      <c r="I14" s="13"/>
      <c r="J14" s="15">
        <v>75023</v>
      </c>
      <c r="K14" s="13"/>
      <c r="L14" s="15">
        <v>71694</v>
      </c>
      <c r="M14" s="13"/>
      <c r="N14" s="15">
        <v>200</v>
      </c>
      <c r="O14" s="13"/>
      <c r="P14" s="15">
        <v>1302</v>
      </c>
      <c r="Q14" s="13"/>
      <c r="R14" s="15">
        <v>1241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768709</v>
      </c>
      <c r="I16" s="13"/>
      <c r="J16" s="16">
        <f>SUM(J11:J14)</f>
        <v>768009</v>
      </c>
      <c r="K16" s="13"/>
      <c r="L16" s="16">
        <f>SUM(L11:L14)</f>
        <v>758378</v>
      </c>
      <c r="M16" s="13"/>
      <c r="N16" s="16">
        <f>SUM(N11:N14)</f>
        <v>985</v>
      </c>
      <c r="O16" s="13"/>
      <c r="P16" s="16">
        <f>SUM(P11:P14)</f>
        <v>5786</v>
      </c>
      <c r="Q16" s="13"/>
      <c r="R16" s="16">
        <f>SUM(R11:R14)</f>
        <v>5907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2.5099999999999998</v>
      </c>
      <c r="G23" s="7"/>
      <c r="H23" s="15">
        <v>410715</v>
      </c>
      <c r="I23" s="13"/>
      <c r="J23" s="15">
        <v>427034</v>
      </c>
      <c r="K23" s="15">
        <v>425705</v>
      </c>
      <c r="L23" s="15">
        <v>412884</v>
      </c>
      <c r="M23" s="13"/>
      <c r="N23" s="15">
        <v>1884</v>
      </c>
      <c r="O23" s="13"/>
      <c r="P23" s="15">
        <v>9047</v>
      </c>
      <c r="Q23" s="13"/>
      <c r="R23" s="15">
        <v>10206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410715</v>
      </c>
      <c r="I25" s="13"/>
      <c r="J25" s="16">
        <f>SUM(J22:J23)</f>
        <v>427034</v>
      </c>
      <c r="K25" s="13"/>
      <c r="L25" s="16">
        <f>SUM(L22:L23)</f>
        <v>412884</v>
      </c>
      <c r="M25" s="13"/>
      <c r="N25" s="16">
        <f>SUM(N22:N23)</f>
        <v>1884</v>
      </c>
      <c r="O25" s="13"/>
      <c r="P25" s="16">
        <f>SUM(P22:P23)</f>
        <v>9047</v>
      </c>
      <c r="Q25" s="13"/>
      <c r="R25" s="16">
        <f>SUM(R22:R23)</f>
        <v>10206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1355521</v>
      </c>
      <c r="I31" s="13"/>
      <c r="J31" s="12">
        <v>1349821</v>
      </c>
      <c r="K31" s="13"/>
      <c r="L31" s="12">
        <v>1284532</v>
      </c>
      <c r="M31" s="13"/>
      <c r="N31" s="12">
        <v>5700</v>
      </c>
      <c r="O31" s="13" t="s">
        <v>31</v>
      </c>
      <c r="P31" s="12">
        <v>28424</v>
      </c>
      <c r="Q31" s="13"/>
      <c r="R31" s="12">
        <v>27096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5173</v>
      </c>
      <c r="I33" s="13"/>
      <c r="J33" s="12">
        <v>5153</v>
      </c>
      <c r="K33" s="13"/>
      <c r="L33" s="12">
        <v>4937</v>
      </c>
      <c r="M33" s="13"/>
      <c r="N33" s="12">
        <v>20</v>
      </c>
      <c r="O33" s="13"/>
      <c r="P33" s="12">
        <v>101</v>
      </c>
      <c r="Q33" s="13"/>
      <c r="R33" s="12">
        <v>96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3.47</v>
      </c>
      <c r="G34" s="7"/>
      <c r="H34" s="15">
        <v>7189814</v>
      </c>
      <c r="I34" s="13"/>
      <c r="J34" s="15">
        <v>9189814</v>
      </c>
      <c r="K34" s="13"/>
      <c r="L34" s="15">
        <v>7309616</v>
      </c>
      <c r="M34" s="13"/>
      <c r="N34" s="15">
        <v>22695</v>
      </c>
      <c r="O34" s="13"/>
      <c r="P34" s="15">
        <v>157186</v>
      </c>
      <c r="Q34" s="13"/>
      <c r="R34" s="15">
        <v>171038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8559067</v>
      </c>
      <c r="I36" s="13"/>
      <c r="J36" s="16">
        <f>SUM(J31:J34)</f>
        <v>10553347</v>
      </c>
      <c r="K36" s="13"/>
      <c r="L36" s="16">
        <f>SUM(L31:L34)</f>
        <v>8607709</v>
      </c>
      <c r="M36" s="13"/>
      <c r="N36" s="16">
        <f>SUM(N31:N34)</f>
        <v>28415</v>
      </c>
      <c r="O36" s="13"/>
      <c r="P36" s="16">
        <f>SUM(P31:P34)</f>
        <v>185711</v>
      </c>
      <c r="Q36" s="13"/>
      <c r="R36" s="16">
        <f>SUM(R31:R34)</f>
        <v>198230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tabColor rgb="FFFFFF00"/>
    <pageSetUpPr fitToPage="1"/>
  </sheetPr>
  <dimension ref="A1:AA75"/>
  <sheetViews>
    <sheetView showGridLines="0" zoomScaleNormal="100" workbookViewId="0">
      <selection activeCell="K10" sqref="K1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7" t="s">
        <v>0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271"/>
    </row>
    <row r="2" spans="1:22" ht="15.75" thickBot="1">
      <c r="B2" s="438" t="s">
        <v>536</v>
      </c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271"/>
    </row>
    <row r="3" spans="1:22">
      <c r="A3" s="260"/>
      <c r="B3" s="271"/>
      <c r="C3" s="271"/>
      <c r="D3" s="386"/>
      <c r="E3" s="274"/>
      <c r="F3" s="38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9" t="s">
        <v>522</v>
      </c>
      <c r="F4" s="439"/>
      <c r="G4" s="439"/>
      <c r="H4" s="439"/>
      <c r="I4" s="439"/>
      <c r="J4" s="275"/>
      <c r="K4" s="439" t="s">
        <v>80</v>
      </c>
      <c r="L4" s="439"/>
      <c r="M4" s="439"/>
      <c r="N4" s="439"/>
      <c r="O4" s="439"/>
      <c r="P4" s="439"/>
      <c r="Q4" s="439"/>
      <c r="R4" s="439"/>
      <c r="S4" s="439"/>
      <c r="T4" s="439"/>
      <c r="U4" s="439"/>
      <c r="V4" s="271"/>
    </row>
    <row r="5" spans="1:22" ht="15.75" thickBot="1">
      <c r="A5" s="260"/>
      <c r="B5" s="345">
        <v>42613</v>
      </c>
      <c r="C5" s="271"/>
      <c r="D5" s="271"/>
      <c r="E5" s="274"/>
      <c r="F5" s="274"/>
      <c r="G5" s="274"/>
      <c r="H5" s="276"/>
      <c r="I5" s="274"/>
      <c r="J5" s="276"/>
      <c r="K5" s="440" t="s">
        <v>81</v>
      </c>
      <c r="L5" s="440"/>
      <c r="M5" s="440"/>
      <c r="N5" s="277"/>
      <c r="O5" s="440" t="s">
        <v>82</v>
      </c>
      <c r="P5" s="440"/>
      <c r="Q5" s="440"/>
      <c r="R5" s="277"/>
      <c r="S5" s="440" t="s">
        <v>166</v>
      </c>
      <c r="T5" s="440"/>
      <c r="U5" s="440"/>
      <c r="V5" s="271"/>
    </row>
    <row r="6" spans="1:22" ht="30">
      <c r="A6" s="255" t="s">
        <v>83</v>
      </c>
      <c r="B6" s="271"/>
      <c r="C6" s="271" t="s">
        <v>5</v>
      </c>
      <c r="D6" s="386" t="s">
        <v>8</v>
      </c>
      <c r="E6" s="278" t="s">
        <v>541</v>
      </c>
      <c r="F6" s="279"/>
      <c r="G6" s="278" t="s">
        <v>542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5"/>
      <c r="O6" s="281" t="s">
        <v>12</v>
      </c>
      <c r="P6" s="385"/>
      <c r="Q6" s="283" t="s">
        <v>86</v>
      </c>
      <c r="R6" s="284"/>
      <c r="S6" s="281" t="s">
        <v>12</v>
      </c>
      <c r="T6" s="38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2499068</v>
      </c>
      <c r="F9" s="287"/>
      <c r="G9" s="293">
        <v>1334750</v>
      </c>
      <c r="H9" s="288"/>
      <c r="I9" s="293">
        <v>3955860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4.9000844376869042E-5</v>
      </c>
      <c r="E10" s="297">
        <v>1408108</v>
      </c>
      <c r="F10" s="287"/>
      <c r="G10" s="297">
        <v>1408170</v>
      </c>
      <c r="H10" s="288"/>
      <c r="I10" s="297">
        <v>405207</v>
      </c>
      <c r="J10" s="287"/>
      <c r="K10" s="297">
        <v>69</v>
      </c>
      <c r="L10" s="288"/>
      <c r="M10" s="297">
        <v>0</v>
      </c>
      <c r="N10" s="287"/>
      <c r="O10" s="297">
        <v>218</v>
      </c>
      <c r="P10" s="288"/>
      <c r="Q10" s="297">
        <v>0</v>
      </c>
      <c r="R10" s="287"/>
      <c r="S10" s="297">
        <v>846.99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3907176</v>
      </c>
      <c r="F11" s="279"/>
      <c r="G11" s="301">
        <f>SUM(G8:G10)</f>
        <v>2742920</v>
      </c>
      <c r="H11" s="276"/>
      <c r="I11" s="301">
        <f>SUM(I9:I10)</f>
        <v>4361067</v>
      </c>
      <c r="J11" s="279"/>
      <c r="K11" s="301">
        <f>SUM(K9:K10)</f>
        <v>69</v>
      </c>
      <c r="L11" s="276"/>
      <c r="M11" s="301">
        <f>SUM(M9:M10)</f>
        <v>0</v>
      </c>
      <c r="N11" s="279"/>
      <c r="O11" s="301">
        <f>SUM(O9:O10)</f>
        <v>218</v>
      </c>
      <c r="P11" s="276"/>
      <c r="Q11" s="301">
        <f>SUM(Q9:Q10)</f>
        <v>0</v>
      </c>
      <c r="R11" s="279"/>
      <c r="S11" s="301">
        <f>SUM(S9:S10)</f>
        <v>846.99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571059</v>
      </c>
      <c r="F14" s="309"/>
      <c r="G14" s="308">
        <v>555947</v>
      </c>
      <c r="H14" s="310"/>
      <c r="I14" s="308">
        <v>505010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10800062</v>
      </c>
      <c r="F25" s="317"/>
      <c r="G25" s="316">
        <f>SUM(G14:G24)</f>
        <v>10784950</v>
      </c>
      <c r="H25" s="318"/>
      <c r="I25" s="316">
        <f>SUM(I14:I24)</f>
        <v>9893462.6699999999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1489</v>
      </c>
      <c r="L29" s="321"/>
      <c r="M29" s="320">
        <v>-16601</v>
      </c>
      <c r="N29" s="320"/>
      <c r="O29" s="320">
        <v>2044</v>
      </c>
      <c r="P29" s="321"/>
      <c r="Q29" s="320">
        <v>30698</v>
      </c>
      <c r="R29" s="320"/>
      <c r="S29" s="320">
        <v>3061.9700000000003</v>
      </c>
      <c r="T29" s="321"/>
      <c r="U29" s="320">
        <v>925.94999999999982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292172</v>
      </c>
      <c r="F30" s="303"/>
      <c r="G30" s="303">
        <v>313916</v>
      </c>
      <c r="H30" s="304"/>
      <c r="I30" s="303">
        <v>45036</v>
      </c>
      <c r="J30" s="303"/>
      <c r="K30" s="303">
        <v>21744</v>
      </c>
      <c r="L30" s="304"/>
      <c r="M30" s="303">
        <v>-213739</v>
      </c>
      <c r="N30" s="303"/>
      <c r="O30" s="303">
        <v>59066</v>
      </c>
      <c r="P30" s="304"/>
      <c r="Q30" s="303">
        <v>700414</v>
      </c>
      <c r="R30" s="303"/>
      <c r="S30" s="303">
        <v>45035.799999999996</v>
      </c>
      <c r="T30" s="304"/>
      <c r="U30" s="303">
        <v>-88712.65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2404664</v>
      </c>
      <c r="F31" s="303"/>
      <c r="G31" s="303">
        <v>2189682</v>
      </c>
      <c r="H31" s="304"/>
      <c r="I31" s="303">
        <v>1450031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-1243</v>
      </c>
      <c r="N32" s="303"/>
      <c r="O32" s="303">
        <v>0</v>
      </c>
      <c r="P32" s="304"/>
      <c r="Q32" s="303">
        <v>-11353</v>
      </c>
      <c r="R32" s="303">
        <v>0</v>
      </c>
      <c r="S32" s="303">
        <v>0</v>
      </c>
      <c r="T32" s="304"/>
      <c r="U32" s="303">
        <v>-9743.0399999999991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897614</v>
      </c>
      <c r="F34" s="274"/>
      <c r="G34" s="316">
        <f>SUM(G29:G33)</f>
        <v>704376</v>
      </c>
      <c r="H34" s="325"/>
      <c r="I34" s="316">
        <f>SUM(I29:I33)</f>
        <v>536395</v>
      </c>
      <c r="J34" s="274"/>
      <c r="K34" s="316">
        <f>SUM(K29:K33)</f>
        <v>23233</v>
      </c>
      <c r="L34" s="325"/>
      <c r="M34" s="316">
        <f>SUM(M29:M33)</f>
        <v>-231583</v>
      </c>
      <c r="N34" s="274"/>
      <c r="O34" s="316">
        <f>SUM(O29:O33)</f>
        <v>61110</v>
      </c>
      <c r="P34" s="325"/>
      <c r="Q34" s="316">
        <f>SUM(Q29:Q33)</f>
        <v>719759</v>
      </c>
      <c r="R34" s="274"/>
      <c r="S34" s="316">
        <f>SUM(S29:S33)</f>
        <v>48097.77</v>
      </c>
      <c r="T34" s="325"/>
      <c r="U34" s="316">
        <f>SUM(U29:U33)</f>
        <v>-97529.739999999991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15604852</v>
      </c>
      <c r="F36" s="274"/>
      <c r="G36" s="326">
        <f>+G34+G25+G11</f>
        <v>14232246</v>
      </c>
      <c r="H36" s="276"/>
      <c r="I36" s="326">
        <f>+I34+I25+I11</f>
        <v>14790924.67</v>
      </c>
      <c r="J36" s="274"/>
      <c r="K36" s="326">
        <f>+K34+K25+K11</f>
        <v>23302</v>
      </c>
      <c r="L36" s="276"/>
      <c r="M36" s="326">
        <f>+M34+M25+M11</f>
        <v>-231583</v>
      </c>
      <c r="N36" s="274"/>
      <c r="O36" s="326">
        <f>+O34+O25+O11</f>
        <v>61328</v>
      </c>
      <c r="P36" s="276"/>
      <c r="Q36" s="326">
        <f>+Q34+Q25+Q11</f>
        <v>719759</v>
      </c>
      <c r="R36" s="274"/>
      <c r="S36" s="326">
        <f>+S34+S25+S11</f>
        <v>48944.759999999995</v>
      </c>
      <c r="T36" s="276"/>
      <c r="U36" s="326">
        <f>+U34+U25+U11</f>
        <v>-97529.739999999991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6126083</v>
      </c>
      <c r="F38" s="305"/>
      <c r="G38" s="320">
        <v>6034357</v>
      </c>
      <c r="H38" s="288"/>
      <c r="I38" s="320">
        <v>5509053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69</v>
      </c>
      <c r="L50" s="328"/>
      <c r="M50" s="332"/>
      <c r="N50" s="328"/>
      <c r="O50" s="332">
        <f>+O10</f>
        <v>218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23233</v>
      </c>
      <c r="L53" s="335"/>
      <c r="M53" s="320"/>
      <c r="N53" s="335"/>
      <c r="O53" s="320">
        <f>+O29+O30</f>
        <v>61110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-230340</v>
      </c>
      <c r="N55" s="328"/>
      <c r="O55" s="332"/>
      <c r="P55" s="328"/>
      <c r="Q55" s="332">
        <f>+Q29+Q30</f>
        <v>731112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-1243</v>
      </c>
      <c r="N56" s="328"/>
      <c r="O56" s="332"/>
      <c r="P56" s="328"/>
      <c r="Q56" s="332">
        <f>+Q32</f>
        <v>-11353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23302</v>
      </c>
      <c r="L58" s="328"/>
      <c r="M58" s="337">
        <f>SUM(M50:M57)</f>
        <v>-231583</v>
      </c>
      <c r="N58" s="328"/>
      <c r="O58" s="337">
        <f>SUM(O50:O57)</f>
        <v>61328</v>
      </c>
      <c r="P58" s="332"/>
      <c r="Q58" s="337">
        <f>SUM(Q50:Q57)</f>
        <v>719759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57588</v>
      </c>
      <c r="L61" s="341"/>
      <c r="M61" s="341">
        <f>+M60-M58</f>
        <v>438589</v>
      </c>
      <c r="N61" s="341"/>
      <c r="O61" s="340">
        <f>+O60-O58</f>
        <v>97737</v>
      </c>
      <c r="P61" s="341"/>
      <c r="Q61" s="341">
        <f>+Q60-Q58</f>
        <v>-195548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tabColor rgb="FFFFFF00"/>
    <pageSetUpPr fitToPage="1"/>
  </sheetPr>
  <dimension ref="A1:AA75"/>
  <sheetViews>
    <sheetView showGridLines="0" zoomScaleNormal="100" workbookViewId="0">
      <selection activeCell="G38" sqref="G38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7" t="s">
        <v>0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271"/>
    </row>
    <row r="2" spans="1:22" ht="15.75" thickBot="1">
      <c r="B2" s="438" t="s">
        <v>536</v>
      </c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271"/>
    </row>
    <row r="3" spans="1:22">
      <c r="A3" s="260"/>
      <c r="B3" s="271"/>
      <c r="C3" s="271"/>
      <c r="D3" s="384"/>
      <c r="E3" s="274"/>
      <c r="F3" s="38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9" t="s">
        <v>522</v>
      </c>
      <c r="F4" s="439"/>
      <c r="G4" s="439"/>
      <c r="H4" s="439"/>
      <c r="I4" s="439"/>
      <c r="J4" s="275"/>
      <c r="K4" s="439" t="s">
        <v>80</v>
      </c>
      <c r="L4" s="439"/>
      <c r="M4" s="439"/>
      <c r="N4" s="439"/>
      <c r="O4" s="439"/>
      <c r="P4" s="439"/>
      <c r="Q4" s="439"/>
      <c r="R4" s="439"/>
      <c r="S4" s="439"/>
      <c r="T4" s="439"/>
      <c r="U4" s="439"/>
      <c r="V4" s="271"/>
    </row>
    <row r="5" spans="1:22" ht="15.75" thickBot="1">
      <c r="A5" s="260"/>
      <c r="B5" s="345">
        <v>42582</v>
      </c>
      <c r="C5" s="271"/>
      <c r="D5" s="271"/>
      <c r="E5" s="274"/>
      <c r="F5" s="274"/>
      <c r="G5" s="274"/>
      <c r="H5" s="276"/>
      <c r="I5" s="274"/>
      <c r="J5" s="276"/>
      <c r="K5" s="440" t="s">
        <v>81</v>
      </c>
      <c r="L5" s="440"/>
      <c r="M5" s="440"/>
      <c r="N5" s="277"/>
      <c r="O5" s="440" t="s">
        <v>82</v>
      </c>
      <c r="P5" s="440"/>
      <c r="Q5" s="440"/>
      <c r="R5" s="277"/>
      <c r="S5" s="440" t="s">
        <v>166</v>
      </c>
      <c r="T5" s="440"/>
      <c r="U5" s="440"/>
      <c r="V5" s="271"/>
    </row>
    <row r="6" spans="1:22" ht="30">
      <c r="A6" s="255" t="s">
        <v>83</v>
      </c>
      <c r="B6" s="271"/>
      <c r="C6" s="271" t="s">
        <v>5</v>
      </c>
      <c r="D6" s="384" t="s">
        <v>8</v>
      </c>
      <c r="E6" s="278" t="s">
        <v>540</v>
      </c>
      <c r="F6" s="279"/>
      <c r="G6" s="278" t="s">
        <v>539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3"/>
      <c r="O6" s="281" t="s">
        <v>12</v>
      </c>
      <c r="P6" s="383"/>
      <c r="Q6" s="283" t="s">
        <v>86</v>
      </c>
      <c r="R6" s="284"/>
      <c r="S6" s="281" t="s">
        <v>12</v>
      </c>
      <c r="T6" s="38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2306105</v>
      </c>
      <c r="F9" s="287"/>
      <c r="G9" s="293">
        <v>2499068</v>
      </c>
      <c r="H9" s="288"/>
      <c r="I9" s="293">
        <v>1643004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5.1133621741163734E-5</v>
      </c>
      <c r="E10" s="297">
        <v>1408043</v>
      </c>
      <c r="F10" s="287"/>
      <c r="G10" s="297">
        <v>1408108</v>
      </c>
      <c r="H10" s="288"/>
      <c r="I10" s="297">
        <v>405110</v>
      </c>
      <c r="J10" s="287"/>
      <c r="K10" s="297">
        <v>72</v>
      </c>
      <c r="L10" s="288"/>
      <c r="M10" s="297">
        <v>0</v>
      </c>
      <c r="N10" s="287"/>
      <c r="O10" s="297">
        <v>149</v>
      </c>
      <c r="P10" s="288"/>
      <c r="Q10" s="297">
        <v>0</v>
      </c>
      <c r="R10" s="287"/>
      <c r="S10" s="297">
        <v>744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3714148</v>
      </c>
      <c r="F11" s="279"/>
      <c r="G11" s="301">
        <f>SUM(G8:G10)</f>
        <v>3907176</v>
      </c>
      <c r="H11" s="276"/>
      <c r="I11" s="301">
        <f>SUM(I9:I10)</f>
        <v>2048114</v>
      </c>
      <c r="J11" s="279"/>
      <c r="K11" s="301">
        <f>SUM(K9:K10)</f>
        <v>72</v>
      </c>
      <c r="L11" s="276"/>
      <c r="M11" s="301">
        <f>SUM(M9:M10)</f>
        <v>0</v>
      </c>
      <c r="N11" s="279"/>
      <c r="O11" s="301">
        <f>SUM(O9:O10)</f>
        <v>149</v>
      </c>
      <c r="P11" s="276"/>
      <c r="Q11" s="301">
        <f>SUM(Q9:Q10)</f>
        <v>0</v>
      </c>
      <c r="R11" s="279"/>
      <c r="S11" s="301">
        <f>SUM(S9:S10)</f>
        <v>744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544137</v>
      </c>
      <c r="F14" s="309"/>
      <c r="G14" s="308">
        <v>571059</v>
      </c>
      <c r="H14" s="310"/>
      <c r="I14" s="308">
        <v>499618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10773140</v>
      </c>
      <c r="F25" s="317"/>
      <c r="G25" s="316">
        <f>SUM(G14:G24)</f>
        <v>10800062</v>
      </c>
      <c r="H25" s="318"/>
      <c r="I25" s="316">
        <f>SUM(I14:I24)</f>
        <v>9888070.6699999999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261</v>
      </c>
      <c r="L29" s="321"/>
      <c r="M29" s="320">
        <v>26662</v>
      </c>
      <c r="N29" s="320"/>
      <c r="O29" s="320">
        <v>555</v>
      </c>
      <c r="P29" s="321"/>
      <c r="Q29" s="320">
        <v>47299</v>
      </c>
      <c r="R29" s="320"/>
      <c r="S29" s="320">
        <v>1666.52</v>
      </c>
      <c r="T29" s="321"/>
      <c r="U29" s="320">
        <v>-3071.3100000000004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274017</v>
      </c>
      <c r="F30" s="303"/>
      <c r="G30" s="303">
        <v>292172</v>
      </c>
      <c r="H30" s="304"/>
      <c r="I30" s="303">
        <v>26993</v>
      </c>
      <c r="J30" s="303"/>
      <c r="K30" s="303">
        <v>18155</v>
      </c>
      <c r="L30" s="304"/>
      <c r="M30" s="303">
        <v>462048</v>
      </c>
      <c r="N30" s="303"/>
      <c r="O30" s="303">
        <v>37323</v>
      </c>
      <c r="P30" s="304"/>
      <c r="Q30" s="303">
        <v>914153</v>
      </c>
      <c r="R30" s="303"/>
      <c r="S30" s="303">
        <v>26992.66</v>
      </c>
      <c r="T30" s="304"/>
      <c r="U30" s="303">
        <v>-167495.13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1943867</v>
      </c>
      <c r="F31" s="303"/>
      <c r="G31" s="303">
        <v>2404664</v>
      </c>
      <c r="H31" s="304"/>
      <c r="I31" s="303">
        <v>1370952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-1251</v>
      </c>
      <c r="N32" s="303"/>
      <c r="O32" s="303">
        <v>0</v>
      </c>
      <c r="P32" s="304"/>
      <c r="Q32" s="303">
        <v>-10110</v>
      </c>
      <c r="R32" s="303">
        <v>0</v>
      </c>
      <c r="S32" s="303">
        <v>0</v>
      </c>
      <c r="T32" s="304"/>
      <c r="U32" s="303">
        <v>-10039.369999999999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418662</v>
      </c>
      <c r="F34" s="274"/>
      <c r="G34" s="316">
        <f>SUM(G29:G33)</f>
        <v>897614</v>
      </c>
      <c r="H34" s="325"/>
      <c r="I34" s="316">
        <f>SUM(I29:I33)</f>
        <v>439273</v>
      </c>
      <c r="J34" s="274"/>
      <c r="K34" s="316">
        <f>SUM(K29:K33)</f>
        <v>18416</v>
      </c>
      <c r="L34" s="325"/>
      <c r="M34" s="316">
        <f>SUM(M29:M33)</f>
        <v>487459</v>
      </c>
      <c r="N34" s="274"/>
      <c r="O34" s="316">
        <f>SUM(O29:O33)</f>
        <v>37878</v>
      </c>
      <c r="P34" s="325"/>
      <c r="Q34" s="316">
        <f>SUM(Q29:Q33)</f>
        <v>951342</v>
      </c>
      <c r="R34" s="274"/>
      <c r="S34" s="316">
        <f>SUM(S29:S33)</f>
        <v>28659.18</v>
      </c>
      <c r="T34" s="325"/>
      <c r="U34" s="316">
        <f>SUM(U29:U33)</f>
        <v>-180605.81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14905950</v>
      </c>
      <c r="F36" s="274"/>
      <c r="G36" s="326">
        <f>+G34+G25+G11</f>
        <v>15604852</v>
      </c>
      <c r="H36" s="276"/>
      <c r="I36" s="326">
        <f>+I34+I25+I11</f>
        <v>12375457.67</v>
      </c>
      <c r="J36" s="274"/>
      <c r="K36" s="326">
        <f>+K34+K25+K11</f>
        <v>18488</v>
      </c>
      <c r="L36" s="276"/>
      <c r="M36" s="326">
        <f>+M34+M25+M11</f>
        <v>487459</v>
      </c>
      <c r="N36" s="274"/>
      <c r="O36" s="326">
        <f>+O34+O25+O11</f>
        <v>38027</v>
      </c>
      <c r="P36" s="276"/>
      <c r="Q36" s="326">
        <f>+Q34+Q25+Q11</f>
        <v>951342</v>
      </c>
      <c r="R36" s="274"/>
      <c r="S36" s="326">
        <f>+S34+S25+S11</f>
        <v>29403.18</v>
      </c>
      <c r="T36" s="276"/>
      <c r="U36" s="326">
        <f>+U34+U25+U11</f>
        <v>-180605.81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5950704</v>
      </c>
      <c r="F38" s="305"/>
      <c r="G38" s="320">
        <v>6126083</v>
      </c>
      <c r="H38" s="288"/>
      <c r="I38" s="320">
        <v>5488052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72</v>
      </c>
      <c r="L50" s="328"/>
      <c r="M50" s="332"/>
      <c r="N50" s="328"/>
      <c r="O50" s="332">
        <f>+O10</f>
        <v>149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18416</v>
      </c>
      <c r="L53" s="335"/>
      <c r="M53" s="320"/>
      <c r="N53" s="335"/>
      <c r="O53" s="320">
        <f>+O29+O30</f>
        <v>37878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488710</v>
      </c>
      <c r="N55" s="328"/>
      <c r="O55" s="332"/>
      <c r="P55" s="328"/>
      <c r="Q55" s="332">
        <f>+Q29+Q30</f>
        <v>961452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-1251</v>
      </c>
      <c r="N56" s="328"/>
      <c r="O56" s="332"/>
      <c r="P56" s="328"/>
      <c r="Q56" s="332">
        <f>+Q32</f>
        <v>-10110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18488</v>
      </c>
      <c r="L58" s="328"/>
      <c r="M58" s="337">
        <f>SUM(M50:M57)</f>
        <v>487459</v>
      </c>
      <c r="N58" s="328"/>
      <c r="O58" s="337">
        <f>SUM(O50:O57)</f>
        <v>38027</v>
      </c>
      <c r="P58" s="332"/>
      <c r="Q58" s="337">
        <f>SUM(Q50:Q57)</f>
        <v>951342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62402</v>
      </c>
      <c r="L61" s="341"/>
      <c r="M61" s="341">
        <f>+M60-M58</f>
        <v>-280453</v>
      </c>
      <c r="N61" s="341"/>
      <c r="O61" s="340">
        <f>+O60-O58</f>
        <v>121038</v>
      </c>
      <c r="P61" s="341"/>
      <c r="Q61" s="341">
        <f>+Q60-Q58</f>
        <v>-427131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tabColor rgb="FFFFFF00"/>
    <pageSetUpPr fitToPage="1"/>
  </sheetPr>
  <dimension ref="A1:AA75"/>
  <sheetViews>
    <sheetView showGridLines="0" zoomScaleNormal="100" workbookViewId="0">
      <selection activeCell="O10" sqref="O1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7" t="s">
        <v>0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271"/>
    </row>
    <row r="2" spans="1:22" ht="15.75" thickBot="1">
      <c r="B2" s="438" t="s">
        <v>536</v>
      </c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271"/>
    </row>
    <row r="3" spans="1:22">
      <c r="A3" s="260"/>
      <c r="B3" s="271"/>
      <c r="C3" s="271"/>
      <c r="D3" s="382"/>
      <c r="E3" s="274"/>
      <c r="F3" s="38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9" t="s">
        <v>522</v>
      </c>
      <c r="F4" s="439"/>
      <c r="G4" s="439"/>
      <c r="H4" s="439"/>
      <c r="I4" s="439"/>
      <c r="J4" s="275"/>
      <c r="K4" s="439" t="s">
        <v>80</v>
      </c>
      <c r="L4" s="439"/>
      <c r="M4" s="439"/>
      <c r="N4" s="439"/>
      <c r="O4" s="439"/>
      <c r="P4" s="439"/>
      <c r="Q4" s="439"/>
      <c r="R4" s="439"/>
      <c r="S4" s="439"/>
      <c r="T4" s="439"/>
      <c r="U4" s="439"/>
      <c r="V4" s="271"/>
    </row>
    <row r="5" spans="1:22" ht="15.75" thickBot="1">
      <c r="A5" s="260"/>
      <c r="B5" s="345">
        <v>42551</v>
      </c>
      <c r="C5" s="271"/>
      <c r="D5" s="271"/>
      <c r="E5" s="274"/>
      <c r="F5" s="274"/>
      <c r="G5" s="274"/>
      <c r="H5" s="276"/>
      <c r="I5" s="274"/>
      <c r="J5" s="276"/>
      <c r="K5" s="440" t="s">
        <v>81</v>
      </c>
      <c r="L5" s="440"/>
      <c r="M5" s="440"/>
      <c r="N5" s="277"/>
      <c r="O5" s="440" t="s">
        <v>82</v>
      </c>
      <c r="P5" s="440"/>
      <c r="Q5" s="440"/>
      <c r="R5" s="277"/>
      <c r="S5" s="440" t="s">
        <v>166</v>
      </c>
      <c r="T5" s="440"/>
      <c r="U5" s="440"/>
      <c r="V5" s="271"/>
    </row>
    <row r="6" spans="1:22" ht="30">
      <c r="A6" s="255" t="s">
        <v>83</v>
      </c>
      <c r="B6" s="271"/>
      <c r="C6" s="271" t="s">
        <v>5</v>
      </c>
      <c r="D6" s="382" t="s">
        <v>8</v>
      </c>
      <c r="E6" s="278" t="s">
        <v>537</v>
      </c>
      <c r="F6" s="279"/>
      <c r="G6" s="278" t="s">
        <v>538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1"/>
      <c r="O6" s="281" t="s">
        <v>12</v>
      </c>
      <c r="P6" s="381"/>
      <c r="Q6" s="283" t="s">
        <v>86</v>
      </c>
      <c r="R6" s="284"/>
      <c r="S6" s="281" t="s">
        <v>12</v>
      </c>
      <c r="T6" s="38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3093862</v>
      </c>
      <c r="F9" s="287"/>
      <c r="G9" s="293">
        <v>2306105</v>
      </c>
      <c r="H9" s="288"/>
      <c r="I9" s="293">
        <v>264581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5.4687189277333654E-5</v>
      </c>
      <c r="E10" s="297">
        <v>1407973</v>
      </c>
      <c r="F10" s="287"/>
      <c r="G10" s="297">
        <v>1408043</v>
      </c>
      <c r="H10" s="288"/>
      <c r="I10" s="297">
        <v>1404911</v>
      </c>
      <c r="J10" s="287"/>
      <c r="K10" s="297">
        <v>77</v>
      </c>
      <c r="L10" s="288"/>
      <c r="M10" s="297">
        <v>0</v>
      </c>
      <c r="N10" s="287"/>
      <c r="O10" s="297">
        <v>77</v>
      </c>
      <c r="P10" s="288"/>
      <c r="Q10" s="297">
        <v>0</v>
      </c>
      <c r="R10" s="287"/>
      <c r="S10" s="297">
        <v>537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4501835</v>
      </c>
      <c r="F11" s="279"/>
      <c r="G11" s="301">
        <f>SUM(G8:G10)</f>
        <v>3714148</v>
      </c>
      <c r="H11" s="276"/>
      <c r="I11" s="301">
        <f>SUM(I9:I10)</f>
        <v>1669492</v>
      </c>
      <c r="J11" s="279"/>
      <c r="K11" s="301">
        <f>SUM(K9:K10)</f>
        <v>77</v>
      </c>
      <c r="L11" s="276"/>
      <c r="M11" s="301">
        <f>SUM(M9:M10)</f>
        <v>0</v>
      </c>
      <c r="N11" s="279"/>
      <c r="O11" s="301">
        <f>SUM(O9:O10)</f>
        <v>77</v>
      </c>
      <c r="P11" s="276"/>
      <c r="Q11" s="301">
        <f>SUM(Q9:Q10)</f>
        <v>0</v>
      </c>
      <c r="R11" s="279"/>
      <c r="S11" s="301">
        <f>SUM(S9:S10)</f>
        <v>537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523206</v>
      </c>
      <c r="F14" s="309"/>
      <c r="G14" s="308">
        <v>544137</v>
      </c>
      <c r="H14" s="310"/>
      <c r="I14" s="308">
        <v>506574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3862825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11132611</v>
      </c>
      <c r="F25" s="317"/>
      <c r="G25" s="316">
        <f>SUM(G14:G24)</f>
        <v>10773140</v>
      </c>
      <c r="H25" s="318"/>
      <c r="I25" s="316">
        <f>SUM(I14:I24)</f>
        <v>9895026.6699999999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294</v>
      </c>
      <c r="L29" s="321"/>
      <c r="M29" s="320">
        <v>20637</v>
      </c>
      <c r="N29" s="320"/>
      <c r="O29" s="320">
        <v>294</v>
      </c>
      <c r="P29" s="321"/>
      <c r="Q29" s="320">
        <v>20637</v>
      </c>
      <c r="R29" s="320"/>
      <c r="S29" s="320">
        <v>755.33</v>
      </c>
      <c r="T29" s="321"/>
      <c r="U29" s="320">
        <v>4795.9799999999996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254849</v>
      </c>
      <c r="F30" s="303"/>
      <c r="G30" s="303">
        <v>274017</v>
      </c>
      <c r="H30" s="304"/>
      <c r="I30" s="303">
        <v>13054</v>
      </c>
      <c r="J30" s="303"/>
      <c r="K30" s="303">
        <v>19168</v>
      </c>
      <c r="L30" s="304"/>
      <c r="M30" s="303">
        <v>452105</v>
      </c>
      <c r="N30" s="303"/>
      <c r="O30" s="303">
        <v>19168</v>
      </c>
      <c r="P30" s="304"/>
      <c r="Q30" s="303">
        <v>452105</v>
      </c>
      <c r="R30" s="303"/>
      <c r="S30" s="303">
        <v>13053.88</v>
      </c>
      <c r="T30" s="304"/>
      <c r="U30" s="303">
        <v>34527.800000000003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1500620</v>
      </c>
      <c r="F31" s="303"/>
      <c r="G31" s="303">
        <v>1943867</v>
      </c>
      <c r="H31" s="304"/>
      <c r="I31" s="303">
        <v>1572699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-8858</v>
      </c>
      <c r="N32" s="303"/>
      <c r="O32" s="303">
        <v>0</v>
      </c>
      <c r="P32" s="304"/>
      <c r="Q32" s="303">
        <v>-8858</v>
      </c>
      <c r="R32" s="303">
        <v>0</v>
      </c>
      <c r="S32" s="303">
        <v>0</v>
      </c>
      <c r="T32" s="304"/>
      <c r="U32" s="303">
        <v>-10315.64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-2179624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-424155</v>
      </c>
      <c r="F34" s="274"/>
      <c r="G34" s="316">
        <f>SUM(G29:G33)</f>
        <v>418662</v>
      </c>
      <c r="H34" s="325"/>
      <c r="I34" s="316">
        <f>SUM(I29:I33)</f>
        <v>627081</v>
      </c>
      <c r="J34" s="274"/>
      <c r="K34" s="316">
        <f>SUM(K29:K33)</f>
        <v>19462</v>
      </c>
      <c r="L34" s="325"/>
      <c r="M34" s="316">
        <f>SUM(M29:M33)</f>
        <v>463884</v>
      </c>
      <c r="N34" s="274"/>
      <c r="O34" s="316">
        <f>SUM(O29:O33)</f>
        <v>19462</v>
      </c>
      <c r="P34" s="325"/>
      <c r="Q34" s="316">
        <f>SUM(Q29:Q33)</f>
        <v>463884</v>
      </c>
      <c r="R34" s="274"/>
      <c r="S34" s="316">
        <f>SUM(S29:S33)</f>
        <v>13809.21</v>
      </c>
      <c r="T34" s="325"/>
      <c r="U34" s="316">
        <f>SUM(U29:U33)</f>
        <v>29008.14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15210291</v>
      </c>
      <c r="F36" s="274"/>
      <c r="G36" s="326">
        <f>+G34+G25+G11</f>
        <v>14905950</v>
      </c>
      <c r="H36" s="276"/>
      <c r="I36" s="326">
        <f>+I34+I25+I11</f>
        <v>12191599.67</v>
      </c>
      <c r="J36" s="274"/>
      <c r="K36" s="326">
        <f>+K34+K25+K11</f>
        <v>19539</v>
      </c>
      <c r="L36" s="276"/>
      <c r="M36" s="326">
        <f>+M34+M25+M11</f>
        <v>463884</v>
      </c>
      <c r="N36" s="274"/>
      <c r="O36" s="326">
        <f>+O34+O25+O11</f>
        <v>19539</v>
      </c>
      <c r="P36" s="276"/>
      <c r="Q36" s="326">
        <f>+Q34+Q25+Q11</f>
        <v>463884</v>
      </c>
      <c r="R36" s="274"/>
      <c r="S36" s="326">
        <f>+S34+S25+S11</f>
        <v>14346.21</v>
      </c>
      <c r="T36" s="276"/>
      <c r="U36" s="326">
        <f>+U34+U25+U11</f>
        <v>29008.14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5710371</v>
      </c>
      <c r="F38" s="305"/>
      <c r="G38" s="320">
        <v>5950704</v>
      </c>
      <c r="H38" s="288"/>
      <c r="I38" s="320">
        <v>5525101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77</v>
      </c>
      <c r="L50" s="328"/>
      <c r="M50" s="332"/>
      <c r="N50" s="328"/>
      <c r="O50" s="332">
        <f>+O10</f>
        <v>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19462</v>
      </c>
      <c r="L53" s="335"/>
      <c r="M53" s="320"/>
      <c r="N53" s="335"/>
      <c r="O53" s="320">
        <f>+O29+O30</f>
        <v>19462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472742</v>
      </c>
      <c r="N55" s="328"/>
      <c r="O55" s="332"/>
      <c r="P55" s="328"/>
      <c r="Q55" s="332">
        <f>+Q29+Q30</f>
        <v>472742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-8858</v>
      </c>
      <c r="N56" s="328"/>
      <c r="O56" s="332"/>
      <c r="P56" s="328"/>
      <c r="Q56" s="332">
        <f>+Q32</f>
        <v>-8858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19539</v>
      </c>
      <c r="L58" s="328"/>
      <c r="M58" s="337">
        <f>SUM(M50:M57)</f>
        <v>463884</v>
      </c>
      <c r="N58" s="328"/>
      <c r="O58" s="337">
        <f>SUM(O50:O57)</f>
        <v>19539</v>
      </c>
      <c r="P58" s="332"/>
      <c r="Q58" s="337">
        <f>SUM(Q50:Q57)</f>
        <v>463884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61351</v>
      </c>
      <c r="L61" s="341"/>
      <c r="M61" s="341">
        <f>+M60-M58</f>
        <v>-256878</v>
      </c>
      <c r="N61" s="341"/>
      <c r="O61" s="340">
        <f>+O60-O58</f>
        <v>139526</v>
      </c>
      <c r="P61" s="341"/>
      <c r="Q61" s="341">
        <f>+Q60-Q58</f>
        <v>60327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tabColor rgb="FFFFFF00"/>
    <pageSetUpPr fitToPage="1"/>
  </sheetPr>
  <dimension ref="A1:AA75"/>
  <sheetViews>
    <sheetView showGridLines="0" zoomScaleNormal="100" workbookViewId="0">
      <selection activeCell="O29" sqref="O29:Q33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7" t="s">
        <v>0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271"/>
    </row>
    <row r="2" spans="1:22" ht="15.75" thickBot="1">
      <c r="B2" s="438" t="s">
        <v>523</v>
      </c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271"/>
    </row>
    <row r="3" spans="1:22">
      <c r="A3" s="260"/>
      <c r="B3" s="271"/>
      <c r="C3" s="271"/>
      <c r="D3" s="380"/>
      <c r="E3" s="274"/>
      <c r="F3" s="38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9" t="s">
        <v>522</v>
      </c>
      <c r="F4" s="439"/>
      <c r="G4" s="439"/>
      <c r="H4" s="439"/>
      <c r="I4" s="439"/>
      <c r="J4" s="275"/>
      <c r="K4" s="439" t="s">
        <v>80</v>
      </c>
      <c r="L4" s="439"/>
      <c r="M4" s="439"/>
      <c r="N4" s="439"/>
      <c r="O4" s="439"/>
      <c r="P4" s="439"/>
      <c r="Q4" s="439"/>
      <c r="R4" s="439"/>
      <c r="S4" s="439"/>
      <c r="T4" s="439"/>
      <c r="U4" s="439"/>
      <c r="V4" s="271"/>
    </row>
    <row r="5" spans="1:22" ht="15.75" thickBot="1">
      <c r="A5" s="260"/>
      <c r="B5" s="345">
        <v>42521</v>
      </c>
      <c r="C5" s="271"/>
      <c r="D5" s="271"/>
      <c r="E5" s="274"/>
      <c r="F5" s="274"/>
      <c r="G5" s="274"/>
      <c r="H5" s="276"/>
      <c r="I5" s="274"/>
      <c r="J5" s="276"/>
      <c r="K5" s="440" t="s">
        <v>81</v>
      </c>
      <c r="L5" s="440"/>
      <c r="M5" s="440"/>
      <c r="N5" s="277"/>
      <c r="O5" s="440" t="s">
        <v>82</v>
      </c>
      <c r="P5" s="440"/>
      <c r="Q5" s="440"/>
      <c r="R5" s="277"/>
      <c r="S5" s="440" t="s">
        <v>166</v>
      </c>
      <c r="T5" s="440"/>
      <c r="U5" s="440"/>
      <c r="V5" s="271"/>
    </row>
    <row r="6" spans="1:22" ht="30">
      <c r="A6" s="255" t="s">
        <v>83</v>
      </c>
      <c r="B6" s="271"/>
      <c r="C6" s="271" t="s">
        <v>5</v>
      </c>
      <c r="D6" s="380" t="s">
        <v>8</v>
      </c>
      <c r="E6" s="278" t="s">
        <v>532</v>
      </c>
      <c r="F6" s="279"/>
      <c r="G6" s="278" t="s">
        <v>533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9"/>
      <c r="O6" s="281" t="s">
        <v>12</v>
      </c>
      <c r="P6" s="379"/>
      <c r="Q6" s="283" t="s">
        <v>86</v>
      </c>
      <c r="R6" s="284"/>
      <c r="S6" s="281" t="s">
        <v>12</v>
      </c>
      <c r="T6" s="37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4355458-1407882</f>
        <v>2947576</v>
      </c>
      <c r="F9" s="287"/>
      <c r="G9" s="293">
        <v>3093862</v>
      </c>
      <c r="H9" s="288"/>
      <c r="I9" s="293">
        <v>715277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7.0316120680929953E-5</v>
      </c>
      <c r="E10" s="297">
        <v>1407882</v>
      </c>
      <c r="F10" s="287"/>
      <c r="G10" s="297">
        <v>1407973</v>
      </c>
      <c r="H10" s="288"/>
      <c r="I10" s="297">
        <v>2404381</v>
      </c>
      <c r="J10" s="287"/>
      <c r="K10" s="297">
        <v>99</v>
      </c>
      <c r="L10" s="288"/>
      <c r="M10" s="297">
        <v>0</v>
      </c>
      <c r="N10" s="287"/>
      <c r="O10" s="297">
        <v>3677</v>
      </c>
      <c r="P10" s="288"/>
      <c r="Q10" s="297">
        <v>0</v>
      </c>
      <c r="R10" s="287"/>
      <c r="S10" s="297">
        <v>10100.76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4355458</v>
      </c>
      <c r="F11" s="279"/>
      <c r="G11" s="301">
        <f>SUM(G8:G10)</f>
        <v>4501835</v>
      </c>
      <c r="H11" s="276"/>
      <c r="I11" s="301">
        <f>SUM(I9:I10)</f>
        <v>3119658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3677</v>
      </c>
      <c r="P11" s="276"/>
      <c r="Q11" s="301">
        <f>SUM(Q9:Q10)</f>
        <v>0</v>
      </c>
      <c r="R11" s="279"/>
      <c r="S11" s="301">
        <f>SUM(S9:S10)</f>
        <v>10100.76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512146</v>
      </c>
      <c r="F14" s="309"/>
      <c r="G14" s="308">
        <v>523206</v>
      </c>
      <c r="H14" s="310"/>
      <c r="I14" s="308">
        <v>501022.67999999993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3862825</v>
      </c>
      <c r="H19" s="310"/>
      <c r="I19" s="311">
        <v>3964920.6199999996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3280956.87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9297790</v>
      </c>
      <c r="F25" s="317"/>
      <c r="G25" s="316">
        <f>SUM(G14:G24)</f>
        <v>11132611</v>
      </c>
      <c r="H25" s="318"/>
      <c r="I25" s="316">
        <f>SUM(I14:I24)</f>
        <v>10315331.84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1417</v>
      </c>
      <c r="L29" s="321"/>
      <c r="M29" s="320">
        <v>9643</v>
      </c>
      <c r="N29" s="320"/>
      <c r="O29" s="320">
        <v>11228</v>
      </c>
      <c r="P29" s="321"/>
      <c r="Q29" s="320">
        <v>10747</v>
      </c>
      <c r="R29" s="320"/>
      <c r="S29" s="320">
        <v>10963.32</v>
      </c>
      <c r="T29" s="321"/>
      <c r="U29" s="320">
        <v>-50682.19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221259</v>
      </c>
      <c r="F30" s="303"/>
      <c r="G30" s="303">
        <v>254849</v>
      </c>
      <c r="H30" s="304"/>
      <c r="I30" s="303"/>
      <c r="J30" s="303"/>
      <c r="K30" s="303">
        <v>33590</v>
      </c>
      <c r="L30" s="304"/>
      <c r="M30" s="303">
        <v>313975</v>
      </c>
      <c r="N30" s="303"/>
      <c r="O30" s="303">
        <v>254849</v>
      </c>
      <c r="P30" s="304"/>
      <c r="Q30" s="303">
        <v>-5495</v>
      </c>
      <c r="R30" s="303"/>
      <c r="S30" s="303">
        <v>0</v>
      </c>
      <c r="T30" s="304"/>
      <c r="U30" s="303">
        <v>0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1187903</v>
      </c>
      <c r="F31" s="303"/>
      <c r="G31" s="303">
        <v>1500620</v>
      </c>
      <c r="H31" s="304"/>
      <c r="I31" s="303">
        <v>1548487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766858.17999999993</v>
      </c>
      <c r="T31" s="304"/>
      <c r="U31" s="303">
        <v>-448816.74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-1258</v>
      </c>
      <c r="N32" s="303"/>
      <c r="O32" s="303">
        <v>0</v>
      </c>
      <c r="P32" s="304"/>
      <c r="Q32" s="303">
        <v>-42371</v>
      </c>
      <c r="R32" s="303">
        <v>0</v>
      </c>
      <c r="S32" s="303">
        <v>0</v>
      </c>
      <c r="T32" s="304"/>
      <c r="U32" s="303">
        <v>-35075.200000000004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-355863</v>
      </c>
      <c r="F33" s="303"/>
      <c r="G33" s="303">
        <v>-2179624</v>
      </c>
      <c r="H33" s="304"/>
      <c r="I33" s="303">
        <v>-1384529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/>
      <c r="V33" s="304"/>
    </row>
    <row r="34" spans="1:22">
      <c r="A34" s="262"/>
      <c r="B34" s="271" t="s">
        <v>504</v>
      </c>
      <c r="E34" s="316">
        <f>SUM(E29:E33)</f>
        <v>1053299</v>
      </c>
      <c r="F34" s="274"/>
      <c r="G34" s="316">
        <f>SUM(G29:G33)</f>
        <v>-424155</v>
      </c>
      <c r="H34" s="325"/>
      <c r="I34" s="316">
        <f>SUM(I29:I33)</f>
        <v>163958</v>
      </c>
      <c r="J34" s="274"/>
      <c r="K34" s="316">
        <f>SUM(K29:K33)</f>
        <v>35007</v>
      </c>
      <c r="L34" s="325"/>
      <c r="M34" s="316">
        <f>SUM(M29:M33)</f>
        <v>322360</v>
      </c>
      <c r="N34" s="274"/>
      <c r="O34" s="316">
        <f>SUM(O29:O33)</f>
        <v>266077</v>
      </c>
      <c r="P34" s="325"/>
      <c r="Q34" s="316">
        <f>SUM(Q29:Q33)</f>
        <v>-37119</v>
      </c>
      <c r="R34" s="274"/>
      <c r="S34" s="316">
        <f>SUM(S29:S33)</f>
        <v>777821.49999999988</v>
      </c>
      <c r="T34" s="325"/>
      <c r="U34" s="316">
        <f>SUM(U29:U33)</f>
        <v>-534574.13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14706547</v>
      </c>
      <c r="F36" s="274"/>
      <c r="G36" s="326">
        <f>+G34+G25+G11</f>
        <v>15210291</v>
      </c>
      <c r="H36" s="276"/>
      <c r="I36" s="326">
        <f>+I34+I25+I11</f>
        <v>13598947.84</v>
      </c>
      <c r="J36" s="274"/>
      <c r="K36" s="326">
        <f>+K34+K25+K11</f>
        <v>35106</v>
      </c>
      <c r="L36" s="276"/>
      <c r="M36" s="326">
        <f>+M34+M25+M11</f>
        <v>322360</v>
      </c>
      <c r="N36" s="274"/>
      <c r="O36" s="326">
        <f>+O34+O25+O11</f>
        <v>269754</v>
      </c>
      <c r="P36" s="276"/>
      <c r="Q36" s="326">
        <f>+Q34+Q25+Q11</f>
        <v>-37119</v>
      </c>
      <c r="R36" s="274"/>
      <c r="S36" s="326">
        <f>+S34+S25+S11</f>
        <v>787922.25999999989</v>
      </c>
      <c r="T36" s="276"/>
      <c r="U36" s="326">
        <f>+U34+U25+U11</f>
        <v>-534574.13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5555453</v>
      </c>
      <c r="F38" s="305"/>
      <c r="G38" s="320">
        <v>5710371</v>
      </c>
      <c r="H38" s="288"/>
      <c r="I38" s="320">
        <v>5511022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99</v>
      </c>
      <c r="L50" s="328"/>
      <c r="M50" s="332"/>
      <c r="N50" s="328"/>
      <c r="O50" s="332">
        <f>+O10</f>
        <v>3677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35007</v>
      </c>
      <c r="L53" s="335"/>
      <c r="M53" s="320"/>
      <c r="N53" s="335"/>
      <c r="O53" s="320">
        <f>+O29+O30</f>
        <v>266077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323618</v>
      </c>
      <c r="N55" s="328"/>
      <c r="O55" s="332"/>
      <c r="P55" s="328"/>
      <c r="Q55" s="332">
        <f>+Q29+Q30</f>
        <v>5252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-1258</v>
      </c>
      <c r="N56" s="328"/>
      <c r="O56" s="332"/>
      <c r="P56" s="328"/>
      <c r="Q56" s="332">
        <f>+Q32</f>
        <v>-42371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35106</v>
      </c>
      <c r="L58" s="328"/>
      <c r="M58" s="337">
        <f>SUM(M50:M57)</f>
        <v>322360</v>
      </c>
      <c r="N58" s="328"/>
      <c r="O58" s="337">
        <f>SUM(O50:O57)</f>
        <v>269754</v>
      </c>
      <c r="P58" s="332"/>
      <c r="Q58" s="337">
        <f>SUM(Q50:Q57)</f>
        <v>-37119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45784</v>
      </c>
      <c r="L61" s="341"/>
      <c r="M61" s="341">
        <f>+M60-M58</f>
        <v>-115354</v>
      </c>
      <c r="N61" s="341"/>
      <c r="O61" s="340">
        <f>+O60-O58</f>
        <v>-110689</v>
      </c>
      <c r="P61" s="341"/>
      <c r="Q61" s="341">
        <f>+Q60-Q58</f>
        <v>561330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tabColor rgb="FFFFFF00"/>
    <pageSetUpPr fitToPage="1"/>
  </sheetPr>
  <dimension ref="A1:AA74"/>
  <sheetViews>
    <sheetView showGridLines="0" zoomScaleNormal="100" workbookViewId="0">
      <selection activeCell="O28" sqref="O28:Q30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7" t="s">
        <v>0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271"/>
    </row>
    <row r="2" spans="1:22" ht="15.75" thickBot="1">
      <c r="B2" s="438" t="s">
        <v>523</v>
      </c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271"/>
    </row>
    <row r="3" spans="1:22">
      <c r="A3" s="260"/>
      <c r="B3" s="271"/>
      <c r="C3" s="271"/>
      <c r="D3" s="378"/>
      <c r="E3" s="274"/>
      <c r="F3" s="37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9" t="s">
        <v>522</v>
      </c>
      <c r="F4" s="439"/>
      <c r="G4" s="439"/>
      <c r="H4" s="439"/>
      <c r="I4" s="439"/>
      <c r="J4" s="275"/>
      <c r="K4" s="439" t="s">
        <v>80</v>
      </c>
      <c r="L4" s="439"/>
      <c r="M4" s="439"/>
      <c r="N4" s="439"/>
      <c r="O4" s="439"/>
      <c r="P4" s="439"/>
      <c r="Q4" s="439"/>
      <c r="R4" s="439"/>
      <c r="S4" s="439"/>
      <c r="T4" s="439"/>
      <c r="U4" s="439"/>
      <c r="V4" s="271"/>
    </row>
    <row r="5" spans="1:22" ht="15.75" thickBot="1">
      <c r="A5" s="260"/>
      <c r="B5" s="345">
        <v>42490</v>
      </c>
      <c r="C5" s="271"/>
      <c r="D5" s="271"/>
      <c r="E5" s="274"/>
      <c r="F5" s="274"/>
      <c r="G5" s="274"/>
      <c r="H5" s="276"/>
      <c r="I5" s="274"/>
      <c r="J5" s="276"/>
      <c r="K5" s="440" t="s">
        <v>81</v>
      </c>
      <c r="L5" s="440"/>
      <c r="M5" s="440"/>
      <c r="N5" s="277"/>
      <c r="O5" s="440" t="s">
        <v>82</v>
      </c>
      <c r="P5" s="440"/>
      <c r="Q5" s="440"/>
      <c r="R5" s="277"/>
      <c r="S5" s="440" t="s">
        <v>166</v>
      </c>
      <c r="T5" s="440"/>
      <c r="U5" s="440"/>
      <c r="V5" s="271"/>
    </row>
    <row r="6" spans="1:22" ht="30">
      <c r="A6" s="255" t="s">
        <v>83</v>
      </c>
      <c r="B6" s="271"/>
      <c r="C6" s="271" t="s">
        <v>5</v>
      </c>
      <c r="D6" s="378" t="s">
        <v>8</v>
      </c>
      <c r="E6" s="278" t="s">
        <v>530</v>
      </c>
      <c r="F6" s="279"/>
      <c r="G6" s="278" t="s">
        <v>531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7"/>
      <c r="O6" s="281" t="s">
        <v>12</v>
      </c>
      <c r="P6" s="377"/>
      <c r="Q6" s="283" t="s">
        <v>86</v>
      </c>
      <c r="R6" s="284"/>
      <c r="S6" s="281" t="s">
        <v>12</v>
      </c>
      <c r="T6" s="37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4085420-1407790</f>
        <v>2677630</v>
      </c>
      <c r="F9" s="287"/>
      <c r="G9" s="293">
        <f>4355458-1407882</f>
        <v>2947576</v>
      </c>
      <c r="H9" s="288"/>
      <c r="I9" s="293">
        <v>2527235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7.0320690762276281E-5</v>
      </c>
      <c r="E10" s="297">
        <v>1407790</v>
      </c>
      <c r="F10" s="287"/>
      <c r="G10" s="297">
        <v>1407882</v>
      </c>
      <c r="H10" s="288"/>
      <c r="I10" s="297">
        <v>3903600</v>
      </c>
      <c r="J10" s="287"/>
      <c r="K10" s="297">
        <v>99</v>
      </c>
      <c r="L10" s="288"/>
      <c r="M10" s="297">
        <v>0</v>
      </c>
      <c r="N10" s="287"/>
      <c r="O10" s="297">
        <v>3578</v>
      </c>
      <c r="P10" s="288"/>
      <c r="Q10" s="297">
        <v>0</v>
      </c>
      <c r="R10" s="287"/>
      <c r="S10" s="297">
        <v>9313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4085420</v>
      </c>
      <c r="F11" s="279"/>
      <c r="G11" s="301">
        <f>SUM(G8:G10)</f>
        <v>4355458</v>
      </c>
      <c r="H11" s="276"/>
      <c r="I11" s="301">
        <f>SUM(I9:I10)</f>
        <v>6430835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3578</v>
      </c>
      <c r="P11" s="276"/>
      <c r="Q11" s="301">
        <f>SUM(Q9:Q10)</f>
        <v>0</v>
      </c>
      <c r="R11" s="279"/>
      <c r="S11" s="301">
        <f>SUM(S9:S10)</f>
        <v>9313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487594</v>
      </c>
      <c r="F14" s="309"/>
      <c r="G14" s="308">
        <v>512146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9273238</v>
      </c>
      <c r="F24" s="317"/>
      <c r="G24" s="316">
        <f>SUM(G14:G23)</f>
        <v>9297790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454478</v>
      </c>
      <c r="J28" s="320"/>
      <c r="K28" s="320">
        <v>313</v>
      </c>
      <c r="L28" s="321"/>
      <c r="M28" s="320">
        <v>24031</v>
      </c>
      <c r="N28" s="320"/>
      <c r="O28" s="320">
        <v>9811</v>
      </c>
      <c r="P28" s="321"/>
      <c r="Q28" s="320">
        <v>1104</v>
      </c>
      <c r="R28" s="320"/>
      <c r="S28" s="320">
        <v>9515</v>
      </c>
      <c r="T28" s="321"/>
      <c r="U28" s="320">
        <v>-27774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197756</v>
      </c>
      <c r="F29" s="303"/>
      <c r="G29" s="303">
        <v>221259</v>
      </c>
      <c r="H29" s="304"/>
      <c r="I29" s="303">
        <v>8205604</v>
      </c>
      <c r="J29" s="303"/>
      <c r="K29" s="303">
        <v>23503</v>
      </c>
      <c r="L29" s="304"/>
      <c r="M29" s="303">
        <v>478992</v>
      </c>
      <c r="N29" s="303"/>
      <c r="O29" s="303">
        <v>221259</v>
      </c>
      <c r="P29" s="304"/>
      <c r="Q29" s="303">
        <v>-319470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710026</v>
      </c>
      <c r="F30" s="303"/>
      <c r="G30" s="303">
        <v>1187903</v>
      </c>
      <c r="H30" s="304"/>
      <c r="I30" s="303">
        <v>1194095</v>
      </c>
      <c r="J30" s="303"/>
      <c r="K30" s="303">
        <v>0</v>
      </c>
      <c r="L30" s="304"/>
      <c r="M30" s="303">
        <v>-1116</v>
      </c>
      <c r="N30" s="303"/>
      <c r="O30" s="303">
        <v>0</v>
      </c>
      <c r="P30" s="304"/>
      <c r="Q30" s="303">
        <v>-41114</v>
      </c>
      <c r="R30" s="303"/>
      <c r="S30" s="303">
        <v>361663</v>
      </c>
      <c r="T30" s="304"/>
      <c r="U30" s="303">
        <v>-484145.17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>
        <v>0</v>
      </c>
      <c r="S31" s="303">
        <v>0</v>
      </c>
      <c r="T31" s="304"/>
      <c r="U31" s="303">
        <v>-35149.120000000003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551919</v>
      </c>
      <c r="F33" s="274"/>
      <c r="G33" s="316">
        <f>SUM(G28:G32)</f>
        <v>1053299</v>
      </c>
      <c r="H33" s="325"/>
      <c r="I33" s="316">
        <f>SUM(I28:I32)</f>
        <v>9291100</v>
      </c>
      <c r="J33" s="274"/>
      <c r="K33" s="316">
        <f>SUM(K28:K32)</f>
        <v>23816</v>
      </c>
      <c r="L33" s="325"/>
      <c r="M33" s="316">
        <f>SUM(M28:M32)</f>
        <v>501907</v>
      </c>
      <c r="N33" s="274"/>
      <c r="O33" s="316">
        <f>SUM(O28:O32)</f>
        <v>231070</v>
      </c>
      <c r="P33" s="325"/>
      <c r="Q33" s="316">
        <f>SUM(Q28:Q32)</f>
        <v>-359480</v>
      </c>
      <c r="R33" s="274"/>
      <c r="S33" s="316">
        <f>SUM(S28:S32)</f>
        <v>371178</v>
      </c>
      <c r="T33" s="325"/>
      <c r="U33" s="316">
        <f>SUM(U28:U32)</f>
        <v>-547068.29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13910577</v>
      </c>
      <c r="F35" s="274"/>
      <c r="G35" s="326">
        <f>+G33+G24+G11</f>
        <v>14706547</v>
      </c>
      <c r="H35" s="276"/>
      <c r="I35" s="326">
        <f>+I33+I24+I11</f>
        <v>16490366.67</v>
      </c>
      <c r="J35" s="274"/>
      <c r="K35" s="326">
        <f>+K33+K24+K11</f>
        <v>23915</v>
      </c>
      <c r="L35" s="276"/>
      <c r="M35" s="326">
        <f>+M33+M24+M11</f>
        <v>501907</v>
      </c>
      <c r="N35" s="274"/>
      <c r="O35" s="326">
        <f>+O33+O24+O11</f>
        <v>234648</v>
      </c>
      <c r="P35" s="276"/>
      <c r="Q35" s="326">
        <f>+Q33+Q24+Q11</f>
        <v>-359480</v>
      </c>
      <c r="R35" s="274"/>
      <c r="S35" s="326">
        <f>+S33+S24+S11</f>
        <v>380491</v>
      </c>
      <c r="T35" s="276"/>
      <c r="U35" s="326">
        <f>+U33+U24+U11</f>
        <v>-547068.29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5337894</v>
      </c>
      <c r="F37" s="305"/>
      <c r="G37" s="320">
        <v>5555453</v>
      </c>
      <c r="H37" s="288"/>
      <c r="I37" s="320">
        <v>5284348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99</v>
      </c>
      <c r="L49" s="328"/>
      <c r="M49" s="332"/>
      <c r="N49" s="328"/>
      <c r="O49" s="332">
        <f>+O10</f>
        <v>3578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23816</v>
      </c>
      <c r="L52" s="335"/>
      <c r="M52" s="320"/>
      <c r="N52" s="335"/>
      <c r="O52" s="320">
        <f>+O28+O29</f>
        <v>231070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503023</v>
      </c>
      <c r="N54" s="328"/>
      <c r="O54" s="332"/>
      <c r="P54" s="328"/>
      <c r="Q54" s="332">
        <f>+Q28+Q29</f>
        <v>-318366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0</v>
      </c>
      <c r="N55" s="328"/>
      <c r="O55" s="332"/>
      <c r="P55" s="328"/>
      <c r="Q55" s="332">
        <f>+Q31</f>
        <v>0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23915</v>
      </c>
      <c r="L57" s="328"/>
      <c r="M57" s="337">
        <f>SUM(M49:M56)</f>
        <v>503023</v>
      </c>
      <c r="N57" s="328"/>
      <c r="O57" s="337">
        <f>SUM(O49:O56)</f>
        <v>234648</v>
      </c>
      <c r="P57" s="332"/>
      <c r="Q57" s="337">
        <f>SUM(Q49:Q56)</f>
        <v>-318366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56975</v>
      </c>
      <c r="L60" s="341"/>
      <c r="M60" s="341">
        <f>+M59-M57</f>
        <v>-296017</v>
      </c>
      <c r="N60" s="341"/>
      <c r="O60" s="340">
        <f>+O59-O57</f>
        <v>-75583</v>
      </c>
      <c r="P60" s="341"/>
      <c r="Q60" s="341">
        <f>+Q59-Q57</f>
        <v>842577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tabColor rgb="FFFFFF00"/>
    <pageSetUpPr fitToPage="1"/>
  </sheetPr>
  <dimension ref="A1:AA74"/>
  <sheetViews>
    <sheetView showGridLines="0" topLeftCell="A4" zoomScaleNormal="100" workbookViewId="0">
      <selection activeCell="G37" sqref="G37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7" t="s">
        <v>0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271"/>
    </row>
    <row r="2" spans="1:22" ht="15.75" thickBot="1">
      <c r="B2" s="438" t="s">
        <v>523</v>
      </c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271"/>
    </row>
    <row r="3" spans="1:22">
      <c r="A3" s="260"/>
      <c r="B3" s="271"/>
      <c r="C3" s="271"/>
      <c r="D3" s="350"/>
      <c r="E3" s="274"/>
      <c r="F3" s="35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9" t="s">
        <v>522</v>
      </c>
      <c r="F4" s="439"/>
      <c r="G4" s="439"/>
      <c r="H4" s="439"/>
      <c r="I4" s="439"/>
      <c r="J4" s="275"/>
      <c r="K4" s="439" t="s">
        <v>80</v>
      </c>
      <c r="L4" s="439"/>
      <c r="M4" s="439"/>
      <c r="N4" s="439"/>
      <c r="O4" s="439"/>
      <c r="P4" s="439"/>
      <c r="Q4" s="439"/>
      <c r="R4" s="439"/>
      <c r="S4" s="439"/>
      <c r="T4" s="439"/>
      <c r="U4" s="439"/>
      <c r="V4" s="271"/>
    </row>
    <row r="5" spans="1:22" ht="15.75" thickBot="1">
      <c r="A5" s="260"/>
      <c r="B5" s="345">
        <v>42460</v>
      </c>
      <c r="C5" s="271"/>
      <c r="D5" s="271"/>
      <c r="E5" s="274"/>
      <c r="F5" s="274"/>
      <c r="G5" s="274"/>
      <c r="H5" s="276"/>
      <c r="I5" s="274"/>
      <c r="J5" s="276"/>
      <c r="K5" s="440" t="s">
        <v>81</v>
      </c>
      <c r="L5" s="440"/>
      <c r="M5" s="440"/>
      <c r="N5" s="277"/>
      <c r="O5" s="440" t="s">
        <v>82</v>
      </c>
      <c r="P5" s="440"/>
      <c r="Q5" s="440"/>
      <c r="R5" s="277"/>
      <c r="S5" s="440" t="s">
        <v>166</v>
      </c>
      <c r="T5" s="440"/>
      <c r="U5" s="440"/>
      <c r="V5" s="271"/>
    </row>
    <row r="6" spans="1:22" ht="30">
      <c r="A6" s="255" t="s">
        <v>83</v>
      </c>
      <c r="B6" s="271"/>
      <c r="C6" s="271" t="s">
        <v>5</v>
      </c>
      <c r="D6" s="350" t="s">
        <v>8</v>
      </c>
      <c r="E6" s="278" t="s">
        <v>528</v>
      </c>
      <c r="F6" s="279"/>
      <c r="G6" s="278" t="s">
        <v>529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9"/>
      <c r="O6" s="281" t="s">
        <v>12</v>
      </c>
      <c r="P6" s="349"/>
      <c r="Q6" s="283" t="s">
        <v>86</v>
      </c>
      <c r="R6" s="284"/>
      <c r="S6" s="281" t="s">
        <v>12</v>
      </c>
      <c r="T6" s="34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2153954</v>
      </c>
      <c r="F9" s="287"/>
      <c r="G9" s="332">
        <f>4085420-1407790</f>
        <v>2677630</v>
      </c>
      <c r="H9" s="288"/>
      <c r="I9" s="293">
        <v>1029109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8.2401843243990082E-5</v>
      </c>
      <c r="E10" s="297">
        <v>1407681</v>
      </c>
      <c r="F10" s="287"/>
      <c r="G10" s="297">
        <v>1407790</v>
      </c>
      <c r="H10" s="288"/>
      <c r="I10" s="297">
        <v>4902424</v>
      </c>
      <c r="J10" s="287"/>
      <c r="K10" s="297">
        <v>116</v>
      </c>
      <c r="L10" s="288"/>
      <c r="M10" s="297">
        <v>0</v>
      </c>
      <c r="N10" s="287"/>
      <c r="O10" s="297">
        <v>3479</v>
      </c>
      <c r="P10" s="288"/>
      <c r="Q10" s="297">
        <v>0</v>
      </c>
      <c r="R10" s="287"/>
      <c r="S10" s="297">
        <v>8130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3561635</v>
      </c>
      <c r="F11" s="279"/>
      <c r="G11" s="301">
        <f>SUM(G8:G10)</f>
        <v>4085420</v>
      </c>
      <c r="H11" s="276"/>
      <c r="I11" s="301">
        <f>SUM(I9:I10)</f>
        <v>5931533</v>
      </c>
      <c r="J11" s="279"/>
      <c r="K11" s="301">
        <f>SUM(K9:K10)</f>
        <v>116</v>
      </c>
      <c r="L11" s="276"/>
      <c r="M11" s="301">
        <f>SUM(M9:M10)</f>
        <v>0</v>
      </c>
      <c r="N11" s="279"/>
      <c r="O11" s="301">
        <f>SUM(O9:O10)</f>
        <v>3479</v>
      </c>
      <c r="P11" s="276"/>
      <c r="Q11" s="301">
        <f>SUM(Q9:Q10)</f>
        <v>0</v>
      </c>
      <c r="R11" s="279"/>
      <c r="S11" s="301">
        <f>SUM(S9:S10)</f>
        <v>8130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444684</v>
      </c>
      <c r="F14" s="309"/>
      <c r="G14" s="308">
        <v>487594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9230328</v>
      </c>
      <c r="F24" s="317"/>
      <c r="G24" s="316">
        <f>SUM(G14:G23)</f>
        <v>9273238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453580</v>
      </c>
      <c r="J28" s="320"/>
      <c r="K28" s="320">
        <v>473</v>
      </c>
      <c r="L28" s="321"/>
      <c r="M28" s="320">
        <v>42437</v>
      </c>
      <c r="N28" s="320"/>
      <c r="O28" s="320">
        <v>9498</v>
      </c>
      <c r="P28" s="321"/>
      <c r="Q28" s="320">
        <v>-22927</v>
      </c>
      <c r="R28" s="320"/>
      <c r="S28" s="320">
        <v>8617.0499999999993</v>
      </c>
      <c r="T28" s="321"/>
      <c r="U28" s="320">
        <v>-7701.3299999999981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185628</v>
      </c>
      <c r="F29" s="303"/>
      <c r="G29" s="303">
        <v>197756</v>
      </c>
      <c r="H29" s="304"/>
      <c r="I29" s="303">
        <v>8190258</v>
      </c>
      <c r="J29" s="303"/>
      <c r="K29" s="303">
        <v>12127</v>
      </c>
      <c r="L29" s="304"/>
      <c r="M29" s="303">
        <v>572460</v>
      </c>
      <c r="N29" s="303"/>
      <c r="O29" s="303">
        <v>197756</v>
      </c>
      <c r="P29" s="304"/>
      <c r="Q29" s="303">
        <v>-798462</v>
      </c>
      <c r="R29" s="303"/>
      <c r="S29" s="303"/>
      <c r="T29" s="304"/>
      <c r="U29" s="303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147309</v>
      </c>
      <c r="F30" s="303"/>
      <c r="G30" s="303">
        <v>710026</v>
      </c>
      <c r="H30" s="304"/>
      <c r="I30" s="303">
        <v>1699686</v>
      </c>
      <c r="J30" s="303"/>
      <c r="K30" s="303"/>
      <c r="L30" s="304"/>
      <c r="M30" s="303"/>
      <c r="N30" s="303"/>
      <c r="O30" s="303"/>
      <c r="P30" s="304"/>
      <c r="Q30" s="303"/>
      <c r="R30" s="303"/>
      <c r="S30" s="303">
        <v>346316.74999999994</v>
      </c>
      <c r="T30" s="304"/>
      <c r="U30" s="303">
        <v>41572.760000000068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-9743</v>
      </c>
      <c r="N31" s="303"/>
      <c r="O31" s="303"/>
      <c r="P31" s="304"/>
      <c r="Q31" s="303">
        <v>-39998</v>
      </c>
      <c r="R31" s="303"/>
      <c r="S31" s="303"/>
      <c r="T31" s="304"/>
      <c r="U31" s="303">
        <v>-35203.08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/>
      <c r="T32" s="304"/>
      <c r="U32" s="346"/>
      <c r="V32" s="304"/>
    </row>
    <row r="33" spans="1:22">
      <c r="A33" s="262"/>
      <c r="B33" s="271" t="s">
        <v>504</v>
      </c>
      <c r="E33" s="316">
        <f>SUM(E28:E32)</f>
        <v>-22926</v>
      </c>
      <c r="F33" s="274"/>
      <c r="G33" s="316">
        <f>SUM(G28:G32)</f>
        <v>551919</v>
      </c>
      <c r="H33" s="325"/>
      <c r="I33" s="316">
        <f>SUM(I28:I32)</f>
        <v>9780447</v>
      </c>
      <c r="J33" s="274"/>
      <c r="K33" s="316">
        <f>SUM(K28:K32)</f>
        <v>12600</v>
      </c>
      <c r="L33" s="325"/>
      <c r="M33" s="316">
        <f>SUM(M28:M32)</f>
        <v>605154</v>
      </c>
      <c r="N33" s="274"/>
      <c r="O33" s="316">
        <f>SUM(O28:O32)</f>
        <v>207254</v>
      </c>
      <c r="P33" s="325"/>
      <c r="Q33" s="316">
        <f>SUM(Q28:Q32)</f>
        <v>-861387</v>
      </c>
      <c r="R33" s="274"/>
      <c r="S33" s="316">
        <f>SUM(S28:S32)</f>
        <v>354933.79999999993</v>
      </c>
      <c r="T33" s="325"/>
      <c r="U33" s="316">
        <f>SUM(U28:U32)</f>
        <v>-1331.649999999936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12769037</v>
      </c>
      <c r="F35" s="274"/>
      <c r="G35" s="326">
        <f>+G33+G24+G11</f>
        <v>13910577</v>
      </c>
      <c r="H35" s="276"/>
      <c r="I35" s="326">
        <f>+I33+I24+I11</f>
        <v>16480411.67</v>
      </c>
      <c r="J35" s="274"/>
      <c r="K35" s="326">
        <f>+K33+K24+K11</f>
        <v>12716</v>
      </c>
      <c r="L35" s="276"/>
      <c r="M35" s="326">
        <f>+M33+M24+M11</f>
        <v>605154</v>
      </c>
      <c r="N35" s="274"/>
      <c r="O35" s="326">
        <f>+O33+O24+O11</f>
        <v>210733</v>
      </c>
      <c r="P35" s="276"/>
      <c r="Q35" s="326">
        <f>+Q33+Q24+Q11</f>
        <v>-861387</v>
      </c>
      <c r="R35" s="274"/>
      <c r="S35" s="326">
        <f>+S33+S24+S11</f>
        <v>363063.79999999993</v>
      </c>
      <c r="T35" s="276"/>
      <c r="U35" s="326">
        <f>+U33+U24+U11</f>
        <v>-1331.649999999936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4954464</v>
      </c>
      <c r="F37" s="305"/>
      <c r="G37" s="320">
        <v>5337894</v>
      </c>
      <c r="H37" s="288"/>
      <c r="I37" s="320">
        <v>5448295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116</v>
      </c>
      <c r="L49" s="328"/>
      <c r="M49" s="332"/>
      <c r="N49" s="328"/>
      <c r="O49" s="332">
        <f>+O10</f>
        <v>3479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12600</v>
      </c>
      <c r="L52" s="335"/>
      <c r="M52" s="320"/>
      <c r="N52" s="335"/>
      <c r="O52" s="320">
        <f>+O28+O29</f>
        <v>207254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614897</v>
      </c>
      <c r="N54" s="328"/>
      <c r="O54" s="332"/>
      <c r="P54" s="328"/>
      <c r="Q54" s="332">
        <f>+Q28+Q29</f>
        <v>-821389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-9743</v>
      </c>
      <c r="N55" s="328"/>
      <c r="O55" s="332"/>
      <c r="P55" s="328"/>
      <c r="Q55" s="332">
        <f>+Q31</f>
        <v>-39998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12716</v>
      </c>
      <c r="L57" s="328"/>
      <c r="M57" s="337">
        <f>SUM(M49:M56)</f>
        <v>605154</v>
      </c>
      <c r="N57" s="328"/>
      <c r="O57" s="337">
        <f>SUM(O49:O56)</f>
        <v>210733</v>
      </c>
      <c r="P57" s="332"/>
      <c r="Q57" s="337">
        <f>SUM(Q49:Q56)</f>
        <v>-861387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68174</v>
      </c>
      <c r="L60" s="341"/>
      <c r="M60" s="341">
        <f>+M59-M57</f>
        <v>-398148</v>
      </c>
      <c r="N60" s="341"/>
      <c r="O60" s="340">
        <f>+O59-O57</f>
        <v>-51668</v>
      </c>
      <c r="P60" s="341"/>
      <c r="Q60" s="341">
        <f>+Q59-Q57</f>
        <v>1385598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tabColor rgb="FFFFFF00"/>
    <pageSetUpPr fitToPage="1"/>
  </sheetPr>
  <dimension ref="A1:AA74"/>
  <sheetViews>
    <sheetView showGridLines="0" zoomScaleNormal="100" workbookViewId="0"/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272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272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1" t="s">
        <v>0</v>
      </c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271"/>
    </row>
    <row r="2" spans="1:22" ht="15.75" thickBot="1">
      <c r="B2" s="438" t="s">
        <v>523</v>
      </c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271"/>
    </row>
    <row r="3" spans="1:22">
      <c r="A3" s="260"/>
      <c r="B3" s="271"/>
      <c r="C3" s="271"/>
      <c r="D3" s="273"/>
      <c r="E3" s="271"/>
      <c r="F3" s="273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9" t="s">
        <v>522</v>
      </c>
      <c r="F4" s="439"/>
      <c r="G4" s="439"/>
      <c r="H4" s="439"/>
      <c r="I4" s="439"/>
      <c r="J4" s="271"/>
      <c r="K4" s="439" t="s">
        <v>80</v>
      </c>
      <c r="L4" s="439"/>
      <c r="M4" s="439"/>
      <c r="N4" s="439"/>
      <c r="O4" s="439"/>
      <c r="P4" s="439"/>
      <c r="Q4" s="439"/>
      <c r="R4" s="439"/>
      <c r="S4" s="439"/>
      <c r="T4" s="439"/>
      <c r="U4" s="439"/>
      <c r="V4" s="271"/>
    </row>
    <row r="5" spans="1:22" ht="15.75" thickBot="1">
      <c r="A5" s="260"/>
      <c r="B5" s="345">
        <v>42400</v>
      </c>
      <c r="C5" s="271"/>
      <c r="D5" s="271"/>
      <c r="E5" s="271"/>
      <c r="F5" s="271"/>
      <c r="G5" s="271"/>
      <c r="H5" s="271"/>
      <c r="I5" s="271"/>
      <c r="J5" s="271"/>
      <c r="K5" s="439" t="s">
        <v>81</v>
      </c>
      <c r="L5" s="439"/>
      <c r="M5" s="439"/>
      <c r="N5" s="273"/>
      <c r="O5" s="439" t="s">
        <v>82</v>
      </c>
      <c r="P5" s="439"/>
      <c r="Q5" s="439"/>
      <c r="R5" s="273"/>
      <c r="S5" s="439" t="s">
        <v>166</v>
      </c>
      <c r="T5" s="439"/>
      <c r="U5" s="439"/>
      <c r="V5" s="271"/>
    </row>
    <row r="6" spans="1:22" ht="30">
      <c r="A6" s="351" t="s">
        <v>83</v>
      </c>
      <c r="B6" s="271"/>
      <c r="C6" s="271" t="s">
        <v>5</v>
      </c>
      <c r="D6" s="273" t="s">
        <v>8</v>
      </c>
      <c r="E6" s="352" t="s">
        <v>524</v>
      </c>
      <c r="F6" s="353"/>
      <c r="G6" s="352" t="s">
        <v>525</v>
      </c>
      <c r="H6" s="271"/>
      <c r="I6" s="354" t="s">
        <v>11</v>
      </c>
      <c r="J6" s="271"/>
      <c r="K6" s="355" t="s">
        <v>12</v>
      </c>
      <c r="L6" s="271"/>
      <c r="M6" s="355" t="s">
        <v>86</v>
      </c>
      <c r="N6" s="273"/>
      <c r="O6" s="355" t="s">
        <v>12</v>
      </c>
      <c r="P6" s="273"/>
      <c r="Q6" s="356" t="s">
        <v>86</v>
      </c>
      <c r="R6" s="357"/>
      <c r="S6" s="355" t="s">
        <v>12</v>
      </c>
      <c r="T6" s="273"/>
      <c r="U6" s="356" t="s">
        <v>86</v>
      </c>
      <c r="V6" s="357"/>
    </row>
    <row r="7" spans="1:22">
      <c r="A7" s="351"/>
      <c r="D7" s="285"/>
      <c r="E7" s="358"/>
      <c r="F7" s="359"/>
      <c r="G7" s="358"/>
      <c r="I7" s="285"/>
      <c r="K7" s="285"/>
      <c r="M7" s="285"/>
      <c r="N7" s="285"/>
      <c r="O7" s="285"/>
      <c r="P7" s="285"/>
      <c r="Q7" s="360"/>
      <c r="R7" s="360"/>
      <c r="S7" s="285"/>
      <c r="T7" s="285"/>
      <c r="U7" s="360"/>
      <c r="V7" s="360"/>
    </row>
    <row r="8" spans="1:22">
      <c r="A8" s="351"/>
      <c r="B8" s="292" t="s">
        <v>469</v>
      </c>
      <c r="D8" s="285"/>
      <c r="E8" s="358"/>
      <c r="F8" s="359"/>
      <c r="G8" s="358"/>
      <c r="I8" s="285"/>
      <c r="K8" s="285"/>
      <c r="M8" s="285"/>
      <c r="N8" s="285"/>
      <c r="O8" s="285"/>
      <c r="P8" s="285"/>
      <c r="Q8" s="360"/>
      <c r="R8" s="360"/>
      <c r="S8" s="285"/>
      <c r="T8" s="285"/>
      <c r="U8" s="360"/>
      <c r="V8" s="360"/>
    </row>
    <row r="9" spans="1:22">
      <c r="A9" s="361" t="s">
        <v>401</v>
      </c>
      <c r="B9" s="272" t="s">
        <v>144</v>
      </c>
      <c r="D9" s="285"/>
      <c r="E9" s="293">
        <v>1978202</v>
      </c>
      <c r="F9" s="359"/>
      <c r="G9" s="293">
        <f>5161917-1407418</f>
        <v>3754499</v>
      </c>
      <c r="I9" s="293">
        <v>1932042</v>
      </c>
      <c r="J9" s="359"/>
      <c r="K9" s="293">
        <v>0</v>
      </c>
      <c r="M9" s="293">
        <v>0</v>
      </c>
      <c r="N9" s="359"/>
      <c r="O9" s="293">
        <v>0</v>
      </c>
      <c r="Q9" s="293">
        <v>0</v>
      </c>
      <c r="R9" s="359"/>
      <c r="S9" s="293">
        <v>0</v>
      </c>
      <c r="U9" s="294">
        <v>0</v>
      </c>
      <c r="V9" s="295"/>
    </row>
    <row r="10" spans="1:22">
      <c r="A10" s="362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359"/>
      <c r="G10" s="297">
        <v>1407418</v>
      </c>
      <c r="I10" s="297">
        <v>4899981</v>
      </c>
      <c r="J10" s="359"/>
      <c r="K10" s="297">
        <v>324</v>
      </c>
      <c r="M10" s="297">
        <v>0</v>
      </c>
      <c r="N10" s="359"/>
      <c r="O10" s="297">
        <v>3094</v>
      </c>
      <c r="Q10" s="297">
        <v>0</v>
      </c>
      <c r="R10" s="359"/>
      <c r="S10" s="297">
        <v>5672.98</v>
      </c>
      <c r="U10" s="347">
        <v>0</v>
      </c>
      <c r="V10" s="360"/>
    </row>
    <row r="11" spans="1:22" s="271" customFormat="1">
      <c r="A11" s="363"/>
      <c r="B11" s="299" t="s">
        <v>503</v>
      </c>
      <c r="D11" s="300">
        <v>0</v>
      </c>
      <c r="E11" s="301">
        <f>SUM(E9:E10)</f>
        <v>3385303</v>
      </c>
      <c r="F11" s="353"/>
      <c r="G11" s="301">
        <f>SUM(G9:G10)</f>
        <v>5161917</v>
      </c>
      <c r="I11" s="301">
        <f>SUM(I9:I10)</f>
        <v>6832023</v>
      </c>
      <c r="J11" s="353"/>
      <c r="K11" s="301">
        <f>SUM(K9:K10)</f>
        <v>324</v>
      </c>
      <c r="M11" s="301">
        <f>SUM(M9:M10)</f>
        <v>0</v>
      </c>
      <c r="N11" s="353"/>
      <c r="O11" s="301">
        <f>SUM(O9:O10)</f>
        <v>3094</v>
      </c>
      <c r="Q11" s="301">
        <f>SUM(Q9:Q10)</f>
        <v>0</v>
      </c>
      <c r="R11" s="353"/>
      <c r="S11" s="301">
        <f>SUM(S9:S10)</f>
        <v>5672.98</v>
      </c>
      <c r="U11" s="302">
        <f>SUM(U9:U10)</f>
        <v>0</v>
      </c>
      <c r="V11" s="302"/>
    </row>
    <row r="12" spans="1:22">
      <c r="A12" s="262"/>
      <c r="B12" s="271"/>
      <c r="D12" s="303"/>
      <c r="E12" s="293"/>
      <c r="F12" s="359"/>
      <c r="G12" s="293"/>
      <c r="I12" s="293"/>
      <c r="J12" s="359"/>
      <c r="K12" s="293"/>
      <c r="M12" s="293"/>
      <c r="N12" s="359"/>
      <c r="O12" s="293"/>
      <c r="Q12" s="293"/>
      <c r="R12" s="359"/>
      <c r="S12" s="293"/>
      <c r="U12" s="303"/>
      <c r="V12" s="304"/>
    </row>
    <row r="13" spans="1:22">
      <c r="A13" s="262"/>
      <c r="B13" s="292" t="s">
        <v>16</v>
      </c>
      <c r="V13" s="364"/>
    </row>
    <row r="14" spans="1:22">
      <c r="A14" s="365">
        <v>1112</v>
      </c>
      <c r="B14" s="272" t="s">
        <v>507</v>
      </c>
      <c r="D14" s="307"/>
      <c r="E14" s="366">
        <v>530262</v>
      </c>
      <c r="F14" s="367"/>
      <c r="G14" s="366">
        <v>502241</v>
      </c>
      <c r="H14" s="329"/>
      <c r="I14" s="366">
        <v>0</v>
      </c>
      <c r="J14" s="367"/>
      <c r="K14" s="366">
        <v>0</v>
      </c>
      <c r="L14" s="329"/>
      <c r="M14" s="366">
        <v>0</v>
      </c>
      <c r="N14" s="367"/>
      <c r="O14" s="366">
        <v>0</v>
      </c>
      <c r="P14" s="329"/>
      <c r="Q14" s="366">
        <v>0</v>
      </c>
      <c r="R14" s="367"/>
      <c r="S14" s="366">
        <v>0</v>
      </c>
      <c r="T14" s="329"/>
      <c r="U14" s="294">
        <v>0</v>
      </c>
      <c r="V14" s="295"/>
    </row>
    <row r="15" spans="1:22">
      <c r="A15" s="365">
        <v>1121</v>
      </c>
      <c r="B15" s="272" t="s">
        <v>508</v>
      </c>
      <c r="D15" s="307"/>
      <c r="E15" s="368">
        <v>0</v>
      </c>
      <c r="F15" s="367"/>
      <c r="G15" s="368">
        <v>0</v>
      </c>
      <c r="H15" s="329"/>
      <c r="I15" s="368">
        <v>0</v>
      </c>
      <c r="J15" s="367"/>
      <c r="K15" s="368">
        <v>0</v>
      </c>
      <c r="L15" s="329"/>
      <c r="M15" s="368">
        <v>0</v>
      </c>
      <c r="N15" s="367"/>
      <c r="O15" s="368">
        <v>0</v>
      </c>
      <c r="P15" s="329"/>
      <c r="Q15" s="368">
        <v>0</v>
      </c>
      <c r="R15" s="367"/>
      <c r="S15" s="368">
        <v>0</v>
      </c>
      <c r="T15" s="329"/>
      <c r="U15" s="294">
        <v>0</v>
      </c>
      <c r="V15" s="295"/>
    </row>
    <row r="16" spans="1:22">
      <c r="A16" s="365">
        <v>1122</v>
      </c>
      <c r="B16" s="272" t="s">
        <v>273</v>
      </c>
      <c r="D16" s="307"/>
      <c r="E16" s="368">
        <v>768432</v>
      </c>
      <c r="F16" s="367"/>
      <c r="G16" s="368">
        <v>768432</v>
      </c>
      <c r="H16" s="329"/>
      <c r="I16" s="368">
        <v>768431.67</v>
      </c>
      <c r="J16" s="367"/>
      <c r="K16" s="368">
        <v>0</v>
      </c>
      <c r="L16" s="329"/>
      <c r="M16" s="368">
        <v>0</v>
      </c>
      <c r="N16" s="367"/>
      <c r="O16" s="368">
        <v>0</v>
      </c>
      <c r="P16" s="329"/>
      <c r="Q16" s="368">
        <v>0</v>
      </c>
      <c r="R16" s="367"/>
      <c r="S16" s="368">
        <v>0</v>
      </c>
      <c r="T16" s="329"/>
      <c r="U16" s="294">
        <v>0</v>
      </c>
      <c r="V16" s="295"/>
    </row>
    <row r="17" spans="1:24">
      <c r="A17" s="365">
        <v>1124</v>
      </c>
      <c r="B17" s="272" t="s">
        <v>509</v>
      </c>
      <c r="D17" s="307"/>
      <c r="E17" s="368">
        <v>0</v>
      </c>
      <c r="F17" s="367"/>
      <c r="G17" s="368">
        <v>0</v>
      </c>
      <c r="H17" s="329"/>
      <c r="I17" s="368">
        <v>0</v>
      </c>
      <c r="J17" s="367"/>
      <c r="K17" s="368">
        <v>0</v>
      </c>
      <c r="L17" s="329"/>
      <c r="M17" s="368">
        <v>0</v>
      </c>
      <c r="N17" s="367"/>
      <c r="O17" s="368">
        <v>0</v>
      </c>
      <c r="P17" s="329"/>
      <c r="Q17" s="368">
        <v>0</v>
      </c>
      <c r="R17" s="367"/>
      <c r="S17" s="368">
        <v>0</v>
      </c>
      <c r="T17" s="329"/>
      <c r="U17" s="294">
        <v>0</v>
      </c>
      <c r="V17" s="295"/>
    </row>
    <row r="18" spans="1:24">
      <c r="A18" s="365" t="s">
        <v>474</v>
      </c>
      <c r="B18" s="272" t="s">
        <v>510</v>
      </c>
      <c r="D18" s="307"/>
      <c r="E18" s="368">
        <v>400000</v>
      </c>
      <c r="F18" s="367"/>
      <c r="G18" s="368">
        <v>400000</v>
      </c>
      <c r="H18" s="329"/>
      <c r="I18" s="368">
        <v>0</v>
      </c>
      <c r="J18" s="367"/>
      <c r="K18" s="368">
        <v>0</v>
      </c>
      <c r="L18" s="329"/>
      <c r="M18" s="368">
        <v>0</v>
      </c>
      <c r="N18" s="367"/>
      <c r="O18" s="368">
        <v>0</v>
      </c>
      <c r="P18" s="329"/>
      <c r="Q18" s="368">
        <v>0</v>
      </c>
      <c r="R18" s="367"/>
      <c r="S18" s="368">
        <v>0</v>
      </c>
      <c r="T18" s="329"/>
      <c r="U18" s="294">
        <v>0</v>
      </c>
      <c r="V18" s="295"/>
    </row>
    <row r="19" spans="1:24">
      <c r="A19" s="365">
        <v>1126</v>
      </c>
      <c r="B19" s="272" t="s">
        <v>511</v>
      </c>
      <c r="D19" s="307"/>
      <c r="E19" s="368">
        <v>3539064</v>
      </c>
      <c r="F19" s="367"/>
      <c r="G19" s="368">
        <v>3539064</v>
      </c>
      <c r="H19" s="329"/>
      <c r="I19" s="368">
        <v>0</v>
      </c>
      <c r="J19" s="367"/>
      <c r="K19" s="368">
        <v>0</v>
      </c>
      <c r="L19" s="329"/>
      <c r="M19" s="368">
        <v>0</v>
      </c>
      <c r="N19" s="367"/>
      <c r="O19" s="368">
        <v>0</v>
      </c>
      <c r="P19" s="329"/>
      <c r="Q19" s="368">
        <v>0</v>
      </c>
      <c r="R19" s="367"/>
      <c r="S19" s="368">
        <v>0</v>
      </c>
      <c r="T19" s="329"/>
      <c r="U19" s="294">
        <v>0</v>
      </c>
      <c r="V19" s="295"/>
    </row>
    <row r="20" spans="1:24">
      <c r="A20" s="365">
        <v>1128</v>
      </c>
      <c r="B20" s="272" t="s">
        <v>512</v>
      </c>
      <c r="D20" s="307"/>
      <c r="E20" s="368">
        <v>3178148</v>
      </c>
      <c r="F20" s="367"/>
      <c r="G20" s="368">
        <v>3178148</v>
      </c>
      <c r="H20" s="329"/>
      <c r="I20" s="368">
        <v>0</v>
      </c>
      <c r="J20" s="367"/>
      <c r="K20" s="368">
        <v>0</v>
      </c>
      <c r="L20" s="329"/>
      <c r="M20" s="368">
        <v>0</v>
      </c>
      <c r="N20" s="367"/>
      <c r="O20" s="368">
        <v>0</v>
      </c>
      <c r="P20" s="329"/>
      <c r="Q20" s="368">
        <v>0</v>
      </c>
      <c r="R20" s="367"/>
      <c r="S20" s="368">
        <v>0</v>
      </c>
      <c r="T20" s="329"/>
      <c r="U20" s="294">
        <v>0</v>
      </c>
      <c r="V20" s="295"/>
    </row>
    <row r="21" spans="1:24">
      <c r="A21" s="365">
        <v>1129</v>
      </c>
      <c r="B21" s="272" t="s">
        <v>513</v>
      </c>
      <c r="D21" s="307"/>
      <c r="E21" s="368">
        <v>400000</v>
      </c>
      <c r="F21" s="367"/>
      <c r="G21" s="368">
        <v>400000</v>
      </c>
      <c r="H21" s="329"/>
      <c r="I21" s="368">
        <v>0</v>
      </c>
      <c r="J21" s="367"/>
      <c r="K21" s="368">
        <v>0</v>
      </c>
      <c r="L21" s="329"/>
      <c r="M21" s="368">
        <v>0</v>
      </c>
      <c r="N21" s="367"/>
      <c r="O21" s="368">
        <v>0</v>
      </c>
      <c r="P21" s="329"/>
      <c r="Q21" s="368">
        <v>0</v>
      </c>
      <c r="R21" s="367"/>
      <c r="S21" s="368">
        <v>0</v>
      </c>
      <c r="T21" s="329"/>
      <c r="U21" s="294">
        <v>0</v>
      </c>
      <c r="V21" s="295"/>
    </row>
    <row r="22" spans="1:24">
      <c r="A22" s="365">
        <v>1130</v>
      </c>
      <c r="B22" s="272" t="s">
        <v>514</v>
      </c>
      <c r="D22" s="307"/>
      <c r="E22" s="368">
        <v>1000000</v>
      </c>
      <c r="F22" s="367"/>
      <c r="G22" s="368">
        <v>1000000</v>
      </c>
      <c r="H22" s="329"/>
      <c r="I22" s="368">
        <v>0</v>
      </c>
      <c r="J22" s="367"/>
      <c r="K22" s="368">
        <v>0</v>
      </c>
      <c r="L22" s="329"/>
      <c r="M22" s="368">
        <v>0</v>
      </c>
      <c r="N22" s="367"/>
      <c r="O22" s="368">
        <v>0</v>
      </c>
      <c r="P22" s="329"/>
      <c r="Q22" s="368">
        <v>0</v>
      </c>
      <c r="R22" s="367"/>
      <c r="S22" s="368">
        <v>0</v>
      </c>
      <c r="T22" s="329"/>
      <c r="U22" s="294">
        <v>0</v>
      </c>
      <c r="V22" s="295"/>
    </row>
    <row r="23" spans="1:24" hidden="1">
      <c r="A23" s="262"/>
      <c r="D23" s="307"/>
      <c r="E23" s="369"/>
      <c r="F23" s="367"/>
      <c r="G23" s="369"/>
      <c r="H23" s="329"/>
      <c r="I23" s="369"/>
      <c r="J23" s="367"/>
      <c r="K23" s="369">
        <v>0</v>
      </c>
      <c r="L23" s="329"/>
      <c r="M23" s="369">
        <v>0</v>
      </c>
      <c r="N23" s="367"/>
      <c r="O23" s="369">
        <v>0</v>
      </c>
      <c r="P23" s="329"/>
      <c r="Q23" s="369">
        <v>0</v>
      </c>
      <c r="R23" s="367"/>
      <c r="S23" s="369">
        <v>0</v>
      </c>
      <c r="T23" s="329"/>
      <c r="U23" s="314">
        <v>0</v>
      </c>
      <c r="V23" s="304"/>
    </row>
    <row r="24" spans="1:24" s="271" customFormat="1">
      <c r="A24" s="344"/>
      <c r="B24" s="299" t="s">
        <v>135</v>
      </c>
      <c r="D24" s="315"/>
      <c r="E24" s="316">
        <f>SUM(E14:E23)</f>
        <v>9815906</v>
      </c>
      <c r="F24" s="370"/>
      <c r="G24" s="316">
        <f>SUM(G14:G23)</f>
        <v>9787885</v>
      </c>
      <c r="H24" s="370"/>
      <c r="I24" s="316">
        <f>SUM(I14:I23)</f>
        <v>768431.67</v>
      </c>
      <c r="J24" s="370"/>
      <c r="K24" s="316">
        <f>SUM(K14:K23)</f>
        <v>0</v>
      </c>
      <c r="L24" s="370"/>
      <c r="M24" s="316">
        <f>SUM(M14:M23)</f>
        <v>0</v>
      </c>
      <c r="N24" s="370"/>
      <c r="O24" s="316">
        <f>SUM(O14:O23)</f>
        <v>0</v>
      </c>
      <c r="P24" s="370"/>
      <c r="Q24" s="316">
        <f>SUM(Q14:Q23)</f>
        <v>0</v>
      </c>
      <c r="R24" s="370"/>
      <c r="S24" s="316">
        <f>SUM(S14:S23)</f>
        <v>0</v>
      </c>
      <c r="T24" s="370"/>
      <c r="U24" s="316">
        <f>SUM(U14:U23)</f>
        <v>0</v>
      </c>
      <c r="V24" s="302"/>
    </row>
    <row r="25" spans="1:24">
      <c r="A25" s="262"/>
      <c r="E25" s="329"/>
      <c r="G25" s="329"/>
      <c r="H25" s="329"/>
      <c r="I25" s="329"/>
      <c r="K25" s="329"/>
      <c r="L25" s="329"/>
      <c r="M25" s="329"/>
      <c r="O25" s="329"/>
      <c r="P25" s="329"/>
      <c r="Q25" s="329"/>
      <c r="S25" s="329"/>
      <c r="T25" s="329"/>
      <c r="U25" s="329"/>
      <c r="V25" s="304"/>
    </row>
    <row r="26" spans="1:24">
      <c r="A26" s="262"/>
      <c r="E26" s="329"/>
      <c r="G26" s="329"/>
      <c r="H26" s="329"/>
      <c r="I26" s="329"/>
      <c r="K26" s="329"/>
      <c r="L26" s="329"/>
      <c r="M26" s="329"/>
      <c r="O26" s="329"/>
      <c r="P26" s="329"/>
      <c r="Q26" s="329"/>
      <c r="S26" s="329"/>
      <c r="T26" s="329"/>
      <c r="U26" s="329"/>
      <c r="V26" s="304"/>
    </row>
    <row r="27" spans="1:24">
      <c r="A27" s="262"/>
      <c r="B27" s="292" t="s">
        <v>29</v>
      </c>
      <c r="E27" s="329"/>
      <c r="G27" s="329"/>
      <c r="H27" s="329"/>
      <c r="I27" s="329"/>
      <c r="K27" s="329"/>
      <c r="L27" s="329"/>
      <c r="M27" s="329"/>
      <c r="O27" s="329"/>
      <c r="P27" s="329"/>
      <c r="Q27" s="329"/>
      <c r="S27" s="329"/>
      <c r="T27" s="329"/>
      <c r="U27" s="320"/>
      <c r="V27" s="304"/>
    </row>
    <row r="28" spans="1:24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29"/>
      <c r="X28" s="320"/>
    </row>
    <row r="29" spans="1:24">
      <c r="A29" s="262" t="s">
        <v>502</v>
      </c>
      <c r="B29" s="272" t="s">
        <v>483</v>
      </c>
      <c r="C29" s="272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29"/>
      <c r="X29" s="371"/>
    </row>
    <row r="30" spans="1:24">
      <c r="A30" s="262" t="s">
        <v>497</v>
      </c>
      <c r="B30" s="272" t="s">
        <v>410</v>
      </c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71"/>
      <c r="W30" s="329"/>
      <c r="X30" s="371"/>
    </row>
    <row r="31" spans="1:24">
      <c r="A31" s="262" t="s">
        <v>500</v>
      </c>
      <c r="B31" s="272" t="s">
        <v>515</v>
      </c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4">
      <c r="A32" s="262" t="s">
        <v>412</v>
      </c>
      <c r="B32" s="272" t="s">
        <v>516</v>
      </c>
      <c r="C32" s="272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1"/>
      <c r="G33" s="316">
        <f>SUM(G28:G32)</f>
        <v>729931</v>
      </c>
      <c r="H33" s="372"/>
      <c r="I33" s="316">
        <f>SUM(I28:I32)</f>
        <v>9345798</v>
      </c>
      <c r="J33" s="271"/>
      <c r="K33" s="316">
        <f>SUM(K28:K32)</f>
        <v>10789</v>
      </c>
      <c r="L33" s="372"/>
      <c r="M33" s="316">
        <f>SUM(M28:M32)</f>
        <v>-543958</v>
      </c>
      <c r="N33" s="271"/>
      <c r="O33" s="316">
        <f>SUM(O28:O32)</f>
        <v>173361</v>
      </c>
      <c r="P33" s="372"/>
      <c r="Q33" s="316">
        <f>SUM(Q28:Q32)</f>
        <v>-134834</v>
      </c>
      <c r="R33" s="271"/>
      <c r="S33" s="316">
        <f>SUM(S28:S32)</f>
        <v>322611.81</v>
      </c>
      <c r="T33" s="372"/>
      <c r="U33" s="316">
        <f>SUM(U28:U32)</f>
        <v>-403658.39999999997</v>
      </c>
      <c r="V33" s="321"/>
    </row>
    <row r="34" spans="1:22">
      <c r="A34" s="262"/>
    </row>
    <row r="35" spans="1:22" ht="15.75" thickBot="1">
      <c r="A35" s="361" t="s">
        <v>413</v>
      </c>
      <c r="B35" s="271" t="s">
        <v>505</v>
      </c>
      <c r="E35" s="326">
        <f>+E33+E24+E11</f>
        <v>14436288</v>
      </c>
      <c r="F35" s="271"/>
      <c r="G35" s="326">
        <f>+G33+G24+G11</f>
        <v>15679733</v>
      </c>
      <c r="H35" s="271"/>
      <c r="I35" s="326">
        <f>+I33+I24+I11</f>
        <v>16946252.670000002</v>
      </c>
      <c r="J35" s="271"/>
      <c r="K35" s="326">
        <f>+K33+K24+K11</f>
        <v>11113</v>
      </c>
      <c r="L35" s="271"/>
      <c r="M35" s="326">
        <f>+M33+M24+M11</f>
        <v>-543958</v>
      </c>
      <c r="N35" s="271"/>
      <c r="O35" s="326">
        <f>+O33+O24+O11</f>
        <v>176455</v>
      </c>
      <c r="P35" s="271"/>
      <c r="Q35" s="326">
        <f>+Q33+Q24+Q11</f>
        <v>-134834</v>
      </c>
      <c r="R35" s="271"/>
      <c r="S35" s="326">
        <f>+S33+S24+S11</f>
        <v>328284.78999999998</v>
      </c>
      <c r="T35" s="271"/>
      <c r="U35" s="326">
        <f>+U33+U24+U11</f>
        <v>-403658.39999999997</v>
      </c>
      <c r="V35" s="321"/>
    </row>
    <row r="36" spans="1:22" ht="15.75" thickTop="1">
      <c r="A36" s="361" t="s">
        <v>414</v>
      </c>
      <c r="B36" s="271"/>
      <c r="E36" s="321"/>
      <c r="G36" s="321"/>
      <c r="I36" s="321"/>
      <c r="K36" s="321"/>
      <c r="M36" s="321"/>
      <c r="O36" s="321"/>
      <c r="Q36" s="321"/>
      <c r="S36" s="321"/>
      <c r="U36" s="321"/>
      <c r="V36" s="321"/>
    </row>
    <row r="37" spans="1:22">
      <c r="A37" s="361" t="s">
        <v>415</v>
      </c>
      <c r="B37" s="271" t="s">
        <v>517</v>
      </c>
      <c r="E37" s="320">
        <v>5818839</v>
      </c>
      <c r="G37" s="320">
        <v>5596115</v>
      </c>
      <c r="I37" s="320">
        <v>5280002</v>
      </c>
      <c r="K37" s="320"/>
      <c r="M37" s="320"/>
      <c r="O37" s="320"/>
      <c r="Q37" s="320"/>
      <c r="S37" s="320"/>
      <c r="U37" s="321"/>
      <c r="V37" s="321"/>
    </row>
    <row r="38" spans="1:22">
      <c r="B38" s="271" t="s">
        <v>518</v>
      </c>
      <c r="E38" s="321">
        <v>4000000</v>
      </c>
      <c r="G38" s="321">
        <v>4000000</v>
      </c>
      <c r="I38" s="321">
        <v>4000000</v>
      </c>
      <c r="K38" s="321"/>
      <c r="M38" s="321"/>
      <c r="O38" s="321"/>
      <c r="Q38" s="321"/>
      <c r="S38" s="321"/>
      <c r="U38" s="321"/>
      <c r="V38" s="321"/>
    </row>
    <row r="39" spans="1:22" s="251" customFormat="1" ht="12">
      <c r="G39" s="257"/>
      <c r="I39" s="373"/>
      <c r="J39" s="374"/>
    </row>
    <row r="40" spans="1:22" s="251" customFormat="1" ht="12">
      <c r="B40" s="251" t="s">
        <v>506</v>
      </c>
      <c r="G40" s="261"/>
      <c r="J40" s="374"/>
    </row>
    <row r="41" spans="1:22" s="251" customFormat="1" ht="12">
      <c r="B41" s="251" t="s">
        <v>499</v>
      </c>
      <c r="G41" s="267"/>
      <c r="M41" s="263"/>
      <c r="O41" s="375"/>
    </row>
    <row r="42" spans="1:22" s="251" customFormat="1" ht="12">
      <c r="B42" s="251" t="s">
        <v>519</v>
      </c>
      <c r="L42" s="251">
        <v>22.22</v>
      </c>
      <c r="Q42" s="269"/>
    </row>
    <row r="45" spans="1:22">
      <c r="B45" s="271"/>
      <c r="G45" s="329"/>
      <c r="O45" s="294"/>
      <c r="P45" s="294"/>
      <c r="Q45" s="294"/>
    </row>
    <row r="46" spans="1:22">
      <c r="D46" s="285"/>
    </row>
    <row r="47" spans="1:22" s="330" customFormat="1">
      <c r="A47" s="270"/>
      <c r="B47" s="330" t="s">
        <v>105</v>
      </c>
    </row>
    <row r="48" spans="1:22">
      <c r="B48" s="271" t="s">
        <v>106</v>
      </c>
      <c r="G48" s="329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28"/>
      <c r="M51" s="320"/>
      <c r="N51" s="328"/>
      <c r="O51" s="320"/>
      <c r="P51" s="328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28"/>
      <c r="M52" s="320"/>
      <c r="N52" s="328"/>
      <c r="O52" s="320">
        <f>+O28+O29</f>
        <v>173361</v>
      </c>
      <c r="P52" s="328"/>
      <c r="Q52" s="320"/>
      <c r="S52" s="272" t="s">
        <v>440</v>
      </c>
      <c r="V52" s="333">
        <v>150640</v>
      </c>
    </row>
    <row r="53" spans="9:27">
      <c r="K53" s="320"/>
      <c r="L53" s="328"/>
      <c r="M53" s="320"/>
      <c r="N53" s="328"/>
      <c r="O53" s="320"/>
      <c r="P53" s="328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272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</row>
    <row r="60" spans="9:27">
      <c r="I60" s="272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V60" s="376"/>
    </row>
    <row r="61" spans="9:27">
      <c r="K61" s="343"/>
      <c r="O61" s="343"/>
    </row>
    <row r="63" spans="9:27">
      <c r="AA63" s="272" t="s">
        <v>484</v>
      </c>
    </row>
    <row r="72" spans="11:15">
      <c r="K72" s="272">
        <v>12494.53</v>
      </c>
      <c r="O72" s="272">
        <v>-494428.15</v>
      </c>
    </row>
    <row r="73" spans="11:15">
      <c r="K73" s="272">
        <v>431960.18</v>
      </c>
      <c r="O73" s="272">
        <v>839538.06</v>
      </c>
    </row>
    <row r="74" spans="11:15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tabColor rgb="FFFFFF00"/>
    <pageSetUpPr fitToPage="1"/>
  </sheetPr>
  <dimension ref="A1:AA74"/>
  <sheetViews>
    <sheetView showGridLines="0" zoomScaleNormal="100" workbookViewId="0">
      <selection activeCell="O28" sqref="O28:Q31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7" t="s">
        <v>0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271"/>
    </row>
    <row r="2" spans="1:22" ht="15.75" thickBot="1">
      <c r="B2" s="438" t="s">
        <v>523</v>
      </c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9" t="s">
        <v>522</v>
      </c>
      <c r="F4" s="439"/>
      <c r="G4" s="439"/>
      <c r="H4" s="439"/>
      <c r="I4" s="439"/>
      <c r="J4" s="275"/>
      <c r="K4" s="439" t="s">
        <v>80</v>
      </c>
      <c r="L4" s="439"/>
      <c r="M4" s="439"/>
      <c r="N4" s="439"/>
      <c r="O4" s="439"/>
      <c r="P4" s="439"/>
      <c r="Q4" s="439"/>
      <c r="R4" s="439"/>
      <c r="S4" s="439"/>
      <c r="T4" s="439"/>
      <c r="U4" s="439"/>
      <c r="V4" s="271"/>
    </row>
    <row r="5" spans="1:22" ht="15.75" thickBot="1">
      <c r="A5" s="260"/>
      <c r="B5" s="345">
        <v>42400</v>
      </c>
      <c r="C5" s="271"/>
      <c r="D5" s="271"/>
      <c r="E5" s="274"/>
      <c r="F5" s="274"/>
      <c r="G5" s="274"/>
      <c r="H5" s="276"/>
      <c r="I5" s="274"/>
      <c r="J5" s="276"/>
      <c r="K5" s="440" t="s">
        <v>81</v>
      </c>
      <c r="L5" s="440"/>
      <c r="M5" s="440"/>
      <c r="N5" s="277"/>
      <c r="O5" s="440" t="s">
        <v>82</v>
      </c>
      <c r="P5" s="440"/>
      <c r="Q5" s="440"/>
      <c r="R5" s="277"/>
      <c r="S5" s="440" t="s">
        <v>166</v>
      </c>
      <c r="T5" s="440"/>
      <c r="U5" s="440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524</v>
      </c>
      <c r="F6" s="279"/>
      <c r="G6" s="278" t="s">
        <v>525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1978202</v>
      </c>
      <c r="F9" s="287"/>
      <c r="G9" s="293">
        <f>5161917-1407418</f>
        <v>3754499</v>
      </c>
      <c r="H9" s="288"/>
      <c r="I9" s="293">
        <v>1932042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287"/>
      <c r="G10" s="297">
        <v>1407418</v>
      </c>
      <c r="H10" s="288"/>
      <c r="I10" s="297">
        <v>4899981</v>
      </c>
      <c r="J10" s="287"/>
      <c r="K10" s="297">
        <v>324</v>
      </c>
      <c r="L10" s="288"/>
      <c r="M10" s="297">
        <v>0</v>
      </c>
      <c r="N10" s="287"/>
      <c r="O10" s="297">
        <v>3094</v>
      </c>
      <c r="P10" s="288"/>
      <c r="Q10" s="297">
        <v>0</v>
      </c>
      <c r="R10" s="287"/>
      <c r="S10" s="297">
        <v>5672.98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3385303</v>
      </c>
      <c r="F11" s="279"/>
      <c r="G11" s="301">
        <f>SUM(G9:G10)</f>
        <v>5161917</v>
      </c>
      <c r="H11" s="276"/>
      <c r="I11" s="301">
        <f>SUM(I9:I10)</f>
        <v>6832023</v>
      </c>
      <c r="J11" s="279"/>
      <c r="K11" s="301">
        <f>SUM(K9:K10)</f>
        <v>324</v>
      </c>
      <c r="L11" s="276"/>
      <c r="M11" s="301">
        <f>SUM(M9:M10)</f>
        <v>0</v>
      </c>
      <c r="N11" s="279"/>
      <c r="O11" s="301">
        <f>SUM(O9:O10)</f>
        <v>3094</v>
      </c>
      <c r="P11" s="276"/>
      <c r="Q11" s="301">
        <f>SUM(Q9:Q10)</f>
        <v>0</v>
      </c>
      <c r="R11" s="279"/>
      <c r="S11" s="301">
        <f>SUM(S9:S10)</f>
        <v>5672.98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530262</v>
      </c>
      <c r="F14" s="309"/>
      <c r="G14" s="308">
        <v>502241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9815906</v>
      </c>
      <c r="F24" s="317"/>
      <c r="G24" s="316">
        <f>SUM(G14:G23)</f>
        <v>9787885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4"/>
      <c r="G33" s="316">
        <f>SUM(G28:G32)</f>
        <v>729931</v>
      </c>
      <c r="H33" s="325"/>
      <c r="I33" s="316">
        <f>SUM(I28:I32)</f>
        <v>9345798</v>
      </c>
      <c r="J33" s="274"/>
      <c r="K33" s="316">
        <f>SUM(K28:K32)</f>
        <v>10789</v>
      </c>
      <c r="L33" s="325"/>
      <c r="M33" s="316">
        <f>SUM(M28:M32)</f>
        <v>-543958</v>
      </c>
      <c r="N33" s="274"/>
      <c r="O33" s="316">
        <f>SUM(O28:O32)</f>
        <v>173361</v>
      </c>
      <c r="P33" s="325"/>
      <c r="Q33" s="316">
        <f>SUM(Q28:Q32)</f>
        <v>-134834</v>
      </c>
      <c r="R33" s="274"/>
      <c r="S33" s="316">
        <f>SUM(S28:S32)</f>
        <v>322611.81</v>
      </c>
      <c r="T33" s="325"/>
      <c r="U33" s="316">
        <f>SUM(U28:U32)</f>
        <v>-403658.39999999997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14436288</v>
      </c>
      <c r="F35" s="274"/>
      <c r="G35" s="326">
        <f>+G33+G24+G11</f>
        <v>15679733</v>
      </c>
      <c r="H35" s="276"/>
      <c r="I35" s="326">
        <f>+I33+I24+I11</f>
        <v>16946252.670000002</v>
      </c>
      <c r="J35" s="274"/>
      <c r="K35" s="326">
        <f>+K33+K24+K11</f>
        <v>11113</v>
      </c>
      <c r="L35" s="276"/>
      <c r="M35" s="326">
        <f>+M33+M24+M11</f>
        <v>-543958</v>
      </c>
      <c r="N35" s="274"/>
      <c r="O35" s="326">
        <f>+O33+O24+O11</f>
        <v>176455</v>
      </c>
      <c r="P35" s="276"/>
      <c r="Q35" s="326">
        <f>+Q33+Q24+Q11</f>
        <v>-134834</v>
      </c>
      <c r="R35" s="274"/>
      <c r="S35" s="326">
        <f>+S33+S24+S11</f>
        <v>328284.78999999998</v>
      </c>
      <c r="T35" s="276"/>
      <c r="U35" s="326">
        <f>+U33+U24+U11</f>
        <v>-403658.39999999997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5818839</v>
      </c>
      <c r="F37" s="305"/>
      <c r="G37" s="320">
        <v>5596115</v>
      </c>
      <c r="H37" s="288"/>
      <c r="I37" s="320">
        <v>5280002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35"/>
      <c r="M52" s="320"/>
      <c r="N52" s="335"/>
      <c r="O52" s="320">
        <f>+O28+O29</f>
        <v>173361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tabColor rgb="FFFFFF00"/>
    <pageSetUpPr fitToPage="1"/>
  </sheetPr>
  <dimension ref="A1:AD70"/>
  <sheetViews>
    <sheetView showGridLines="0" zoomScale="115" zoomScaleNormal="115" workbookViewId="0">
      <selection activeCell="T29" sqref="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443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42090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461</v>
      </c>
      <c r="H6" s="102"/>
      <c r="I6" s="80" t="s">
        <v>462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1932042</v>
      </c>
      <c r="H9" s="102"/>
      <c r="I9" s="103">
        <v>1275060</v>
      </c>
      <c r="J9" s="92"/>
      <c r="K9" s="92"/>
      <c r="L9" s="103">
        <v>3089765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2.3832779162142952E-4</v>
      </c>
      <c r="F10" s="111"/>
      <c r="G10" s="111">
        <v>4899981</v>
      </c>
      <c r="H10" s="102"/>
      <c r="I10" s="111">
        <v>4901142</v>
      </c>
      <c r="J10" s="92"/>
      <c r="K10" s="92"/>
      <c r="L10" s="111">
        <v>2393139</v>
      </c>
      <c r="M10" s="92"/>
      <c r="N10" s="56">
        <v>1167.94</v>
      </c>
      <c r="O10" s="92"/>
      <c r="P10" s="72"/>
      <c r="Q10" s="42"/>
      <c r="R10" s="56">
        <f>524.79+429.74+417.13+1056.65+960.85+845.17+738.54+700.11+1167.94</f>
        <v>6840.92</v>
      </c>
      <c r="S10" s="92"/>
      <c r="T10" s="72"/>
      <c r="U10" s="86"/>
      <c r="V10" s="56">
        <f>122.81+92.66+75.16+82.95+124.34+114.9+189.45+249.09+295.01</f>
        <v>1346.37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6832023</v>
      </c>
      <c r="H11" s="102"/>
      <c r="I11" s="103">
        <f>SUM(I9:I10)</f>
        <v>6176202</v>
      </c>
      <c r="J11" s="92"/>
      <c r="K11" s="92"/>
      <c r="L11" s="103">
        <f>SUM(L9:L10)</f>
        <v>5482904</v>
      </c>
      <c r="M11" s="92"/>
      <c r="N11" s="120">
        <f>SUM(N9:N10)</f>
        <v>1167.94</v>
      </c>
      <c r="O11" s="92"/>
      <c r="P11" s="120">
        <f>SUM(P9:P10)</f>
        <v>0</v>
      </c>
      <c r="Q11" s="85"/>
      <c r="R11" s="120">
        <f>SUM(R9:R10)</f>
        <v>6840.92</v>
      </c>
      <c r="S11" s="92"/>
      <c r="T11" s="120">
        <f>SUM(T9:T10)</f>
        <v>0</v>
      </c>
      <c r="U11" s="120"/>
      <c r="V11" s="120">
        <f>SUM(V9:V10)</f>
        <v>1346.37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451533</v>
      </c>
      <c r="H29" s="29"/>
      <c r="I29" s="115">
        <v>452804</v>
      </c>
      <c r="J29" s="40"/>
      <c r="K29" s="40"/>
      <c r="L29" s="115">
        <v>118764</v>
      </c>
      <c r="M29" s="129"/>
      <c r="N29" s="115">
        <v>1270.49</v>
      </c>
      <c r="O29" s="40"/>
      <c r="P29" s="115">
        <v>1758.37</v>
      </c>
      <c r="Q29" s="40"/>
      <c r="R29" s="115">
        <f>605.67+700.58+269.74+1524.05+707.59+1794.19+495.33+472.94+1270.49</f>
        <v>7840.579999999999</v>
      </c>
      <c r="S29" s="40"/>
      <c r="T29" s="115">
        <f>2757.28+3687.51-132.48-35192.03+879.09-35749.95+32802.2+10290.75+1758.37</f>
        <v>-18899.259999999998</v>
      </c>
      <c r="U29" s="120"/>
      <c r="V29" s="115">
        <f>211.25+181.67+235.23+320.73+127.74+871.1+134.54+125+281.84</f>
        <v>2489.1</v>
      </c>
      <c r="W29" s="40" t="s">
        <v>31</v>
      </c>
      <c r="X29" s="115">
        <f>5251.69-591.9+4817.97+6393.84+669.71+658.3+9728.51-1757.37-3008.82</f>
        <v>22161.930000000004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8159983</v>
      </c>
      <c r="H31" s="29"/>
      <c r="I31" s="152">
        <v>8177627</v>
      </c>
      <c r="J31" s="40"/>
      <c r="K31" s="40"/>
      <c r="L31" s="152">
        <v>7805695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</f>
        <v>176524.66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1297359</v>
      </c>
      <c r="H32" s="29"/>
      <c r="I32" s="45">
        <v>1343672</v>
      </c>
      <c r="J32" s="40"/>
      <c r="K32" s="40"/>
      <c r="L32" s="45">
        <v>1870784</v>
      </c>
      <c r="M32" s="129"/>
      <c r="N32" s="38">
        <v>17644.810000000001</v>
      </c>
      <c r="O32" s="40"/>
      <c r="P32" s="45">
        <v>44293.89</v>
      </c>
      <c r="Q32" s="40"/>
      <c r="R32" s="38">
        <f>14407.65+12700+11093.63+14242.33+9968.34+233086.5+10878.48+9664.79+17644.81</f>
        <v>333686.52999999997</v>
      </c>
      <c r="S32" s="40"/>
      <c r="T32" s="45">
        <f>177898.63-21589.41+392.03-621870.64+72027.45-716987.32+537118.05+215632.18+44293.89</f>
        <v>-313085.13999999996</v>
      </c>
      <c r="U32" s="119"/>
      <c r="V32" s="38"/>
      <c r="W32" s="40"/>
      <c r="X32" s="45">
        <f>190411.34+42151.07+153701.85+156770.59+97077.67+17948.36+436954.69-310528.45-117502.72</f>
        <v>666984.40000000014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260.14999999999998</v>
      </c>
      <c r="Q33" s="181"/>
      <c r="R33" s="180"/>
      <c r="S33" s="181"/>
      <c r="T33" s="194">
        <f>-8915.26+282.55+284.39-9126.3+284.73+265.08-7909.74-787.19+260.15</f>
        <v>-25361.59</v>
      </c>
      <c r="U33" s="182"/>
      <c r="V33" s="180"/>
      <c r="W33" s="181"/>
      <c r="X33" s="194">
        <f>-8274.97-683.39+330.76-8056.18-789.61+264.5-8379.94-1099.74-325.02</f>
        <v>-27013.590000000004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9345798</v>
      </c>
      <c r="H35" s="29"/>
      <c r="I35" s="116">
        <f>SUM(I29:I34)</f>
        <v>9411026</v>
      </c>
      <c r="J35" s="40"/>
      <c r="K35" s="40"/>
      <c r="L35" s="116">
        <f>SUM(L29:L34)</f>
        <v>9232166</v>
      </c>
      <c r="M35" s="129"/>
      <c r="N35" s="116">
        <f>SUM(N29:N34)</f>
        <v>18915.300000000003</v>
      </c>
      <c r="O35" s="40"/>
      <c r="P35" s="116">
        <f>SUM(P29:P34)</f>
        <v>46312.41</v>
      </c>
      <c r="Q35" s="40"/>
      <c r="R35" s="116">
        <f>SUM(R29:R34)</f>
        <v>341527.11</v>
      </c>
      <c r="S35" s="40"/>
      <c r="T35" s="116">
        <f>SUM(T29:T34)</f>
        <v>-357345.99</v>
      </c>
      <c r="U35" s="120"/>
      <c r="V35" s="116">
        <f>SUM(V29:V34)</f>
        <v>179013.76000000001</v>
      </c>
      <c r="W35" s="40"/>
      <c r="X35" s="116">
        <f>SUM(X29:X34)</f>
        <v>662132.74000000022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16946252.649999999</v>
      </c>
      <c r="H37" s="29"/>
      <c r="I37" s="107">
        <f>+I35+I25+I19+I11</f>
        <v>16355659.65</v>
      </c>
      <c r="J37" s="92"/>
      <c r="K37" s="92"/>
      <c r="L37" s="107">
        <f>+L35+L25+L19+L11</f>
        <v>15483501.65</v>
      </c>
      <c r="M37" s="129"/>
      <c r="N37" s="107">
        <f>+N35+N25+N19+N11</f>
        <v>20083.240000000002</v>
      </c>
      <c r="O37" s="92"/>
      <c r="P37" s="107">
        <f>+P35+P25+P19+P11</f>
        <v>46312.41</v>
      </c>
      <c r="Q37" s="92"/>
      <c r="R37" s="107">
        <f>+R35+R25+R19+R11</f>
        <v>348368.02999999997</v>
      </c>
      <c r="S37" s="92"/>
      <c r="T37" s="107">
        <f>+T35+T25+T19+T11</f>
        <v>-357345.99</v>
      </c>
      <c r="U37" s="120"/>
      <c r="V37" s="107">
        <f>+V35+V25+V19+V11</f>
        <v>180360.13</v>
      </c>
      <c r="W37" s="92"/>
      <c r="X37" s="107">
        <f>+X35+X25+X19+X11</f>
        <v>662132.74000000022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5280002</v>
      </c>
      <c r="H39" s="29"/>
      <c r="I39" s="175">
        <v>5329180</v>
      </c>
      <c r="J39" s="92"/>
      <c r="K39" s="92"/>
      <c r="L39" s="175">
        <v>5227650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1167.94</v>
      </c>
      <c r="O53" s="205"/>
      <c r="P53" s="204"/>
      <c r="Q53" s="205"/>
      <c r="R53" s="204">
        <f>+R10</f>
        <v>6840.92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18915.300000000003</v>
      </c>
      <c r="O56" s="207"/>
      <c r="P56" s="206"/>
      <c r="Q56" s="207"/>
      <c r="R56" s="206">
        <f>+R35</f>
        <v>341527.11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46312.41</v>
      </c>
      <c r="Q58" s="205"/>
      <c r="R58" s="204"/>
      <c r="S58" s="205"/>
      <c r="T58" s="204">
        <f>+T37</f>
        <v>-357345.99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20083.240000000002</v>
      </c>
      <c r="O61" s="205"/>
      <c r="P61" s="208">
        <f>SUM(P53:P60)</f>
        <v>46312.41</v>
      </c>
      <c r="Q61" s="205"/>
      <c r="R61" s="208">
        <f>SUM(R53:R60)</f>
        <v>348368.02999999997</v>
      </c>
      <c r="S61" s="204"/>
      <c r="T61" s="208">
        <f>SUM(T53:T60)</f>
        <v>-357345.99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19861</v>
      </c>
      <c r="O63" s="205"/>
      <c r="P63" s="205">
        <v>46312</v>
      </c>
      <c r="Q63" s="205"/>
      <c r="R63" s="205">
        <v>374813</v>
      </c>
      <c r="S63" s="205"/>
      <c r="T63" s="205">
        <v>-357346</v>
      </c>
    </row>
    <row r="64" spans="2:23">
      <c r="L64" s="43" t="s">
        <v>388</v>
      </c>
      <c r="N64" s="209">
        <f>+N63-N61</f>
        <v>-222.2400000000016</v>
      </c>
      <c r="O64" s="209"/>
      <c r="P64" s="209">
        <f>+P63-P61</f>
        <v>-0.41000000000349246</v>
      </c>
      <c r="Q64" s="209"/>
      <c r="R64" s="209">
        <f>+R63-R61</f>
        <v>26444.97000000003</v>
      </c>
      <c r="S64" s="209"/>
      <c r="T64" s="209">
        <f>+T63-T61</f>
        <v>-1.0000000009313226E-2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March 2019 </oddFooter>
  </headerFooter>
  <legacy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tabColor rgb="FFFFFF00"/>
    <pageSetUpPr fitToPage="1"/>
  </sheetPr>
  <dimension ref="A1:AD70"/>
  <sheetViews>
    <sheetView showGridLines="0" zoomScale="130" zoomScaleNormal="130" workbookViewId="0">
      <selection activeCell="N43" sqref="N4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443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42121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463</v>
      </c>
      <c r="H6" s="102"/>
      <c r="I6" s="80" t="s">
        <v>464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1275060</v>
      </c>
      <c r="H9" s="102"/>
      <c r="I9" s="103">
        <v>1029109</v>
      </c>
      <c r="J9" s="92"/>
      <c r="K9" s="92"/>
      <c r="L9" s="103">
        <v>2942707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2.629818578260196E-4</v>
      </c>
      <c r="F10" s="111"/>
      <c r="G10" s="111">
        <v>4901142</v>
      </c>
      <c r="H10" s="102"/>
      <c r="I10" s="111">
        <v>4902424</v>
      </c>
      <c r="J10" s="92"/>
      <c r="K10" s="92"/>
      <c r="L10" s="111">
        <v>2393496</v>
      </c>
      <c r="M10" s="92"/>
      <c r="N10" s="56">
        <v>1289.08</v>
      </c>
      <c r="O10" s="92"/>
      <c r="P10" s="72"/>
      <c r="Q10" s="42"/>
      <c r="R10" s="56">
        <f>524.79+429.74+417.13+1056.65+960.85+845.17+738.54+700.11+1167.94+1289.08</f>
        <v>8130</v>
      </c>
      <c r="S10" s="92"/>
      <c r="T10" s="72"/>
      <c r="U10" s="86"/>
      <c r="V10" s="56">
        <f>122.81+92.66+75.16+82.95+124.34+114.9+189.45+249.09+295.01+363.9</f>
        <v>1710.27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6176202</v>
      </c>
      <c r="H11" s="102"/>
      <c r="I11" s="103">
        <f>SUM(I9:I10)</f>
        <v>5931533</v>
      </c>
      <c r="J11" s="92"/>
      <c r="K11" s="92"/>
      <c r="L11" s="103">
        <f>SUM(L9:L10)</f>
        <v>5336203</v>
      </c>
      <c r="M11" s="92"/>
      <c r="N11" s="120">
        <f>SUM(N9:N10)</f>
        <v>1289.08</v>
      </c>
      <c r="O11" s="92"/>
      <c r="P11" s="120">
        <f>SUM(P9:P10)</f>
        <v>0</v>
      </c>
      <c r="Q11" s="85"/>
      <c r="R11" s="120">
        <f>SUM(R9:R10)</f>
        <v>8130</v>
      </c>
      <c r="S11" s="92"/>
      <c r="T11" s="120">
        <f>SUM(T9:T10)</f>
        <v>0</v>
      </c>
      <c r="U11" s="120"/>
      <c r="V11" s="120">
        <f>SUM(V9:V10)</f>
        <v>1710.27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452804</v>
      </c>
      <c r="H29" s="29"/>
      <c r="I29" s="115">
        <v>453580</v>
      </c>
      <c r="J29" s="40"/>
      <c r="K29" s="40"/>
      <c r="L29" s="115">
        <v>119211</v>
      </c>
      <c r="M29" s="129"/>
      <c r="N29" s="115">
        <v>776.47</v>
      </c>
      <c r="O29" s="40"/>
      <c r="P29" s="115">
        <v>11197.93</v>
      </c>
      <c r="Q29" s="40"/>
      <c r="R29" s="115">
        <f>605.67+700.58+269.74+1524.05+707.59+1794.19+495.33+472.94+1270.49+776.47</f>
        <v>8617.0499999999993</v>
      </c>
      <c r="S29" s="40"/>
      <c r="T29" s="115">
        <f>2757.28+3687.51-132.48-35192.03+879.09-35749.95+32802.2+10290.75+1758.37+11197.93</f>
        <v>-7701.3299999999981</v>
      </c>
      <c r="U29" s="120"/>
      <c r="V29" s="115">
        <f>211.25+181.67+235.23+320.73+127.74+871.1+134.54+125+281.84+446.83</f>
        <v>2935.93</v>
      </c>
      <c r="W29" s="40" t="s">
        <v>31</v>
      </c>
      <c r="X29" s="115">
        <f>5251.69-591.9+4817.97+6393.84+669.71+658.3+9728.51-1757.37-3008.82-68.68</f>
        <v>22093.250000000004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8177627</v>
      </c>
      <c r="H31" s="29"/>
      <c r="I31" s="152">
        <v>8190258</v>
      </c>
      <c r="J31" s="40"/>
      <c r="K31" s="40"/>
      <c r="L31" s="152">
        <v>7823359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</f>
        <v>194187.94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1343672</v>
      </c>
      <c r="H32" s="29"/>
      <c r="I32" s="45">
        <v>1699686</v>
      </c>
      <c r="J32" s="40"/>
      <c r="K32" s="40"/>
      <c r="L32" s="45">
        <v>1837709</v>
      </c>
      <c r="M32" s="129"/>
      <c r="N32" s="38">
        <v>12630.22</v>
      </c>
      <c r="O32" s="40"/>
      <c r="P32" s="45">
        <v>354657.9</v>
      </c>
      <c r="Q32" s="40"/>
      <c r="R32" s="38">
        <f>14407.65+12700+11093.63+14242.33+9968.34+233086.5+10878.48+9664.79+17644.81+12630.22</f>
        <v>346316.74999999994</v>
      </c>
      <c r="S32" s="40"/>
      <c r="T32" s="45">
        <f>177898.63-21589.41+392.03-621870.64+72027.45-716987.32+537118.05+215632.18+44293.89+354657.9</f>
        <v>41572.760000000068</v>
      </c>
      <c r="U32" s="119"/>
      <c r="V32" s="38"/>
      <c r="W32" s="40"/>
      <c r="X32" s="45">
        <f>190411.34+42151.07+153701.85+156770.59+97077.67+17948.36+436954.69-310528.45-117502.72-24097.85</f>
        <v>642886.55000000016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-9841.49</v>
      </c>
      <c r="Q33" s="181"/>
      <c r="R33" s="180"/>
      <c r="S33" s="181"/>
      <c r="T33" s="194">
        <f>-8915.26+282.55+284.39-9126.3+284.73+265.08-7909.74-787.19+260.15-9841.49</f>
        <v>-35203.08</v>
      </c>
      <c r="U33" s="182"/>
      <c r="V33" s="180"/>
      <c r="W33" s="181"/>
      <c r="X33" s="194">
        <f>-8274.97-683.39+330.76-8056.18-789.61+264.5-8379.94-1099.74+325.02-8909.13</f>
        <v>-35272.68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9411026</v>
      </c>
      <c r="H35" s="29"/>
      <c r="I35" s="116">
        <f>SUM(I29:I34)</f>
        <v>9780447</v>
      </c>
      <c r="J35" s="40"/>
      <c r="K35" s="40"/>
      <c r="L35" s="116">
        <f>SUM(L29:L34)</f>
        <v>9217202</v>
      </c>
      <c r="M35" s="129"/>
      <c r="N35" s="116">
        <f>SUM(N29:N34)</f>
        <v>13406.689999999999</v>
      </c>
      <c r="O35" s="40"/>
      <c r="P35" s="116">
        <f>SUM(P29:P34)</f>
        <v>356014.34</v>
      </c>
      <c r="Q35" s="40"/>
      <c r="R35" s="116">
        <f>SUM(R29:R34)</f>
        <v>354933.79999999993</v>
      </c>
      <c r="S35" s="40"/>
      <c r="T35" s="116">
        <f>SUM(T29:T34)</f>
        <v>-1331.649999999936</v>
      </c>
      <c r="U35" s="120"/>
      <c r="V35" s="116">
        <f>SUM(V29:V34)</f>
        <v>197123.87</v>
      </c>
      <c r="W35" s="40"/>
      <c r="X35" s="116">
        <f>SUM(X29:X34)</f>
        <v>629707.12000000011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16355659.65</v>
      </c>
      <c r="H37" s="29"/>
      <c r="I37" s="107">
        <f>+I35+I25+I19+I11</f>
        <v>16480411.65</v>
      </c>
      <c r="J37" s="92"/>
      <c r="K37" s="92"/>
      <c r="L37" s="107">
        <f>+L35+L25+L19+L11</f>
        <v>15321836.65</v>
      </c>
      <c r="M37" s="129"/>
      <c r="N37" s="107">
        <f>+N35+N25+N19+N11</f>
        <v>14695.769999999999</v>
      </c>
      <c r="O37" s="92"/>
      <c r="P37" s="107">
        <f>+P35+P25+P19+P11</f>
        <v>356014.34</v>
      </c>
      <c r="Q37" s="92"/>
      <c r="R37" s="107">
        <f>+R35+R25+R19+R11</f>
        <v>363063.79999999993</v>
      </c>
      <c r="S37" s="92"/>
      <c r="T37" s="107">
        <f>+T35+T25+T19+T11</f>
        <v>-1331.649999999936</v>
      </c>
      <c r="U37" s="120"/>
      <c r="V37" s="107">
        <f>+V35+V25+V19+V11</f>
        <v>198834.13999999998</v>
      </c>
      <c r="W37" s="92"/>
      <c r="X37" s="107">
        <f>+X35+X25+X19+X11</f>
        <v>629707.12000000011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5329180</v>
      </c>
      <c r="H39" s="29"/>
      <c r="I39" s="175">
        <v>5448295</v>
      </c>
      <c r="J39" s="92"/>
      <c r="K39" s="92"/>
      <c r="L39" s="175">
        <v>5242109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1289.08</v>
      </c>
      <c r="O53" s="205"/>
      <c r="P53" s="204"/>
      <c r="Q53" s="205"/>
      <c r="R53" s="204">
        <f>+R10</f>
        <v>8130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13406.689999999999</v>
      </c>
      <c r="O56" s="207"/>
      <c r="P56" s="206"/>
      <c r="Q56" s="207"/>
      <c r="R56" s="206">
        <f>+R35</f>
        <v>354933.79999999993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356014.34</v>
      </c>
      <c r="Q58" s="205"/>
      <c r="R58" s="204"/>
      <c r="S58" s="205"/>
      <c r="T58" s="204">
        <f>+T37</f>
        <v>-1331.649999999936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14695.769999999999</v>
      </c>
      <c r="O61" s="205"/>
      <c r="P61" s="208">
        <f>SUM(P53:P60)</f>
        <v>356014.34</v>
      </c>
      <c r="Q61" s="205"/>
      <c r="R61" s="208">
        <f>SUM(R53:R60)</f>
        <v>363063.79999999993</v>
      </c>
      <c r="S61" s="204"/>
      <c r="T61" s="208">
        <f>SUM(T53:T60)</f>
        <v>-1331.649999999936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15094</v>
      </c>
      <c r="O63" s="205"/>
      <c r="P63" s="205">
        <v>46312</v>
      </c>
      <c r="Q63" s="205"/>
      <c r="R63" s="205">
        <v>389906</v>
      </c>
      <c r="S63" s="205"/>
      <c r="T63" s="205">
        <v>-1332</v>
      </c>
    </row>
    <row r="64" spans="2:23">
      <c r="L64" s="43" t="s">
        <v>388</v>
      </c>
      <c r="N64" s="209">
        <f>+N63-N61</f>
        <v>398.23000000000138</v>
      </c>
      <c r="O64" s="209"/>
      <c r="P64" s="209">
        <f>+P63-P61</f>
        <v>-309702.34000000003</v>
      </c>
      <c r="Q64" s="209"/>
      <c r="R64" s="209">
        <f>+R63-R61</f>
        <v>26842.20000000007</v>
      </c>
      <c r="S64" s="209"/>
      <c r="T64" s="209">
        <f>+T63-T61</f>
        <v>-0.35000000006402843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April 2019 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37983</v>
      </c>
      <c r="I7" s="4"/>
      <c r="J7" s="18">
        <v>37955</v>
      </c>
      <c r="K7" s="4"/>
      <c r="L7" s="18">
        <v>37619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3.2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263</v>
      </c>
      <c r="O11" s="13"/>
      <c r="P11" s="12">
        <v>2103</v>
      </c>
      <c r="Q11" s="13"/>
      <c r="R11" s="12">
        <v>2604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3.2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130798</v>
      </c>
      <c r="I13" s="13"/>
      <c r="J13" s="12">
        <v>130409</v>
      </c>
      <c r="K13" s="13"/>
      <c r="L13" s="12">
        <v>124332</v>
      </c>
      <c r="M13" s="13"/>
      <c r="N13" s="12">
        <v>389</v>
      </c>
      <c r="O13" s="13"/>
      <c r="P13" s="12">
        <v>3033</v>
      </c>
      <c r="Q13" s="13"/>
      <c r="R13" s="12">
        <v>3209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4.51</v>
      </c>
      <c r="G14" s="11"/>
      <c r="H14" s="15">
        <v>75701</v>
      </c>
      <c r="I14" s="13"/>
      <c r="J14" s="15">
        <v>75223</v>
      </c>
      <c r="K14" s="13"/>
      <c r="L14" s="15">
        <v>72176</v>
      </c>
      <c r="M14" s="13"/>
      <c r="N14" s="15">
        <v>478.12</v>
      </c>
      <c r="O14" s="13"/>
      <c r="P14" s="15">
        <v>1780</v>
      </c>
      <c r="Q14" s="13"/>
      <c r="R14" s="15">
        <v>1723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769576</v>
      </c>
      <c r="I16" s="13"/>
      <c r="J16" s="16">
        <f>SUM(J11:J14)</f>
        <v>768709</v>
      </c>
      <c r="K16" s="13"/>
      <c r="L16" s="16">
        <f>SUM(L11:L14)</f>
        <v>759585</v>
      </c>
      <c r="M16" s="13"/>
      <c r="N16" s="16">
        <f>SUM(N11:N14)</f>
        <v>1130.1199999999999</v>
      </c>
      <c r="O16" s="13"/>
      <c r="P16" s="16">
        <f>SUM(P11:P14)</f>
        <v>6916</v>
      </c>
      <c r="Q16" s="13"/>
      <c r="R16" s="16">
        <f>SUM(R11:R14)</f>
        <v>7536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3.2</v>
      </c>
      <c r="G23" s="7"/>
      <c r="H23" s="15">
        <v>412354</v>
      </c>
      <c r="I23" s="13"/>
      <c r="J23" s="15">
        <v>410715</v>
      </c>
      <c r="K23" s="15">
        <v>425705</v>
      </c>
      <c r="L23" s="15">
        <v>414669</v>
      </c>
      <c r="M23" s="13"/>
      <c r="N23" s="15">
        <v>1639</v>
      </c>
      <c r="O23" s="13"/>
      <c r="P23" s="15">
        <v>10686</v>
      </c>
      <c r="Q23" s="13"/>
      <c r="R23" s="15">
        <v>12523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412354</v>
      </c>
      <c r="I25" s="13"/>
      <c r="J25" s="16">
        <f>SUM(J22:J23)</f>
        <v>410715</v>
      </c>
      <c r="K25" s="13"/>
      <c r="L25" s="16">
        <f>SUM(L22:L23)</f>
        <v>414669</v>
      </c>
      <c r="M25" s="13"/>
      <c r="N25" s="16">
        <f>SUM(N22:N23)</f>
        <v>1639</v>
      </c>
      <c r="O25" s="13"/>
      <c r="P25" s="16">
        <f>SUM(P22:P23)</f>
        <v>10686</v>
      </c>
      <c r="Q25" s="13"/>
      <c r="R25" s="16">
        <f>SUM(R22:R23)</f>
        <v>12523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1361361</v>
      </c>
      <c r="I31" s="13"/>
      <c r="J31" s="12">
        <v>1355521</v>
      </c>
      <c r="K31" s="13"/>
      <c r="L31" s="12">
        <v>1290019</v>
      </c>
      <c r="M31" s="13"/>
      <c r="N31" s="12">
        <v>5840</v>
      </c>
      <c r="O31" s="13" t="s">
        <v>31</v>
      </c>
      <c r="P31" s="12">
        <v>34264</v>
      </c>
      <c r="Q31" s="13"/>
      <c r="R31" s="12">
        <v>32583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5196</v>
      </c>
      <c r="I33" s="13"/>
      <c r="J33" s="12">
        <v>5173</v>
      </c>
      <c r="K33" s="13"/>
      <c r="L33" s="12">
        <v>4957</v>
      </c>
      <c r="M33" s="13"/>
      <c r="N33" s="12">
        <v>22</v>
      </c>
      <c r="O33" s="13"/>
      <c r="P33" s="12">
        <v>123</v>
      </c>
      <c r="Q33" s="13"/>
      <c r="R33" s="12">
        <v>116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3.2</v>
      </c>
      <c r="G34" s="7"/>
      <c r="H34" s="15">
        <v>6732089</v>
      </c>
      <c r="I34" s="13"/>
      <c r="J34" s="15">
        <v>7189814</v>
      </c>
      <c r="K34" s="13"/>
      <c r="L34" s="15">
        <v>6842017</v>
      </c>
      <c r="M34" s="13"/>
      <c r="N34" s="15">
        <v>19031</v>
      </c>
      <c r="O34" s="13"/>
      <c r="P34" s="15">
        <v>176217</v>
      </c>
      <c r="Q34" s="13"/>
      <c r="R34" s="15">
        <v>203018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8107205</v>
      </c>
      <c r="I36" s="13"/>
      <c r="J36" s="16">
        <f>SUM(J31:J34)</f>
        <v>8559067</v>
      </c>
      <c r="K36" s="13"/>
      <c r="L36" s="16">
        <f>SUM(L31:L34)</f>
        <v>8145617</v>
      </c>
      <c r="M36" s="13"/>
      <c r="N36" s="16">
        <f>SUM(N31:N34)</f>
        <v>24893</v>
      </c>
      <c r="O36" s="13"/>
      <c r="P36" s="16">
        <f>SUM(P31:P34)</f>
        <v>210604</v>
      </c>
      <c r="Q36" s="13"/>
      <c r="R36" s="16">
        <f>SUM(R31:R34)</f>
        <v>235717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tabColor rgb="FFFFFF00"/>
    <pageSetUpPr fitToPage="1"/>
  </sheetPr>
  <dimension ref="A1:AD70"/>
  <sheetViews>
    <sheetView showGridLines="0" zoomScaleNormal="100" workbookViewId="0"/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443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42151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465</v>
      </c>
      <c r="H6" s="102"/>
      <c r="I6" s="80" t="s">
        <v>466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1029109</v>
      </c>
      <c r="H9" s="102"/>
      <c r="I9" s="103">
        <v>2527235</v>
      </c>
      <c r="J9" s="92"/>
      <c r="K9" s="92"/>
      <c r="L9" s="103">
        <v>2162177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2.6876147509931835E-4</v>
      </c>
      <c r="F10" s="111"/>
      <c r="G10" s="111">
        <v>4902424</v>
      </c>
      <c r="H10" s="102"/>
      <c r="I10" s="111">
        <v>3903600</v>
      </c>
      <c r="J10" s="92"/>
      <c r="K10" s="92"/>
      <c r="L10" s="111">
        <v>2393895</v>
      </c>
      <c r="M10" s="92"/>
      <c r="N10" s="56">
        <v>1183.3599999999999</v>
      </c>
      <c r="O10" s="92"/>
      <c r="P10" s="72"/>
      <c r="Q10" s="42"/>
      <c r="R10" s="56">
        <f>524.79+429.74+417.13+1056.65+960.85+845.17+738.54+700.11+1167.94+1289.08+1183.36</f>
        <v>9313.36</v>
      </c>
      <c r="S10" s="92"/>
      <c r="T10" s="72"/>
      <c r="U10" s="86"/>
      <c r="V10" s="56">
        <f>122.81+92.66+75.16+82.95+124.34+114.9+189.45+249.09+295.01+363.9+406.57</f>
        <v>2116.84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5931533</v>
      </c>
      <c r="H11" s="102"/>
      <c r="I11" s="103">
        <f>SUM(I9:I10)</f>
        <v>6430835</v>
      </c>
      <c r="J11" s="92"/>
      <c r="K11" s="92"/>
      <c r="L11" s="103">
        <f>SUM(L9:L10)</f>
        <v>4556072</v>
      </c>
      <c r="M11" s="92"/>
      <c r="N11" s="120">
        <f>SUM(N9:N10)</f>
        <v>1183.3599999999999</v>
      </c>
      <c r="O11" s="92"/>
      <c r="P11" s="120">
        <f>SUM(P9:P10)</f>
        <v>0</v>
      </c>
      <c r="Q11" s="85"/>
      <c r="R11" s="120">
        <f>SUM(R9:R10)</f>
        <v>9313.36</v>
      </c>
      <c r="S11" s="92"/>
      <c r="T11" s="120">
        <f>SUM(T9:T10)</f>
        <v>0</v>
      </c>
      <c r="U11" s="120"/>
      <c r="V11" s="120">
        <f>SUM(V9:V10)</f>
        <v>2116.84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453580</v>
      </c>
      <c r="H29" s="29"/>
      <c r="I29" s="115">
        <v>454478</v>
      </c>
      <c r="J29" s="40"/>
      <c r="K29" s="40"/>
      <c r="L29" s="115">
        <v>444211</v>
      </c>
      <c r="M29" s="129"/>
      <c r="N29" s="115">
        <v>897.84</v>
      </c>
      <c r="O29" s="40"/>
      <c r="P29" s="115">
        <v>-20073.04</v>
      </c>
      <c r="Q29" s="40"/>
      <c r="R29" s="115">
        <f>605.67+700.58+269.74+1524.05+707.59+1794.19+495.33+472.94+1270.49+776.47+897.84</f>
        <v>9514.89</v>
      </c>
      <c r="S29" s="40"/>
      <c r="T29" s="115">
        <f>2757.28+3687.51-132.48-35192.03+879.09-35749.95+32802.2+10290.75+1758.37+11197.93-20073.04</f>
        <v>-27774.37</v>
      </c>
      <c r="U29" s="120"/>
      <c r="V29" s="115">
        <f>211.25+181.67+235.23+320.73+127.74+871.1+134.54+125+281.84+446.83+418.5</f>
        <v>3354.43</v>
      </c>
      <c r="W29" s="40" t="s">
        <v>31</v>
      </c>
      <c r="X29" s="115">
        <f>5251.69-591.9+4817.97+6393.84+669.71+658.3+9728.51-1757.37-3008.82-68.68+4009.59</f>
        <v>26102.840000000004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8190258</v>
      </c>
      <c r="H31" s="29"/>
      <c r="I31" s="152">
        <v>8205604</v>
      </c>
      <c r="J31" s="40"/>
      <c r="K31" s="40"/>
      <c r="L31" s="152">
        <v>7853359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12254.87+11338+11955.58+9513.98+7904.58+94719.42+8969.18+8149.26+11719.79+17663.28+10000.65</f>
        <v>204188.59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1699686</v>
      </c>
      <c r="H32" s="29"/>
      <c r="I32" s="45">
        <v>1194095</v>
      </c>
      <c r="J32" s="40"/>
      <c r="K32" s="40"/>
      <c r="L32" s="45">
        <v>1837709</v>
      </c>
      <c r="M32" s="129"/>
      <c r="N32" s="38">
        <v>15346.29</v>
      </c>
      <c r="O32" s="40"/>
      <c r="P32" s="45">
        <v>-525717.93000000005</v>
      </c>
      <c r="Q32" s="40"/>
      <c r="R32" s="38">
        <f>14407.65+12700+11093.63+14242.33+9968.34+233086.5+10878.48+9664.79+17644.81+12630.22+15346.29</f>
        <v>361663.03999999992</v>
      </c>
      <c r="S32" s="40"/>
      <c r="T32" s="45">
        <f>177898.63-21589.41+392.03-621870.64+72027.45-716987.32+537118.05+215632.18+44293.89+354657.9-525717.93</f>
        <v>-484145.17</v>
      </c>
      <c r="U32" s="119"/>
      <c r="V32" s="38"/>
      <c r="W32" s="40"/>
      <c r="X32" s="45">
        <f>190411.34+42151.07+153701.85+156770.59+97077.67+17948.36+436954.69-310528.45-117502.72-24097.85-30521.63</f>
        <v>612364.92000000016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53.96</v>
      </c>
      <c r="Q33" s="181"/>
      <c r="R33" s="180"/>
      <c r="S33" s="181"/>
      <c r="T33" s="194">
        <f>-8915.26+282.55+284.39-9126.3+284.73+265.08-7909.74-787.19+260.15-9841.49+53.96</f>
        <v>-35149.120000000003</v>
      </c>
      <c r="U33" s="182"/>
      <c r="V33" s="180"/>
      <c r="W33" s="181"/>
      <c r="X33" s="194">
        <f>-8274.97-683.39+330.76-8056.18-789.61+264.5-8379.94-1099.74+325.02-8909.13+277.44</f>
        <v>-34995.24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9780447</v>
      </c>
      <c r="H35" s="29"/>
      <c r="I35" s="116">
        <f>SUM(I29:I34)</f>
        <v>9291100</v>
      </c>
      <c r="J35" s="40"/>
      <c r="K35" s="40"/>
      <c r="L35" s="116">
        <f>SUM(L29:L34)</f>
        <v>9572202</v>
      </c>
      <c r="M35" s="129"/>
      <c r="N35" s="116">
        <f>SUM(N29:N34)</f>
        <v>16244.130000000001</v>
      </c>
      <c r="O35" s="40"/>
      <c r="P35" s="116">
        <f>SUM(P29:P34)</f>
        <v>-545737.01000000013</v>
      </c>
      <c r="Q35" s="40"/>
      <c r="R35" s="116">
        <f>SUM(R29:R34)</f>
        <v>371177.92999999993</v>
      </c>
      <c r="S35" s="40"/>
      <c r="T35" s="116">
        <f>SUM(T29:T34)</f>
        <v>-547068.66</v>
      </c>
      <c r="U35" s="120"/>
      <c r="V35" s="116">
        <f>SUM(V29:V34)</f>
        <v>207543.02</v>
      </c>
      <c r="W35" s="40"/>
      <c r="X35" s="116">
        <f>SUM(X29:X34)</f>
        <v>603472.52000000014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16480411.65</v>
      </c>
      <c r="H37" s="29"/>
      <c r="I37" s="107">
        <f>+I35+I25+I19+I11</f>
        <v>16490366.65</v>
      </c>
      <c r="J37" s="92"/>
      <c r="K37" s="92"/>
      <c r="L37" s="107">
        <f>+L35+L25+L19+L11</f>
        <v>14896705.65</v>
      </c>
      <c r="M37" s="129"/>
      <c r="N37" s="107">
        <f>+N35+N25+N19+N11</f>
        <v>17427.490000000002</v>
      </c>
      <c r="O37" s="92"/>
      <c r="P37" s="107">
        <f>+P35+P25+P19+P11</f>
        <v>-545737.01000000013</v>
      </c>
      <c r="Q37" s="92"/>
      <c r="R37" s="107">
        <f>+R35+R25+R19+R11</f>
        <v>380491.28999999992</v>
      </c>
      <c r="S37" s="92"/>
      <c r="T37" s="107">
        <f>+T35+T25+T19+T11</f>
        <v>-547068.66</v>
      </c>
      <c r="U37" s="120"/>
      <c r="V37" s="107">
        <f>+V35+V25+V19+V11</f>
        <v>209659.86</v>
      </c>
      <c r="W37" s="92"/>
      <c r="X37" s="107">
        <f>+X35+X25+X19+X11</f>
        <v>603472.52000000014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5448295</v>
      </c>
      <c r="H39" s="29"/>
      <c r="I39" s="175">
        <v>5284348</v>
      </c>
      <c r="J39" s="92"/>
      <c r="K39" s="92"/>
      <c r="L39" s="175">
        <v>5288874.45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1183.3599999999999</v>
      </c>
      <c r="O53" s="205"/>
      <c r="P53" s="204"/>
      <c r="Q53" s="205"/>
      <c r="R53" s="204">
        <f>+R10</f>
        <v>9313.36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16244.130000000001</v>
      </c>
      <c r="O56" s="207"/>
      <c r="P56" s="206"/>
      <c r="Q56" s="207"/>
      <c r="R56" s="206">
        <f>+R35</f>
        <v>371177.92999999993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-545737.01000000013</v>
      </c>
      <c r="Q58" s="205"/>
      <c r="R58" s="204"/>
      <c r="S58" s="205"/>
      <c r="T58" s="204">
        <f>+T37</f>
        <v>-547068.66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17427.490000000002</v>
      </c>
      <c r="O61" s="205"/>
      <c r="P61" s="208">
        <f>SUM(P53:P60)</f>
        <v>-545737.01000000013</v>
      </c>
      <c r="Q61" s="205"/>
      <c r="R61" s="208">
        <f>SUM(R53:R60)</f>
        <v>380491.28999999992</v>
      </c>
      <c r="S61" s="204"/>
      <c r="T61" s="208">
        <f>SUM(T53:T60)</f>
        <v>-547068.66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17671</v>
      </c>
      <c r="O63" s="205"/>
      <c r="P63" s="205">
        <v>-505591</v>
      </c>
      <c r="Q63" s="205"/>
      <c r="R63" s="205">
        <v>407578</v>
      </c>
      <c r="S63" s="205"/>
      <c r="T63" s="205">
        <v>-506923</v>
      </c>
    </row>
    <row r="64" spans="2:23">
      <c r="L64" s="43" t="s">
        <v>388</v>
      </c>
      <c r="N64" s="209">
        <f>+N63-N61</f>
        <v>243.5099999999984</v>
      </c>
      <c r="O64" s="209"/>
      <c r="P64" s="209">
        <f>+P63-P61</f>
        <v>40146.010000000126</v>
      </c>
      <c r="Q64" s="209"/>
      <c r="R64" s="209">
        <f>+R63-R61</f>
        <v>27086.710000000079</v>
      </c>
      <c r="S64" s="209"/>
      <c r="T64" s="209">
        <f>+T63-T61</f>
        <v>40145.660000000033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May 2019 </oddFooter>
  </headerFooter>
  <legacy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tabColor rgb="FFFFFF00"/>
    <pageSetUpPr fitToPage="1"/>
  </sheetPr>
  <dimension ref="A1:AD67"/>
  <sheetViews>
    <sheetView showGridLines="0" zoomScale="60" zoomScaleNormal="60" workbookViewId="0">
      <selection activeCell="AB18" sqref="AB1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6" ht="12.75" thickBot="1">
      <c r="B2" s="35"/>
      <c r="C2" s="23"/>
      <c r="D2" s="435" t="s">
        <v>443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56">
        <v>787.4</v>
      </c>
      <c r="O10" s="92"/>
      <c r="P10" s="72"/>
      <c r="Q10" s="42"/>
      <c r="R10" s="56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v>17238.259999999998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</f>
        <v>-10536.11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1588633</v>
      </c>
      <c r="J30" s="40"/>
      <c r="K30" s="40"/>
      <c r="L30" s="45">
        <v>1701018</v>
      </c>
      <c r="M30" s="129"/>
      <c r="N30" s="38">
        <v>18821.240000000002</v>
      </c>
      <c r="O30" s="40"/>
      <c r="P30" s="45">
        <v>422322.01</v>
      </c>
      <c r="Q30" s="40"/>
      <c r="R30" s="38">
        <f>14407.65+12700+11093.63+14242.33+9968.34+233086.5+10878.48+9664.79+17644.81+12630.22+15346.29+18821.24</f>
        <v>380484.27999999991</v>
      </c>
      <c r="S30" s="40"/>
      <c r="T30" s="45">
        <f>177898.63-21589.41+392.03-621870.64+72027.45-716987.32+537118.05+215632.18+44293.89+354657.9-525717.93+422322.01</f>
        <v>-61823.159999999974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22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204104</v>
      </c>
      <c r="J33" s="40"/>
      <c r="K33" s="40"/>
      <c r="L33" s="116">
        <f>SUM(L28:L32)</f>
        <v>9426846</v>
      </c>
      <c r="M33" s="129"/>
      <c r="N33" s="116">
        <f>SUM(N28:N32)</f>
        <v>20269.670000000002</v>
      </c>
      <c r="O33" s="40"/>
      <c r="P33" s="116">
        <f>SUM(P28:P32)</f>
        <v>439634.19</v>
      </c>
      <c r="Q33" s="40"/>
      <c r="R33" s="116">
        <f>SUM(R28:R32)</f>
        <v>391447.59999999992</v>
      </c>
      <c r="S33" s="40"/>
      <c r="T33" s="116">
        <f>SUM(T28:T32)</f>
        <v>-107434.46999999997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13639093.84</v>
      </c>
      <c r="J35" s="92"/>
      <c r="K35" s="92"/>
      <c r="L35" s="107">
        <f>+L33+L24+L11</f>
        <v>14357540.67</v>
      </c>
      <c r="M35" s="129"/>
      <c r="N35" s="107">
        <f>+N33+N24+N11</f>
        <v>21057.070000000003</v>
      </c>
      <c r="O35" s="92"/>
      <c r="P35" s="107">
        <f>+P33+P24+P11</f>
        <v>439634.19</v>
      </c>
      <c r="Q35" s="92"/>
      <c r="R35" s="107">
        <f>+R33+R24+R11</f>
        <v>401548.35999999993</v>
      </c>
      <c r="S35" s="92"/>
      <c r="T35" s="107">
        <f>+T33+T24+T11</f>
        <v>-107434.46999999997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6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61">
        <v>48797</v>
      </c>
    </row>
    <row r="53" spans="2:25">
      <c r="N53" s="206">
        <f>+N33</f>
        <v>20269.670000000002</v>
      </c>
      <c r="O53" s="207"/>
      <c r="P53" s="206"/>
      <c r="Q53" s="207"/>
      <c r="R53" s="225">
        <f>+R33</f>
        <v>391447.59999999992</v>
      </c>
      <c r="S53" s="207"/>
      <c r="T53" s="206"/>
      <c r="V53" s="22" t="s">
        <v>440</v>
      </c>
      <c r="Y53" s="61">
        <v>391447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439634.19</v>
      </c>
      <c r="Q55" s="205"/>
      <c r="R55" s="204"/>
      <c r="S55" s="205"/>
      <c r="T55" s="204">
        <f>+T35</f>
        <v>-107434.46999999997</v>
      </c>
      <c r="V55" s="22" t="s">
        <v>437</v>
      </c>
      <c r="Y55" s="61">
        <v>-32213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6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21057.070000000003</v>
      </c>
      <c r="O58" s="205"/>
      <c r="P58" s="208">
        <f>SUM(P50:P57)</f>
        <v>439634.19</v>
      </c>
      <c r="Q58" s="205"/>
      <c r="R58" s="208">
        <f>SUM(R50:R57)</f>
        <v>401548.35999999993</v>
      </c>
      <c r="S58" s="204"/>
      <c r="T58" s="208">
        <f>SUM(T50:T57)</f>
        <v>-107434.46999999997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44967</v>
      </c>
      <c r="O60" s="205"/>
      <c r="P60" s="205">
        <v>439634</v>
      </c>
      <c r="Q60" s="205"/>
      <c r="R60" s="205">
        <v>452544</v>
      </c>
      <c r="S60" s="205"/>
      <c r="T60" s="205">
        <v>-67288</v>
      </c>
      <c r="V60" s="205">
        <f>SUM(R60:T60)</f>
        <v>385256</v>
      </c>
    </row>
    <row r="61" spans="2:25">
      <c r="L61" s="43" t="s">
        <v>388</v>
      </c>
      <c r="N61" s="209">
        <f>+N60-N58</f>
        <v>23909.929999999997</v>
      </c>
      <c r="O61" s="209"/>
      <c r="P61" s="209">
        <f>+P60-P58</f>
        <v>-0.19000000000232831</v>
      </c>
      <c r="Q61" s="209"/>
      <c r="R61" s="209">
        <f>+R60-R58</f>
        <v>50995.640000000072</v>
      </c>
      <c r="S61" s="209"/>
      <c r="T61" s="209">
        <f>+T60-T58</f>
        <v>40146.469999999972</v>
      </c>
      <c r="Y61" s="142">
        <f>SUM(Y50:Y56)</f>
        <v>385257</v>
      </c>
    </row>
    <row r="62" spans="2:25">
      <c r="N62" s="200"/>
      <c r="R62" s="200"/>
    </row>
    <row r="64" spans="2:25">
      <c r="R64" s="226">
        <v>48797</v>
      </c>
      <c r="T64" s="22">
        <v>32213</v>
      </c>
    </row>
    <row r="67" spans="24:24">
      <c r="X67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tabColor rgb="FFFFFF00"/>
    <pageSetUpPr fitToPage="1"/>
  </sheetPr>
  <dimension ref="A1:AD70"/>
  <sheetViews>
    <sheetView showGridLines="0" zoomScale="70" zoomScaleNormal="7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398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1767899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4162263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171989</v>
      </c>
      <c r="O34" s="40"/>
      <c r="P34" s="41">
        <v>-215736</v>
      </c>
      <c r="Q34" s="40"/>
      <c r="R34" s="109">
        <v>191569</v>
      </c>
      <c r="S34" s="40"/>
      <c r="T34" s="41">
        <v>-187951.98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182904.51</v>
      </c>
      <c r="O35" s="40"/>
      <c r="P35" s="116">
        <f>SUM(P29:P34)</f>
        <v>-324642.92</v>
      </c>
      <c r="Q35" s="40"/>
      <c r="R35" s="116">
        <f>SUM(R29:R34)</f>
        <v>410027.53</v>
      </c>
      <c r="S35" s="40"/>
      <c r="T35" s="116">
        <f>SUM(T29:T34)</f>
        <v>306613.62000000023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14357540.65</v>
      </c>
      <c r="J37" s="92"/>
      <c r="K37" s="92"/>
      <c r="L37" s="107">
        <f>+L35+L25+L19+L11</f>
        <v>13373022.65</v>
      </c>
      <c r="M37" s="129"/>
      <c r="N37" s="107">
        <f>+N35+N25+N19+N11</f>
        <v>183380.30000000002</v>
      </c>
      <c r="O37" s="92"/>
      <c r="P37" s="107">
        <f>+P35+P25+P19+P11</f>
        <v>-324642.92</v>
      </c>
      <c r="Q37" s="92"/>
      <c r="R37" s="107">
        <f>+R35+R25+R19+R11</f>
        <v>412620.16000000003</v>
      </c>
      <c r="S37" s="92"/>
      <c r="T37" s="107">
        <f>+T35+T25+T19+T11</f>
        <v>306613.62000000023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16"/>
      <c r="S40" s="195"/>
      <c r="T40" s="116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0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 t="s">
        <v>391</v>
      </c>
      <c r="Q48" s="23"/>
      <c r="R48" s="196">
        <v>410028</v>
      </c>
      <c r="S48" s="23"/>
      <c r="T48" s="196">
        <v>341329</v>
      </c>
      <c r="U48" s="23"/>
      <c r="V48" s="22" t="s">
        <v>437</v>
      </c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99">
        <v>644093</v>
      </c>
      <c r="S49" s="199"/>
      <c r="T49" s="199">
        <f>+T48+T33</f>
        <v>306613.62</v>
      </c>
      <c r="U49" s="23"/>
      <c r="V49" s="23" t="s">
        <v>438</v>
      </c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97">
        <v>475.49</v>
      </c>
      <c r="R53" s="197">
        <v>2592.35</v>
      </c>
      <c r="S53" s="197"/>
      <c r="T53" s="197"/>
      <c r="V53" s="22" t="s">
        <v>439</v>
      </c>
    </row>
    <row r="54" spans="2:23">
      <c r="N54" s="197">
        <v>0</v>
      </c>
      <c r="R54" s="197">
        <v>0</v>
      </c>
      <c r="S54" s="197"/>
      <c r="T54" s="197"/>
      <c r="V54" s="22" t="s">
        <v>413</v>
      </c>
    </row>
    <row r="55" spans="2:23">
      <c r="N55" s="202">
        <v>87293.81</v>
      </c>
      <c r="R55" s="202">
        <v>232025.17</v>
      </c>
      <c r="S55" s="197"/>
      <c r="T55" s="197"/>
      <c r="V55" s="22" t="s">
        <v>414</v>
      </c>
    </row>
    <row r="56" spans="2:23">
      <c r="N56" s="197">
        <v>182905.03</v>
      </c>
      <c r="R56" s="197">
        <v>410028</v>
      </c>
      <c r="S56" s="197"/>
      <c r="T56" s="197"/>
      <c r="V56" s="22" t="s">
        <v>440</v>
      </c>
    </row>
    <row r="57" spans="2:23">
      <c r="N57" s="202">
        <v>-553</v>
      </c>
      <c r="R57" s="202">
        <v>-553</v>
      </c>
      <c r="S57" s="197"/>
      <c r="T57" s="197"/>
      <c r="V57" s="22" t="s">
        <v>441</v>
      </c>
    </row>
    <row r="58" spans="2:23">
      <c r="N58" s="197"/>
      <c r="R58" s="197"/>
      <c r="S58" s="197"/>
      <c r="T58" s="197">
        <v>341329</v>
      </c>
      <c r="V58" s="22" t="s">
        <v>437</v>
      </c>
    </row>
    <row r="59" spans="2:23">
      <c r="N59" s="197"/>
      <c r="P59" s="187"/>
      <c r="R59" s="197"/>
      <c r="S59" s="197"/>
      <c r="T59" s="201">
        <f>-8274.97-683.39+330.76-8056.18-789.61+264.5-8379.94-1099.74+325.02-8909.13+277.44+279.86</f>
        <v>-34715.379999999997</v>
      </c>
      <c r="V59" s="22" t="s">
        <v>442</v>
      </c>
    </row>
    <row r="60" spans="2:23">
      <c r="N60" s="197"/>
      <c r="R60" s="197"/>
      <c r="S60" s="197"/>
      <c r="T60" s="197"/>
    </row>
    <row r="61" spans="2:23">
      <c r="N61" s="198">
        <f>SUM(N53:N60)</f>
        <v>270121.33</v>
      </c>
      <c r="P61" s="190"/>
      <c r="R61" s="198">
        <f>SUM(R53:R60)</f>
        <v>644092.52</v>
      </c>
      <c r="S61" s="197"/>
      <c r="T61" s="198">
        <f>SUM(T53:T60)</f>
        <v>306613.62</v>
      </c>
    </row>
    <row r="63" spans="2:23">
      <c r="N63" s="200">
        <f>+N53+N56</f>
        <v>183380.52</v>
      </c>
      <c r="R63" s="200">
        <f>+R53+R56</f>
        <v>412620.35</v>
      </c>
      <c r="T63" s="200"/>
    </row>
    <row r="65" spans="14:24">
      <c r="N65" s="200"/>
      <c r="R65" s="200">
        <f>+R63-R37</f>
        <v>0.18999999994412065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June 2018 Post-audit
</oddFooter>
  </headerFooter>
  <legacy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tabColor rgb="FFFFFF00"/>
    <pageSetUpPr fitToPage="1"/>
  </sheetPr>
  <dimension ref="A1:AD75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8"/>
      <c r="V1" s="23"/>
      <c r="W1" s="23"/>
    </row>
    <row r="2" spans="1:26" ht="12.75" thickBot="1">
      <c r="B2" s="35"/>
      <c r="C2" s="23"/>
      <c r="D2" s="435" t="s">
        <v>443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9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230">
        <v>787.4</v>
      </c>
      <c r="O10" s="92"/>
      <c r="P10" s="72"/>
      <c r="Q10" s="42"/>
      <c r="R10" s="230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f>17238.26-40146.08</f>
        <v>-22907.820000000003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2757.28+3687.51-132.48-35192.03+879.09-35749.95+32802.2+10290.75+1758.37+11197.93-20073.04+17238.26-40146.08</f>
        <v>-50682.19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1548487</v>
      </c>
      <c r="J30" s="40"/>
      <c r="K30" s="40"/>
      <c r="L30" s="45">
        <v>1701018</v>
      </c>
      <c r="M30" s="129"/>
      <c r="N30" s="38">
        <f>18821.24+386373.9</f>
        <v>405195.14</v>
      </c>
      <c r="O30" s="40"/>
      <c r="P30" s="45">
        <f>422322.01-386993.58</f>
        <v>35328.429999999993</v>
      </c>
      <c r="Q30" s="40"/>
      <c r="R30" s="38">
        <f>14407.65+12700+11093.63+14242.33+9968.34+233086.5+10878.48+9664.79+17644.81+12630.22+15346.29+18821.24+386373.9</f>
        <v>766858.17999999993</v>
      </c>
      <c r="S30" s="40"/>
      <c r="T30" s="45">
        <f>177898.63-21589.41+392.03-621870.64+72027.45-716987.32+537118.05+215632.18+44293.89+354657.9-525717.93+422322.01-386993.58</f>
        <v>-448816.74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19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163958</v>
      </c>
      <c r="J33" s="40"/>
      <c r="K33" s="40"/>
      <c r="L33" s="116">
        <f>SUM(L28:L32)</f>
        <v>9426846</v>
      </c>
      <c r="M33" s="129"/>
      <c r="N33" s="116">
        <f>SUM(N28:N32)</f>
        <v>406643.57</v>
      </c>
      <c r="O33" s="40"/>
      <c r="P33" s="116">
        <f>SUM(P28:P32)</f>
        <v>12494.52999999999</v>
      </c>
      <c r="Q33" s="40"/>
      <c r="R33" s="116">
        <f>SUM(R28:R32)</f>
        <v>777821.49999999988</v>
      </c>
      <c r="S33" s="40"/>
      <c r="T33" s="116">
        <f>SUM(T28:T32)</f>
        <v>-534574.13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13598947.84</v>
      </c>
      <c r="J35" s="92"/>
      <c r="K35" s="92"/>
      <c r="L35" s="107">
        <f>+L33+L24+L11</f>
        <v>14357540.67</v>
      </c>
      <c r="M35" s="129"/>
      <c r="N35" s="107">
        <f>+N33+N24+N11</f>
        <v>407430.97000000003</v>
      </c>
      <c r="O35" s="92"/>
      <c r="P35" s="107">
        <f>+P33+P24+P11</f>
        <v>12494.52999999999</v>
      </c>
      <c r="Q35" s="92"/>
      <c r="R35" s="107">
        <f>+R33+R24+R11</f>
        <v>787922.25999999989</v>
      </c>
      <c r="S35" s="92"/>
      <c r="T35" s="107">
        <f>+T33+T24+T11</f>
        <v>-534574.13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23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231">
        <v>49416.32</v>
      </c>
    </row>
    <row r="53" spans="2:25">
      <c r="N53" s="206">
        <f>+N33</f>
        <v>406643.57</v>
      </c>
      <c r="O53" s="207"/>
      <c r="P53" s="206"/>
      <c r="Q53" s="207"/>
      <c r="R53" s="225">
        <f>+R33</f>
        <v>777821.49999999988</v>
      </c>
      <c r="S53" s="207"/>
      <c r="T53" s="206"/>
      <c r="V53" s="22" t="s">
        <v>440</v>
      </c>
      <c r="Y53" s="231">
        <v>777820.98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12494.52999999999</v>
      </c>
      <c r="Q55" s="205"/>
      <c r="R55" s="204"/>
      <c r="S55" s="205"/>
      <c r="T55" s="204">
        <f>+T35</f>
        <v>-534574.13</v>
      </c>
      <c r="V55" s="22" t="s">
        <v>437</v>
      </c>
      <c r="Y55" s="61">
        <v>-459352.95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23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407430.97000000003</v>
      </c>
      <c r="O58" s="205"/>
      <c r="P58" s="208">
        <f>SUM(P50:P57)</f>
        <v>12494.52999999999</v>
      </c>
      <c r="Q58" s="205"/>
      <c r="R58" s="208">
        <f>SUM(R50:R57)</f>
        <v>787922.25999999989</v>
      </c>
      <c r="S58" s="204"/>
      <c r="T58" s="208">
        <f>SUM(T50:T57)</f>
        <v>-534574.13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431960.18</v>
      </c>
      <c r="O60" s="205"/>
      <c r="P60" s="205">
        <v>12494.53</v>
      </c>
      <c r="Q60" s="205"/>
      <c r="R60" s="205">
        <v>839538.06</v>
      </c>
      <c r="S60" s="205"/>
      <c r="T60" s="205">
        <v>-494428.15</v>
      </c>
      <c r="V60" s="232">
        <f>SUM(R60:T60)</f>
        <v>345109.91000000003</v>
      </c>
      <c r="W60" s="185"/>
      <c r="X60" s="185"/>
      <c r="Y60" s="185"/>
    </row>
    <row r="61" spans="2:25">
      <c r="L61" s="43" t="s">
        <v>388</v>
      </c>
      <c r="N61" s="209">
        <f>+N60-N58</f>
        <v>24529.209999999963</v>
      </c>
      <c r="O61" s="209"/>
      <c r="P61" s="209">
        <f>+P60-P58</f>
        <v>0</v>
      </c>
      <c r="Q61" s="209"/>
      <c r="R61" s="209">
        <f>+R60-R58</f>
        <v>51615.800000000163</v>
      </c>
      <c r="S61" s="209"/>
      <c r="T61" s="209">
        <f>+T60-T58</f>
        <v>40145.979999999981</v>
      </c>
      <c r="V61" s="185"/>
      <c r="W61" s="185"/>
      <c r="X61" s="185"/>
      <c r="Y61" s="233">
        <f>SUM(Y50:Y56)</f>
        <v>345110.34999999992</v>
      </c>
    </row>
    <row r="62" spans="2:25">
      <c r="N62" s="200"/>
      <c r="R62" s="200"/>
      <c r="V62" s="185"/>
      <c r="W62" s="185"/>
      <c r="X62" s="185"/>
      <c r="Y62" s="185"/>
    </row>
    <row r="64" spans="2:25">
      <c r="R64" s="226">
        <v>48797</v>
      </c>
      <c r="T64" s="22">
        <v>32213</v>
      </c>
    </row>
    <row r="67" spans="14:24">
      <c r="X67" s="185"/>
    </row>
    <row r="73" spans="14:24">
      <c r="N73" s="22">
        <v>12494.53</v>
      </c>
      <c r="R73" s="22">
        <v>-494428.15</v>
      </c>
    </row>
    <row r="74" spans="14:24">
      <c r="N74" s="22">
        <v>431960.18</v>
      </c>
      <c r="R74" s="22">
        <v>839538.06</v>
      </c>
    </row>
    <row r="75" spans="14:24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tabColor rgb="FFFFFF00"/>
    <pageSetUpPr fitToPage="1"/>
  </sheetPr>
  <dimension ref="A1:AD75"/>
  <sheetViews>
    <sheetView showGridLines="0" zoomScaleNormal="100" workbookViewId="0">
      <selection activeCell="I37" sqref="I37:I3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34"/>
      <c r="V1" s="23"/>
      <c r="W1" s="23"/>
    </row>
    <row r="2" spans="1:25" ht="12.75" thickBot="1">
      <c r="B2" s="35"/>
      <c r="C2" s="23"/>
      <c r="D2" s="435" t="s">
        <v>485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35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42215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487</v>
      </c>
      <c r="H6" s="102"/>
      <c r="I6" s="80" t="s">
        <v>482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715277</v>
      </c>
      <c r="H9" s="102"/>
      <c r="I9" s="103">
        <v>264581</v>
      </c>
      <c r="J9" s="92"/>
      <c r="K9" s="92"/>
      <c r="L9" s="103">
        <v>531534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2.8198415873605912E-4</v>
      </c>
      <c r="F10" s="111"/>
      <c r="G10" s="111">
        <v>2404381</v>
      </c>
      <c r="H10" s="102"/>
      <c r="I10" s="111">
        <v>1404911</v>
      </c>
      <c r="J10" s="92"/>
      <c r="K10" s="92"/>
      <c r="L10" s="111">
        <v>2394882</v>
      </c>
      <c r="M10" s="92"/>
      <c r="N10" s="56">
        <v>537.08000000000004</v>
      </c>
      <c r="O10" s="92"/>
      <c r="P10" s="72"/>
      <c r="Q10" s="42"/>
      <c r="R10" s="56">
        <v>537.08000000000004</v>
      </c>
      <c r="S10" s="92"/>
      <c r="T10" s="72"/>
      <c r="U10" s="86"/>
      <c r="V10" s="56">
        <v>524.79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3119658</v>
      </c>
      <c r="H11" s="102"/>
      <c r="I11" s="103">
        <f>SUM(I9:I10)</f>
        <v>1669492</v>
      </c>
      <c r="J11" s="92"/>
      <c r="K11" s="92"/>
      <c r="L11" s="103">
        <f>SUM(L9:L10)</f>
        <v>2926416</v>
      </c>
      <c r="M11" s="92"/>
      <c r="N11" s="120">
        <f>SUM(N9:N10)</f>
        <v>537.08000000000004</v>
      </c>
      <c r="O11" s="92"/>
      <c r="P11" s="120">
        <f>SUM(P9:P10)</f>
        <v>0</v>
      </c>
      <c r="Q11" s="85"/>
      <c r="R11" s="120">
        <f>SUM(R9:R10)</f>
        <v>537.08000000000004</v>
      </c>
      <c r="S11" s="92"/>
      <c r="T11" s="120">
        <f>SUM(T9:T10)</f>
        <v>0</v>
      </c>
      <c r="U11" s="120"/>
      <c r="V11" s="120">
        <f>SUM(V9:V10)</f>
        <v>524.79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501022.67999999993</v>
      </c>
      <c r="H14" s="217"/>
      <c r="I14" s="240">
        <v>506574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3964920.6199999996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3280956.87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10315331.84</v>
      </c>
      <c r="H24" s="117"/>
      <c r="I24" s="116">
        <f>SUM(I14:I23)</f>
        <v>9895026.6699999999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445569</v>
      </c>
      <c r="M28" s="129"/>
      <c r="N28" s="115">
        <v>755.33</v>
      </c>
      <c r="O28" s="40"/>
      <c r="P28" s="115">
        <v>4795.9799999999996</v>
      </c>
      <c r="Q28" s="40"/>
      <c r="R28" s="115">
        <v>755.33</v>
      </c>
      <c r="S28" s="40"/>
      <c r="T28" s="115">
        <v>4795.9799999999996</v>
      </c>
      <c r="U28" s="120"/>
      <c r="V28" s="115">
        <v>605.66999999999996</v>
      </c>
      <c r="W28" s="40" t="s">
        <v>31</v>
      </c>
      <c r="X28" s="115">
        <v>2757.28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/>
      <c r="H29" s="29"/>
      <c r="I29" s="152">
        <v>13054</v>
      </c>
      <c r="J29" s="40"/>
      <c r="K29" s="40"/>
      <c r="L29" s="152">
        <v>7858349</v>
      </c>
      <c r="M29" s="129"/>
      <c r="N29" s="38">
        <v>13053.88</v>
      </c>
      <c r="O29" s="40"/>
      <c r="P29" s="45">
        <v>34527.800000000003</v>
      </c>
      <c r="Q29" s="40"/>
      <c r="R29" s="38">
        <v>13053.88</v>
      </c>
      <c r="S29" s="40"/>
      <c r="T29" s="45">
        <v>34527.800000000003</v>
      </c>
      <c r="U29" s="93"/>
      <c r="V29" s="38">
        <v>14407.65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1548487</v>
      </c>
      <c r="H30" s="29"/>
      <c r="I30" s="45">
        <v>1572699</v>
      </c>
      <c r="J30" s="40"/>
      <c r="K30" s="40"/>
      <c r="L30" s="45">
        <v>1872758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/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-10315.64</v>
      </c>
      <c r="Q31" s="181"/>
      <c r="R31" s="180"/>
      <c r="S31" s="181"/>
      <c r="T31" s="194">
        <v>-10315.64</v>
      </c>
      <c r="U31" s="182"/>
      <c r="V31" s="180"/>
      <c r="W31" s="181"/>
      <c r="X31" s="194">
        <v>177898.63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-1384529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>
        <v>-8915.26</v>
      </c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163958</v>
      </c>
      <c r="H33" s="29"/>
      <c r="I33" s="116">
        <f>SUM(I28:I32)</f>
        <v>627081</v>
      </c>
      <c r="J33" s="40"/>
      <c r="K33" s="40"/>
      <c r="L33" s="116">
        <f>SUM(L28:L32)</f>
        <v>9613599</v>
      </c>
      <c r="M33" s="129"/>
      <c r="N33" s="116">
        <f>SUM(N28:N32)</f>
        <v>13809.21</v>
      </c>
      <c r="O33" s="40"/>
      <c r="P33" s="116">
        <f>SUM(P28:P32)</f>
        <v>29008.14</v>
      </c>
      <c r="Q33" s="40"/>
      <c r="R33" s="116">
        <f>SUM(R28:R32)</f>
        <v>13809.21</v>
      </c>
      <c r="S33" s="40"/>
      <c r="T33" s="116">
        <f>SUM(T28:T32)</f>
        <v>29008.14</v>
      </c>
      <c r="U33" s="120"/>
      <c r="V33" s="116">
        <f>SUM(V28:V32)</f>
        <v>15013.32</v>
      </c>
      <c r="W33" s="40"/>
      <c r="X33" s="116">
        <f>SUM(X28:X32)</f>
        <v>171740.65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13598947.84</v>
      </c>
      <c r="H35" s="29"/>
      <c r="I35" s="107">
        <f>+I33+I24+I11</f>
        <v>12191599.67</v>
      </c>
      <c r="J35" s="92"/>
      <c r="K35" s="92"/>
      <c r="L35" s="107">
        <f>+L33+L24+L11</f>
        <v>13308446.67</v>
      </c>
      <c r="M35" s="129"/>
      <c r="N35" s="107">
        <f>+N33+N24+N11</f>
        <v>14346.289999999999</v>
      </c>
      <c r="O35" s="92"/>
      <c r="P35" s="107">
        <f>+P33+P24+P11</f>
        <v>29008.14</v>
      </c>
      <c r="Q35" s="92"/>
      <c r="R35" s="107">
        <f>+R33+R24+R11</f>
        <v>14346.289999999999</v>
      </c>
      <c r="S35" s="92"/>
      <c r="T35" s="107">
        <f>+T33+T24+T11</f>
        <v>29008.14</v>
      </c>
      <c r="U35" s="120"/>
      <c r="V35" s="107">
        <f>+V33+V24+V11</f>
        <v>15538.11</v>
      </c>
      <c r="W35" s="92"/>
      <c r="X35" s="107">
        <f>+X33+X24+X11</f>
        <v>171740.65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5511022</v>
      </c>
      <c r="H37" s="29"/>
      <c r="I37" s="175">
        <v>5525101</v>
      </c>
      <c r="J37" s="92"/>
      <c r="K37" s="92"/>
      <c r="L37" s="175">
        <v>5349092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537.08000000000004</v>
      </c>
      <c r="O50" s="205"/>
      <c r="P50" s="204"/>
      <c r="Q50" s="205"/>
      <c r="R50" s="204">
        <f>+R10</f>
        <v>537.08000000000004</v>
      </c>
      <c r="S50" s="205"/>
      <c r="T50" s="204"/>
      <c r="V50" s="22" t="s">
        <v>439</v>
      </c>
      <c r="Y50" s="231">
        <v>537.08000000000004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2188</v>
      </c>
    </row>
    <row r="53" spans="2:30">
      <c r="N53" s="206">
        <f>+N28+N29</f>
        <v>13809.21</v>
      </c>
      <c r="O53" s="207"/>
      <c r="P53" s="206"/>
      <c r="Q53" s="207"/>
      <c r="R53" s="206">
        <f>+R28+R29</f>
        <v>13809.21</v>
      </c>
      <c r="S53" s="207"/>
      <c r="T53" s="206"/>
      <c r="V53" s="22" t="s">
        <v>440</v>
      </c>
      <c r="Y53" s="231">
        <v>13809.28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39323.78</v>
      </c>
      <c r="Q55" s="205"/>
      <c r="R55" s="204"/>
      <c r="S55" s="205"/>
      <c r="T55" s="204">
        <f>+T28+T29</f>
        <v>39323.78</v>
      </c>
      <c r="V55" s="22" t="s">
        <v>437</v>
      </c>
      <c r="Y55" s="61">
        <v>39323.78</v>
      </c>
    </row>
    <row r="56" spans="2:30">
      <c r="N56" s="204"/>
      <c r="O56" s="205"/>
      <c r="P56" s="204">
        <f>+P31</f>
        <v>-10315.64</v>
      </c>
      <c r="Q56" s="205"/>
      <c r="R56" s="204"/>
      <c r="S56" s="205"/>
      <c r="T56" s="204">
        <f>+T31</f>
        <v>-10315.64</v>
      </c>
      <c r="V56" s="22" t="s">
        <v>442</v>
      </c>
      <c r="Y56" s="231">
        <v>-10315.64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14346.289999999999</v>
      </c>
      <c r="O58" s="205"/>
      <c r="P58" s="208">
        <f>SUM(P50:P57)</f>
        <v>29008.14</v>
      </c>
      <c r="Q58" s="205"/>
      <c r="R58" s="208">
        <f>SUM(R50:R57)</f>
        <v>14346.289999999999</v>
      </c>
      <c r="S58" s="204"/>
      <c r="T58" s="208">
        <f>SUM(T50:T57)</f>
        <v>29008.14</v>
      </c>
      <c r="Y58" s="238">
        <f>SUM(Y50:Y57)</f>
        <v>45542.5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16537</v>
      </c>
      <c r="O60" s="205"/>
      <c r="P60" s="205">
        <v>29008</v>
      </c>
      <c r="Q60" s="205"/>
      <c r="R60" s="205">
        <v>16537</v>
      </c>
      <c r="S60" s="205"/>
      <c r="T60" s="205">
        <v>29008</v>
      </c>
      <c r="V60" s="237">
        <f>SUM(R60:T60)</f>
        <v>45545</v>
      </c>
      <c r="W60" s="43"/>
      <c r="X60" s="43"/>
      <c r="Y60" s="43"/>
    </row>
    <row r="61" spans="2:30">
      <c r="L61" s="43" t="s">
        <v>388</v>
      </c>
      <c r="N61" s="236">
        <f>+N60-N58</f>
        <v>2190.7100000000009</v>
      </c>
      <c r="O61" s="209"/>
      <c r="P61" s="209">
        <f>+P60-P58</f>
        <v>-0.13999999999941792</v>
      </c>
      <c r="Q61" s="209"/>
      <c r="R61" s="209">
        <f>+R60-R58</f>
        <v>2190.7100000000009</v>
      </c>
      <c r="S61" s="209"/>
      <c r="T61" s="209">
        <f>+T60-T58</f>
        <v>-0.13999999999941792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July 2019 </oddFooter>
  </headerFooter>
  <legacy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41"/>
      <c r="V1" s="23"/>
      <c r="W1" s="23"/>
    </row>
    <row r="2" spans="1:25" ht="12.75" thickBot="1">
      <c r="B2" s="35"/>
      <c r="C2" s="23"/>
      <c r="D2" s="435" t="s">
        <v>485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42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42216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488</v>
      </c>
      <c r="H6" s="102"/>
      <c r="I6" s="80" t="s">
        <v>486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264581</v>
      </c>
      <c r="H9" s="102"/>
      <c r="I9" s="103">
        <v>1643004</v>
      </c>
      <c r="J9" s="92"/>
      <c r="K9" s="92"/>
      <c r="L9" s="103">
        <v>2279268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2.2872662803359741E-4</v>
      </c>
      <c r="F10" s="111"/>
      <c r="G10" s="111">
        <v>1404911</v>
      </c>
      <c r="H10" s="102"/>
      <c r="I10" s="111">
        <v>405110</v>
      </c>
      <c r="J10" s="92"/>
      <c r="K10" s="92"/>
      <c r="L10" s="111">
        <v>1895304</v>
      </c>
      <c r="M10" s="92"/>
      <c r="N10" s="56">
        <v>207</v>
      </c>
      <c r="O10" s="92"/>
      <c r="P10" s="72"/>
      <c r="Q10" s="42"/>
      <c r="R10" s="56">
        <v>744</v>
      </c>
      <c r="S10" s="92"/>
      <c r="T10" s="72"/>
      <c r="U10" s="86"/>
      <c r="V10" s="56">
        <v>955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1669492</v>
      </c>
      <c r="H11" s="102"/>
      <c r="I11" s="103">
        <f>SUM(I9:I10)</f>
        <v>2048114</v>
      </c>
      <c r="J11" s="92"/>
      <c r="K11" s="92"/>
      <c r="L11" s="103">
        <f>SUM(L9:L10)</f>
        <v>4174572</v>
      </c>
      <c r="M11" s="92"/>
      <c r="N11" s="120">
        <f>SUM(N9:N10)</f>
        <v>207</v>
      </c>
      <c r="O11" s="92"/>
      <c r="P11" s="120">
        <f>SUM(P9:P10)</f>
        <v>0</v>
      </c>
      <c r="Q11" s="85"/>
      <c r="R11" s="120">
        <f>SUM(R9:R10)</f>
        <v>744</v>
      </c>
      <c r="S11" s="92"/>
      <c r="T11" s="120">
        <f>SUM(T9:T10)</f>
        <v>0</v>
      </c>
      <c r="U11" s="120"/>
      <c r="V11" s="120">
        <f>SUM(V9:V10)</f>
        <v>955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506574</v>
      </c>
      <c r="H14" s="217"/>
      <c r="I14" s="240">
        <v>499618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9895026.6699999999</v>
      </c>
      <c r="H24" s="117"/>
      <c r="I24" s="116">
        <f>SUM(I14:I23)</f>
        <v>9888070.6699999999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446269</v>
      </c>
      <c r="M28" s="129"/>
      <c r="N28" s="115">
        <v>911.19</v>
      </c>
      <c r="O28" s="40"/>
      <c r="P28" s="115">
        <v>-7867.29</v>
      </c>
      <c r="Q28" s="40"/>
      <c r="R28" s="115">
        <f>755.33+N28</f>
        <v>1666.52</v>
      </c>
      <c r="S28" s="40"/>
      <c r="T28" s="115">
        <f>4795.98+P28</f>
        <v>-3071.3100000000004</v>
      </c>
      <c r="U28" s="120"/>
      <c r="V28" s="115">
        <v>1306</v>
      </c>
      <c r="W28" s="40" t="s">
        <v>31</v>
      </c>
      <c r="X28" s="115">
        <v>6445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13054</v>
      </c>
      <c r="H29" s="29"/>
      <c r="I29" s="152">
        <v>26993</v>
      </c>
      <c r="J29" s="40"/>
      <c r="K29" s="40"/>
      <c r="L29" s="152">
        <v>7871049</v>
      </c>
      <c r="M29" s="129"/>
      <c r="N29" s="38">
        <v>13938.78</v>
      </c>
      <c r="O29" s="40"/>
      <c r="P29" s="45">
        <v>-202022.93</v>
      </c>
      <c r="Q29" s="40"/>
      <c r="R29" s="38">
        <f>13053.88+N29</f>
        <v>26992.66</v>
      </c>
      <c r="S29" s="40"/>
      <c r="T29" s="45">
        <f>34527.8+P29</f>
        <v>-167495.13</v>
      </c>
      <c r="U29" s="93"/>
      <c r="V29" s="38">
        <v>0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1572699</v>
      </c>
      <c r="H30" s="29"/>
      <c r="I30" s="45">
        <v>1370952</v>
      </c>
      <c r="J30" s="40"/>
      <c r="K30" s="40"/>
      <c r="L30" s="45">
        <v>1855139</v>
      </c>
      <c r="M30" s="129"/>
      <c r="N30" s="38"/>
      <c r="O30" s="40"/>
      <c r="P30" s="45"/>
      <c r="Q30" s="40"/>
      <c r="R30" s="38"/>
      <c r="S30" s="40"/>
      <c r="T30" s="45"/>
      <c r="U30" s="119"/>
      <c r="V30" s="38">
        <v>27108</v>
      </c>
      <c r="W30" s="40"/>
      <c r="X30" s="45">
        <v>156309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276.27</v>
      </c>
      <c r="Q31" s="181"/>
      <c r="R31" s="180"/>
      <c r="S31" s="181"/>
      <c r="T31" s="194">
        <f>-10315.64+P31</f>
        <v>-10039.369999999999</v>
      </c>
      <c r="U31" s="182"/>
      <c r="V31" s="180"/>
      <c r="W31" s="181"/>
      <c r="X31" s="194">
        <v>-8633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627081</v>
      </c>
      <c r="H33" s="29"/>
      <c r="I33" s="116">
        <f>SUM(I28:I32)</f>
        <v>439273</v>
      </c>
      <c r="J33" s="40"/>
      <c r="K33" s="40"/>
      <c r="L33" s="116">
        <f>SUM(L28:L32)</f>
        <v>9609380</v>
      </c>
      <c r="M33" s="129"/>
      <c r="N33" s="116">
        <f>SUM(N28:N32)</f>
        <v>14849.970000000001</v>
      </c>
      <c r="O33" s="40"/>
      <c r="P33" s="116">
        <f>SUM(P28:P32)</f>
        <v>-209613.95</v>
      </c>
      <c r="Q33" s="40"/>
      <c r="R33" s="116">
        <f>SUM(R28:R32)</f>
        <v>28659.18</v>
      </c>
      <c r="S33" s="40"/>
      <c r="T33" s="116">
        <f>SUM(T28:T32)</f>
        <v>-180605.81</v>
      </c>
      <c r="U33" s="120"/>
      <c r="V33" s="116">
        <f>SUM(V28:V32)</f>
        <v>28414</v>
      </c>
      <c r="W33" s="40"/>
      <c r="X33" s="116">
        <f>SUM(X28:X32)</f>
        <v>154121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12191599.67</v>
      </c>
      <c r="H35" s="29"/>
      <c r="I35" s="107">
        <f>+I33+I24+I11</f>
        <v>12375457.67</v>
      </c>
      <c r="J35" s="92"/>
      <c r="K35" s="92"/>
      <c r="L35" s="107">
        <f>+L33+L24+L11</f>
        <v>14552383.67</v>
      </c>
      <c r="M35" s="129"/>
      <c r="N35" s="107">
        <f>+N33+N24+N11</f>
        <v>15056.970000000001</v>
      </c>
      <c r="O35" s="92"/>
      <c r="P35" s="107">
        <f>+P33+P24+P11</f>
        <v>-209613.95</v>
      </c>
      <c r="Q35" s="92"/>
      <c r="R35" s="107">
        <f>+R33+R24+R11</f>
        <v>29403.18</v>
      </c>
      <c r="S35" s="92"/>
      <c r="T35" s="107">
        <f>+T33+T24+T11</f>
        <v>-180605.81</v>
      </c>
      <c r="U35" s="120"/>
      <c r="V35" s="107">
        <f>+V33+V24+V11</f>
        <v>29369</v>
      </c>
      <c r="W35" s="92"/>
      <c r="X35" s="107">
        <f>+X33+X24+X11</f>
        <v>154121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5525101</v>
      </c>
      <c r="H37" s="29"/>
      <c r="I37" s="175">
        <v>5488052</v>
      </c>
      <c r="J37" s="92"/>
      <c r="K37" s="92"/>
      <c r="L37" s="175">
        <v>5407871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207</v>
      </c>
      <c r="O50" s="205"/>
      <c r="P50" s="204"/>
      <c r="Q50" s="205"/>
      <c r="R50" s="204">
        <f>+R10</f>
        <v>744</v>
      </c>
      <c r="S50" s="205"/>
      <c r="T50" s="204"/>
      <c r="V50" s="22" t="s">
        <v>439</v>
      </c>
      <c r="Y50" s="231">
        <v>743.77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2418</v>
      </c>
    </row>
    <row r="53" spans="2:30">
      <c r="N53" s="206">
        <f>+N28+N29</f>
        <v>14849.970000000001</v>
      </c>
      <c r="O53" s="207"/>
      <c r="P53" s="206"/>
      <c r="Q53" s="207"/>
      <c r="R53" s="206">
        <f>+R28+R29</f>
        <v>28659.18</v>
      </c>
      <c r="S53" s="207"/>
      <c r="T53" s="206"/>
      <c r="V53" s="22" t="s">
        <v>440</v>
      </c>
      <c r="Y53" s="231">
        <v>28659.18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-209890.22</v>
      </c>
      <c r="Q55" s="205"/>
      <c r="R55" s="204"/>
      <c r="S55" s="205"/>
      <c r="T55" s="204">
        <f>+T28+T29</f>
        <v>-170566.44</v>
      </c>
      <c r="V55" s="22" t="s">
        <v>437</v>
      </c>
      <c r="Y55" s="61">
        <v>-170566.44</v>
      </c>
    </row>
    <row r="56" spans="2:30">
      <c r="N56" s="204"/>
      <c r="O56" s="205"/>
      <c r="P56" s="204">
        <f>+P31</f>
        <v>276.27</v>
      </c>
      <c r="Q56" s="205"/>
      <c r="R56" s="204"/>
      <c r="S56" s="205"/>
      <c r="T56" s="204">
        <f>+T31</f>
        <v>-10039.369999999999</v>
      </c>
      <c r="V56" s="22" t="s">
        <v>442</v>
      </c>
      <c r="Y56" s="231">
        <v>-10039.370000000001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15056.970000000001</v>
      </c>
      <c r="O58" s="205"/>
      <c r="P58" s="208">
        <f>SUM(P50:P57)</f>
        <v>-209613.95</v>
      </c>
      <c r="Q58" s="205"/>
      <c r="R58" s="208">
        <f>SUM(R50:R57)</f>
        <v>29403.18</v>
      </c>
      <c r="S58" s="204"/>
      <c r="T58" s="208">
        <f>SUM(T50:T57)</f>
        <v>-180605.81</v>
      </c>
      <c r="Y58" s="238">
        <f>SUM(Y50:Y57)</f>
        <v>-148784.85999999999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15287</v>
      </c>
      <c r="O60" s="205"/>
      <c r="P60" s="205">
        <v>-209614</v>
      </c>
      <c r="Q60" s="205"/>
      <c r="R60" s="205">
        <v>31821</v>
      </c>
      <c r="S60" s="205"/>
      <c r="T60" s="205">
        <v>-180606</v>
      </c>
      <c r="V60" s="237">
        <f>SUM(R60:T60)</f>
        <v>-148785</v>
      </c>
      <c r="W60" s="43"/>
      <c r="X60" s="43"/>
      <c r="Y60" s="43"/>
    </row>
    <row r="61" spans="2:30">
      <c r="L61" s="43" t="s">
        <v>388</v>
      </c>
      <c r="N61" s="236">
        <f>+N60-N58</f>
        <v>230.02999999999884</v>
      </c>
      <c r="O61" s="209"/>
      <c r="P61" s="209">
        <f>+P60-P58</f>
        <v>-4.9999999988358468E-2</v>
      </c>
      <c r="Q61" s="209"/>
      <c r="R61" s="209">
        <f>+R60-R58</f>
        <v>2417.8199999999997</v>
      </c>
      <c r="S61" s="209"/>
      <c r="T61" s="209">
        <f>+T60-T58</f>
        <v>-0.19000000000232831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Aug 2019 </oddFooter>
  </headerFooter>
  <legacy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43"/>
      <c r="V1" s="23"/>
      <c r="W1" s="23"/>
    </row>
    <row r="2" spans="1:25" ht="12.75" thickBot="1">
      <c r="B2" s="35"/>
      <c r="C2" s="23"/>
      <c r="D2" s="435" t="s">
        <v>485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44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42247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489</v>
      </c>
      <c r="H6" s="102"/>
      <c r="I6" s="80" t="s">
        <v>490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1643004</v>
      </c>
      <c r="H9" s="102"/>
      <c r="I9" s="103">
        <v>3955860</v>
      </c>
      <c r="J9" s="92"/>
      <c r="K9" s="92"/>
      <c r="L9" s="103">
        <v>2921214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2.5476449340196489E-4</v>
      </c>
      <c r="F10" s="111"/>
      <c r="G10" s="111">
        <v>405110</v>
      </c>
      <c r="H10" s="102"/>
      <c r="I10" s="111">
        <v>405207</v>
      </c>
      <c r="J10" s="92"/>
      <c r="K10" s="92"/>
      <c r="L10" s="111">
        <v>3895715</v>
      </c>
      <c r="M10" s="92"/>
      <c r="N10" s="56">
        <v>103.22</v>
      </c>
      <c r="O10" s="92"/>
      <c r="P10" s="72"/>
      <c r="Q10" s="42"/>
      <c r="R10" s="56">
        <v>846.99</v>
      </c>
      <c r="S10" s="92"/>
      <c r="T10" s="72"/>
      <c r="U10" s="86"/>
      <c r="V10" s="56">
        <v>1371.6599999999999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2048114</v>
      </c>
      <c r="H11" s="102"/>
      <c r="I11" s="103">
        <f>SUM(I9:I10)</f>
        <v>4361067</v>
      </c>
      <c r="J11" s="92"/>
      <c r="K11" s="92"/>
      <c r="L11" s="103">
        <f>SUM(L9:L10)</f>
        <v>6816929</v>
      </c>
      <c r="M11" s="92"/>
      <c r="N11" s="120">
        <f>SUM(N9:N10)</f>
        <v>103.22</v>
      </c>
      <c r="O11" s="92"/>
      <c r="P11" s="120">
        <f>SUM(P9:P10)</f>
        <v>0</v>
      </c>
      <c r="Q11" s="85"/>
      <c r="R11" s="120">
        <f>SUM(R9:R10)</f>
        <v>846.99</v>
      </c>
      <c r="S11" s="92"/>
      <c r="T11" s="120">
        <f>SUM(T9:T10)</f>
        <v>0</v>
      </c>
      <c r="U11" s="120"/>
      <c r="V11" s="120">
        <f>SUM(V9:V10)</f>
        <v>1371.6599999999999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499618</v>
      </c>
      <c r="H14" s="217"/>
      <c r="I14" s="240">
        <v>505010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9888070.6699999999</v>
      </c>
      <c r="H24" s="117"/>
      <c r="I24" s="116">
        <f>SUM(I14:I23)</f>
        <v>9893462.6699999999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446137</v>
      </c>
      <c r="M28" s="129"/>
      <c r="N28" s="115">
        <v>1395.45</v>
      </c>
      <c r="O28" s="40"/>
      <c r="P28" s="115">
        <v>3996.95</v>
      </c>
      <c r="Q28" s="40"/>
      <c r="R28" s="115">
        <f>755.33+Aug.2019!N28+N28</f>
        <v>3061.9700000000003</v>
      </c>
      <c r="S28" s="40"/>
      <c r="T28" s="115">
        <f>-3071+P28</f>
        <v>925.94999999999982</v>
      </c>
      <c r="U28" s="120"/>
      <c r="V28" s="115">
        <v>1575.99</v>
      </c>
      <c r="W28" s="40" t="s">
        <v>31</v>
      </c>
      <c r="X28" s="115">
        <v>6312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26993</v>
      </c>
      <c r="H29" s="29"/>
      <c r="I29" s="152">
        <v>45036</v>
      </c>
      <c r="J29" s="40"/>
      <c r="K29" s="40"/>
      <c r="L29" s="152">
        <v>7882143</v>
      </c>
      <c r="M29" s="129"/>
      <c r="N29" s="38">
        <v>18043.14</v>
      </c>
      <c r="O29" s="40"/>
      <c r="P29" s="45">
        <v>78782.350000000006</v>
      </c>
      <c r="Q29" s="40"/>
      <c r="R29" s="38">
        <f>13053.88+N29+Aug.2019!N29</f>
        <v>45035.799999999996</v>
      </c>
      <c r="S29" s="40"/>
      <c r="T29" s="45">
        <f>-167495+P29</f>
        <v>-88712.65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1370952</v>
      </c>
      <c r="H30" s="29"/>
      <c r="I30" s="45">
        <v>1450031</v>
      </c>
      <c r="J30" s="40"/>
      <c r="K30" s="40"/>
      <c r="L30" s="45">
        <v>1856085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156701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296.60000000000002</v>
      </c>
      <c r="Q31" s="181"/>
      <c r="R31" s="180"/>
      <c r="S31" s="181"/>
      <c r="T31" s="194">
        <f>-10039.64+P31</f>
        <v>-9743.0399999999991</v>
      </c>
      <c r="U31" s="182"/>
      <c r="V31" s="180">
        <v>38201.279999999999</v>
      </c>
      <c r="W31" s="181"/>
      <c r="X31" s="194">
        <v>-8348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439273</v>
      </c>
      <c r="H33" s="29"/>
      <c r="I33" s="116">
        <f>SUM(I28:I32)</f>
        <v>536395</v>
      </c>
      <c r="J33" s="40"/>
      <c r="K33" s="40"/>
      <c r="L33" s="116">
        <f>SUM(L28:L32)</f>
        <v>9621288</v>
      </c>
      <c r="M33" s="129"/>
      <c r="N33" s="116">
        <f>SUM(N28:N32)</f>
        <v>19438.59</v>
      </c>
      <c r="O33" s="40"/>
      <c r="P33" s="116">
        <f>SUM(P28:P32)</f>
        <v>83075.900000000009</v>
      </c>
      <c r="Q33" s="40"/>
      <c r="R33" s="116">
        <f>SUM(R28:R32)</f>
        <v>48097.77</v>
      </c>
      <c r="S33" s="40"/>
      <c r="T33" s="116">
        <f>SUM(T28:T32)</f>
        <v>-97529.739999999991</v>
      </c>
      <c r="U33" s="120"/>
      <c r="V33" s="116">
        <f>SUM(V28:V32)</f>
        <v>39777.269999999997</v>
      </c>
      <c r="W33" s="40"/>
      <c r="X33" s="116">
        <f>SUM(X28:X32)</f>
        <v>154665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12375457.67</v>
      </c>
      <c r="H35" s="29"/>
      <c r="I35" s="107">
        <f>+I33+I24+I11</f>
        <v>14790924.67</v>
      </c>
      <c r="J35" s="92"/>
      <c r="K35" s="92"/>
      <c r="L35" s="107">
        <f>+L33+L24+L11</f>
        <v>17206648.670000002</v>
      </c>
      <c r="M35" s="129"/>
      <c r="N35" s="107">
        <f>+N33+N24+N11</f>
        <v>19541.810000000001</v>
      </c>
      <c r="O35" s="92"/>
      <c r="P35" s="107">
        <f>+P33+P24+P11</f>
        <v>83075.900000000009</v>
      </c>
      <c r="Q35" s="92"/>
      <c r="R35" s="107">
        <f>+R33+R24+R11</f>
        <v>48944.759999999995</v>
      </c>
      <c r="S35" s="92"/>
      <c r="T35" s="107">
        <f>+T33+T24+T11</f>
        <v>-97529.739999999991</v>
      </c>
      <c r="U35" s="120"/>
      <c r="V35" s="107">
        <f>+V33+V24+V11</f>
        <v>41148.929999999993</v>
      </c>
      <c r="W35" s="92"/>
      <c r="X35" s="107">
        <f>+X33+X24+X11</f>
        <v>154665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5488052</v>
      </c>
      <c r="H37" s="29"/>
      <c r="I37" s="175">
        <v>5509053</v>
      </c>
      <c r="J37" s="92"/>
      <c r="K37" s="92"/>
      <c r="L37" s="175">
        <v>5394297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103.22</v>
      </c>
      <c r="O50" s="205"/>
      <c r="P50" s="204"/>
      <c r="Q50" s="205"/>
      <c r="R50" s="204">
        <f>+R10</f>
        <v>846.99</v>
      </c>
      <c r="S50" s="205"/>
      <c r="T50" s="204"/>
      <c r="V50" s="22" t="s">
        <v>439</v>
      </c>
      <c r="Y50" s="231">
        <v>846.99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2826.4</v>
      </c>
    </row>
    <row r="53" spans="2:30">
      <c r="N53" s="206">
        <f>+N28+N29</f>
        <v>19438.59</v>
      </c>
      <c r="O53" s="207"/>
      <c r="P53" s="206"/>
      <c r="Q53" s="207"/>
      <c r="R53" s="206">
        <f>+R28+R29</f>
        <v>48097.77</v>
      </c>
      <c r="S53" s="207"/>
      <c r="T53" s="206"/>
      <c r="V53" s="22" t="s">
        <v>440</v>
      </c>
      <c r="Y53" s="231">
        <v>48097.77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82779.3</v>
      </c>
      <c r="Q55" s="205"/>
      <c r="R55" s="204"/>
      <c r="S55" s="205"/>
      <c r="T55" s="204">
        <f>+T28+T29</f>
        <v>-87786.7</v>
      </c>
      <c r="V55" s="22" t="s">
        <v>437</v>
      </c>
      <c r="Y55" s="61">
        <v>-87787.14</v>
      </c>
    </row>
    <row r="56" spans="2:30">
      <c r="N56" s="204"/>
      <c r="O56" s="205"/>
      <c r="P56" s="204">
        <f>+P31</f>
        <v>296.60000000000002</v>
      </c>
      <c r="Q56" s="205"/>
      <c r="R56" s="204"/>
      <c r="S56" s="205"/>
      <c r="T56" s="204">
        <f>+T31</f>
        <v>-9743.0399999999991</v>
      </c>
      <c r="V56" s="22" t="s">
        <v>442</v>
      </c>
      <c r="Y56" s="231">
        <v>-9742.77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19541.810000000001</v>
      </c>
      <c r="O58" s="205"/>
      <c r="P58" s="208">
        <f>SUM(P50:P57)</f>
        <v>83075.900000000009</v>
      </c>
      <c r="Q58" s="205"/>
      <c r="R58" s="208">
        <f>SUM(R50:R57)</f>
        <v>48944.759999999995</v>
      </c>
      <c r="S58" s="204"/>
      <c r="T58" s="208">
        <f>SUM(T50:T57)</f>
        <v>-97529.739999999991</v>
      </c>
      <c r="Y58" s="238">
        <f>SUM(Y50:Y57)</f>
        <v>-45758.75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19950</v>
      </c>
      <c r="O60" s="205"/>
      <c r="P60" s="205">
        <v>83076</v>
      </c>
      <c r="Q60" s="205"/>
      <c r="R60" s="205">
        <v>51771</v>
      </c>
      <c r="S60" s="205"/>
      <c r="T60" s="205">
        <v>-97530</v>
      </c>
      <c r="V60" s="237">
        <f>SUM(R60:T60)</f>
        <v>-45759</v>
      </c>
      <c r="W60" s="43"/>
      <c r="X60" s="43"/>
      <c r="Y60" s="43"/>
    </row>
    <row r="61" spans="2:30">
      <c r="L61" s="43" t="s">
        <v>388</v>
      </c>
      <c r="N61" s="236">
        <f>+N60-N58</f>
        <v>408.18999999999869</v>
      </c>
      <c r="O61" s="209"/>
      <c r="P61" s="209">
        <f>+P60-P58</f>
        <v>9.9999999991268851E-2</v>
      </c>
      <c r="Q61" s="209"/>
      <c r="R61" s="209">
        <f>+R60-R58</f>
        <v>2826.2400000000052</v>
      </c>
      <c r="S61" s="209"/>
      <c r="T61" s="209">
        <f>+T60-T58</f>
        <v>-0.26000000000931323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Sept  2019 </oddFooter>
  </headerFooter>
  <legacy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tabColor rgb="FFFFFF00"/>
    <pageSetUpPr fitToPage="1"/>
  </sheetPr>
  <dimension ref="A1:AD75"/>
  <sheetViews>
    <sheetView showGridLines="0" zoomScaleNormal="100" workbookViewId="0">
      <selection activeCell="T28" sqref="T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45"/>
      <c r="V1" s="23"/>
      <c r="W1" s="23"/>
    </row>
    <row r="2" spans="1:25" ht="12.75" thickBot="1">
      <c r="B2" s="35"/>
      <c r="C2" s="23"/>
      <c r="D2" s="435" t="s">
        <v>485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46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42277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491</v>
      </c>
      <c r="H6" s="102"/>
      <c r="I6" s="80" t="s">
        <v>492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3955860</v>
      </c>
      <c r="H9" s="102"/>
      <c r="I9" s="103">
        <v>1013299</v>
      </c>
      <c r="J9" s="92"/>
      <c r="K9" s="92"/>
      <c r="L9" s="103">
        <v>1175373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2.4891523846253466E-4</v>
      </c>
      <c r="F10" s="111"/>
      <c r="G10" s="111">
        <v>405207</v>
      </c>
      <c r="H10" s="102"/>
      <c r="I10" s="111">
        <v>2405549</v>
      </c>
      <c r="J10" s="92"/>
      <c r="K10" s="92"/>
      <c r="L10" s="111">
        <v>3896764</v>
      </c>
      <c r="M10" s="92"/>
      <c r="N10" s="56">
        <v>349.82</v>
      </c>
      <c r="O10" s="92"/>
      <c r="P10" s="72"/>
      <c r="Q10" s="42"/>
      <c r="R10" s="56">
        <v>1196.81</v>
      </c>
      <c r="S10" s="92"/>
      <c r="T10" s="72"/>
      <c r="U10" s="86"/>
      <c r="V10" s="56">
        <f>524.79+429.74+417.13+1056.65</f>
        <v>2428.31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4361067</v>
      </c>
      <c r="H11" s="102"/>
      <c r="I11" s="103">
        <f>SUM(I9:I10)</f>
        <v>3418848</v>
      </c>
      <c r="J11" s="92"/>
      <c r="K11" s="92"/>
      <c r="L11" s="103">
        <f>SUM(L9:L10)</f>
        <v>5072137</v>
      </c>
      <c r="M11" s="92"/>
      <c r="N11" s="120">
        <f>SUM(N9:N10)</f>
        <v>349.82</v>
      </c>
      <c r="O11" s="92"/>
      <c r="P11" s="120">
        <f>SUM(P9:P10)</f>
        <v>0</v>
      </c>
      <c r="Q11" s="85"/>
      <c r="R11" s="120">
        <f>SUM(R9:R10)</f>
        <v>1196.81</v>
      </c>
      <c r="S11" s="92"/>
      <c r="T11" s="120">
        <f>SUM(T9:T10)</f>
        <v>0</v>
      </c>
      <c r="U11" s="120"/>
      <c r="V11" s="120">
        <f>SUM(V9:V10)</f>
        <v>2428.31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505010</v>
      </c>
      <c r="H14" s="217"/>
      <c r="I14" s="240">
        <v>512241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9893462.6699999999</v>
      </c>
      <c r="H24" s="117"/>
      <c r="I24" s="116">
        <f>SUM(I14:I23)</f>
        <v>9797884.6699999999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448063</v>
      </c>
      <c r="M28" s="129"/>
      <c r="N28" s="115">
        <v>780.7</v>
      </c>
      <c r="O28" s="40"/>
      <c r="P28" s="115">
        <v>6449.63</v>
      </c>
      <c r="Q28" s="40"/>
      <c r="R28" s="115">
        <f>'Sept 2019'!R28+N28</f>
        <v>3842.67</v>
      </c>
      <c r="S28" s="40"/>
      <c r="T28" s="115">
        <f>'Sept 2019'!T28+P28</f>
        <v>7375.58</v>
      </c>
      <c r="U28" s="120"/>
      <c r="V28" s="115">
        <f>605.67+700.58+269.74+1524.05</f>
        <v>3100.04</v>
      </c>
      <c r="W28" s="40" t="s">
        <v>31</v>
      </c>
      <c r="X28" s="115">
        <f>2757.28+3687.51-132.48-35192.03</f>
        <v>-28879.719999999998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45036</v>
      </c>
      <c r="H29" s="29"/>
      <c r="I29" s="152">
        <v>57574</v>
      </c>
      <c r="J29" s="40"/>
      <c r="K29" s="40"/>
      <c r="L29" s="152">
        <v>7896385</v>
      </c>
      <c r="M29" s="129"/>
      <c r="N29" s="38">
        <v>12537.83</v>
      </c>
      <c r="O29" s="40"/>
      <c r="P29" s="45">
        <v>219660.89</v>
      </c>
      <c r="Q29" s="40"/>
      <c r="R29" s="115">
        <f>'Sept 2019'!R29+N29</f>
        <v>57573.63</v>
      </c>
      <c r="S29" s="40"/>
      <c r="T29" s="45">
        <f>-88713+P29</f>
        <v>130947.89000000001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1450031</v>
      </c>
      <c r="H30" s="29"/>
      <c r="I30" s="45">
        <v>1659415</v>
      </c>
      <c r="J30" s="40"/>
      <c r="K30" s="40"/>
      <c r="L30" s="45">
        <v>1189495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f>177898.63-21589.41+392.03-621870.64</f>
        <v>-465169.39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-10277.36</v>
      </c>
      <c r="Q31" s="181"/>
      <c r="R31" s="180"/>
      <c r="S31" s="181"/>
      <c r="T31" s="194">
        <f>'Sept 2019'!T31+'Oct 2019'!P31</f>
        <v>-20020.400000000001</v>
      </c>
      <c r="U31" s="182"/>
      <c r="V31" s="38">
        <f>14407.65+12700+11093.63+14242.33</f>
        <v>52443.61</v>
      </c>
      <c r="W31" s="181"/>
      <c r="X31" s="194">
        <f>-8915.26+282.55+284.39-9126.3</f>
        <v>-17474.620000000003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536395</v>
      </c>
      <c r="H33" s="29"/>
      <c r="I33" s="116">
        <f>SUM(I28:I32)</f>
        <v>861126</v>
      </c>
      <c r="J33" s="40"/>
      <c r="K33" s="40"/>
      <c r="L33" s="116">
        <f>SUM(L28:L32)</f>
        <v>8970866</v>
      </c>
      <c r="M33" s="129"/>
      <c r="N33" s="116">
        <f>SUM(N28:N32)</f>
        <v>13318.53</v>
      </c>
      <c r="O33" s="40"/>
      <c r="P33" s="116">
        <f>SUM(P28:P32)</f>
        <v>215833.16000000003</v>
      </c>
      <c r="Q33" s="40"/>
      <c r="R33" s="116">
        <f>SUM(R28:R32)</f>
        <v>61416.299999999996</v>
      </c>
      <c r="S33" s="40"/>
      <c r="T33" s="116">
        <f>SUM(T28:T32)</f>
        <v>118303.07</v>
      </c>
      <c r="U33" s="120"/>
      <c r="V33" s="116">
        <f>SUM(V28:V32)</f>
        <v>55543.65</v>
      </c>
      <c r="W33" s="40"/>
      <c r="X33" s="116">
        <f>SUM(X28:X32)</f>
        <v>-511523.73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14790924.67</v>
      </c>
      <c r="H35" s="29"/>
      <c r="I35" s="107">
        <f>+I33+I24+I11</f>
        <v>14077858.67</v>
      </c>
      <c r="J35" s="92"/>
      <c r="K35" s="92"/>
      <c r="L35" s="107">
        <f>+L33+L24+L11</f>
        <v>14811434.67</v>
      </c>
      <c r="M35" s="129"/>
      <c r="N35" s="107">
        <f>+N33+N24+N11</f>
        <v>13668.35</v>
      </c>
      <c r="O35" s="92"/>
      <c r="P35" s="107">
        <f>+P33+P24+P11</f>
        <v>215833.16000000003</v>
      </c>
      <c r="Q35" s="92"/>
      <c r="R35" s="107">
        <f>+R33+R24+R11</f>
        <v>62613.109999999993</v>
      </c>
      <c r="S35" s="92"/>
      <c r="T35" s="107">
        <f>+T33+T24+T11</f>
        <v>118303.07</v>
      </c>
      <c r="U35" s="120"/>
      <c r="V35" s="107">
        <f>+V33+V24+V11</f>
        <v>57971.96</v>
      </c>
      <c r="W35" s="92"/>
      <c r="X35" s="107">
        <f>+X33+X24+X11</f>
        <v>-511523.73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5509053</v>
      </c>
      <c r="H37" s="29"/>
      <c r="I37" s="175">
        <v>5590854</v>
      </c>
      <c r="J37" s="92"/>
      <c r="K37" s="92"/>
      <c r="L37" s="175">
        <v>5082326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349.82</v>
      </c>
      <c r="O50" s="205"/>
      <c r="P50" s="204"/>
      <c r="Q50" s="205"/>
      <c r="R50" s="204">
        <f>+R10</f>
        <v>1196.81</v>
      </c>
      <c r="S50" s="205"/>
      <c r="T50" s="204"/>
      <c r="V50" s="22" t="s">
        <v>439</v>
      </c>
      <c r="Y50" s="231">
        <v>1196.81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2599.86</v>
      </c>
    </row>
    <row r="53" spans="2:30">
      <c r="N53" s="206">
        <f>+N28+N29</f>
        <v>13318.53</v>
      </c>
      <c r="O53" s="207"/>
      <c r="P53" s="206"/>
      <c r="Q53" s="207"/>
      <c r="R53" s="206">
        <f>+R28+R29</f>
        <v>61416.299999999996</v>
      </c>
      <c r="S53" s="207"/>
      <c r="T53" s="206"/>
      <c r="V53" s="22" t="s">
        <v>440</v>
      </c>
      <c r="Y53" s="231">
        <v>61416.34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226110.52000000002</v>
      </c>
      <c r="Q55" s="205"/>
      <c r="R55" s="204"/>
      <c r="S55" s="205"/>
      <c r="T55" s="204">
        <f>+T28+T29</f>
        <v>138323.47</v>
      </c>
      <c r="V55" s="22" t="s">
        <v>437</v>
      </c>
      <c r="Y55" s="61">
        <v>138323.38</v>
      </c>
    </row>
    <row r="56" spans="2:30">
      <c r="N56" s="204"/>
      <c r="O56" s="205"/>
      <c r="P56" s="204">
        <f>+P31</f>
        <v>-10277.36</v>
      </c>
      <c r="Q56" s="205"/>
      <c r="R56" s="204"/>
      <c r="S56" s="205"/>
      <c r="T56" s="204">
        <f>+T31</f>
        <v>-20020.400000000001</v>
      </c>
      <c r="V56" s="22" t="s">
        <v>442</v>
      </c>
      <c r="Y56" s="231">
        <v>-20020.13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13668.35</v>
      </c>
      <c r="O58" s="205"/>
      <c r="P58" s="208">
        <f>SUM(P50:P57)</f>
        <v>215833.16000000003</v>
      </c>
      <c r="Q58" s="205"/>
      <c r="R58" s="208">
        <f>SUM(R50:R57)</f>
        <v>62613.109999999993</v>
      </c>
      <c r="S58" s="204"/>
      <c r="T58" s="208">
        <f>SUM(T50:T57)</f>
        <v>118303.07</v>
      </c>
      <c r="Y58" s="238">
        <f>SUM(Y50:Y57)</f>
        <v>183516.26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13442</v>
      </c>
      <c r="O60" s="205"/>
      <c r="P60" s="205">
        <v>215833</v>
      </c>
      <c r="Q60" s="205"/>
      <c r="R60" s="205">
        <v>65213</v>
      </c>
      <c r="S60" s="205"/>
      <c r="T60" s="205">
        <v>118303</v>
      </c>
      <c r="V60" s="237">
        <f>SUM(R60:T60)</f>
        <v>183516</v>
      </c>
      <c r="W60" s="43"/>
      <c r="X60" s="43"/>
      <c r="Y60" s="43"/>
    </row>
    <row r="61" spans="2:30">
      <c r="L61" s="43" t="s">
        <v>388</v>
      </c>
      <c r="N61" s="236">
        <f>+N60-N58</f>
        <v>-226.35000000000036</v>
      </c>
      <c r="O61" s="209"/>
      <c r="P61" s="209">
        <f>+P60-P58</f>
        <v>-0.16000000003259629</v>
      </c>
      <c r="Q61" s="209"/>
      <c r="R61" s="209">
        <f>+R60-R58</f>
        <v>2599.8900000000067</v>
      </c>
      <c r="S61" s="209"/>
      <c r="T61" s="209">
        <f>+T60-T58</f>
        <v>-7.0000000006984919E-2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Oct  2019 </oddFooter>
  </headerFooter>
  <legacy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tabColor rgb="FFFFFF00"/>
    <pageSetUpPr fitToPage="1"/>
  </sheetPr>
  <dimension ref="A1:AA74"/>
  <sheetViews>
    <sheetView showGridLines="0" zoomScaleNormal="100" workbookViewId="0">
      <selection activeCell="K29" sqref="K29:M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7" t="s">
        <v>0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271"/>
    </row>
    <row r="2" spans="1:22" ht="15.75" thickBot="1">
      <c r="B2" s="438" t="s">
        <v>523</v>
      </c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9" t="s">
        <v>522</v>
      </c>
      <c r="F4" s="439"/>
      <c r="G4" s="439"/>
      <c r="H4" s="439"/>
      <c r="I4" s="439"/>
      <c r="J4" s="275"/>
      <c r="K4" s="439" t="s">
        <v>80</v>
      </c>
      <c r="L4" s="439"/>
      <c r="M4" s="439"/>
      <c r="N4" s="439"/>
      <c r="O4" s="439"/>
      <c r="P4" s="439"/>
      <c r="Q4" s="439"/>
      <c r="R4" s="439"/>
      <c r="S4" s="439"/>
      <c r="T4" s="439"/>
      <c r="U4" s="439"/>
      <c r="V4" s="271"/>
    </row>
    <row r="5" spans="1:22" ht="15.75" thickBot="1">
      <c r="A5" s="260"/>
      <c r="B5" s="345">
        <v>42369</v>
      </c>
      <c r="C5" s="271"/>
      <c r="D5" s="271"/>
      <c r="E5" s="274"/>
      <c r="F5" s="274"/>
      <c r="G5" s="274"/>
      <c r="H5" s="276"/>
      <c r="I5" s="274"/>
      <c r="J5" s="276"/>
      <c r="K5" s="440" t="s">
        <v>81</v>
      </c>
      <c r="L5" s="440"/>
      <c r="M5" s="440"/>
      <c r="N5" s="277"/>
      <c r="O5" s="440" t="s">
        <v>82</v>
      </c>
      <c r="P5" s="440"/>
      <c r="Q5" s="440"/>
      <c r="R5" s="277"/>
      <c r="S5" s="440" t="s">
        <v>166</v>
      </c>
      <c r="T5" s="440"/>
      <c r="U5" s="440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521</v>
      </c>
      <c r="F6" s="279"/>
      <c r="G6" s="278" t="s">
        <v>520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198536</v>
      </c>
      <c r="F9" s="287"/>
      <c r="G9" s="293">
        <f>3385303-1407101</f>
        <v>1978202</v>
      </c>
      <c r="H9" s="288"/>
      <c r="I9" s="293">
        <v>1295921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1.9245679489166177E-4</v>
      </c>
      <c r="E10" s="297">
        <v>2406742</v>
      </c>
      <c r="F10" s="287"/>
      <c r="G10" s="297">
        <v>1407101</v>
      </c>
      <c r="H10" s="288"/>
      <c r="I10" s="297">
        <v>2898556</v>
      </c>
      <c r="J10" s="287"/>
      <c r="K10" s="297">
        <v>367</v>
      </c>
      <c r="L10" s="288"/>
      <c r="M10" s="297"/>
      <c r="N10" s="287"/>
      <c r="O10" s="297">
        <v>2770</v>
      </c>
      <c r="P10" s="288"/>
      <c r="Q10" s="297"/>
      <c r="R10" s="287"/>
      <c r="S10" s="297">
        <v>4972.87</v>
      </c>
      <c r="T10" s="288"/>
      <c r="U10" s="298"/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2605278</v>
      </c>
      <c r="F11" s="279"/>
      <c r="G11" s="301">
        <f>SUM(G9:G10)</f>
        <v>3385303</v>
      </c>
      <c r="H11" s="276"/>
      <c r="I11" s="301">
        <f>SUM(I9:I10)</f>
        <v>4194477</v>
      </c>
      <c r="J11" s="279"/>
      <c r="K11" s="301">
        <f>SUM(K9:K10)</f>
        <v>367</v>
      </c>
      <c r="L11" s="276"/>
      <c r="M11" s="301">
        <f>SUM(M9:M10)</f>
        <v>0</v>
      </c>
      <c r="N11" s="279"/>
      <c r="O11" s="301">
        <f>SUM(O9:O10)</f>
        <v>2770</v>
      </c>
      <c r="P11" s="276"/>
      <c r="Q11" s="301">
        <f>SUM(Q9:Q10)</f>
        <v>0</v>
      </c>
      <c r="R11" s="279"/>
      <c r="S11" s="301">
        <f>SUM(S9:S10)</f>
        <v>4972.87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533765</v>
      </c>
      <c r="F14" s="309"/>
      <c r="G14" s="308">
        <v>530262</v>
      </c>
      <c r="H14" s="310"/>
      <c r="I14" s="308"/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/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768431.67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/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/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/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/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/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/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9819408.6699999999</v>
      </c>
      <c r="F24" s="317"/>
      <c r="G24" s="316">
        <f>SUM(G14:G23)</f>
        <v>9815906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/>
      <c r="F28" s="305"/>
      <c r="G28" s="320"/>
      <c r="H28" s="310"/>
      <c r="I28" s="320">
        <v>450565</v>
      </c>
      <c r="J28" s="305"/>
      <c r="K28" s="320">
        <v>506</v>
      </c>
      <c r="L28" s="310"/>
      <c r="M28" s="320">
        <v>-4009</v>
      </c>
      <c r="N28" s="305"/>
      <c r="O28" s="320">
        <v>7077</v>
      </c>
      <c r="P28" s="310"/>
      <c r="Q28" s="320">
        <v>22163</v>
      </c>
      <c r="R28" s="305"/>
      <c r="S28" s="320">
        <v>6097.15</v>
      </c>
      <c r="T28" s="310"/>
      <c r="U28" s="320">
        <v>-30948.379999999997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19">
        <v>144069</v>
      </c>
      <c r="F29" s="305"/>
      <c r="G29" s="319">
        <v>155495</v>
      </c>
      <c r="H29" s="310"/>
      <c r="I29" s="319">
        <v>8139439</v>
      </c>
      <c r="J29" s="305"/>
      <c r="K29" s="303">
        <v>11696</v>
      </c>
      <c r="L29" s="304"/>
      <c r="M29" s="303">
        <v>-102520</v>
      </c>
      <c r="N29" s="305"/>
      <c r="O29" s="319"/>
      <c r="P29" s="310"/>
      <c r="Q29" s="319"/>
      <c r="R29" s="305"/>
      <c r="S29" s="319"/>
      <c r="T29" s="310"/>
      <c r="U29" s="322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22">
        <v>2046526</v>
      </c>
      <c r="F30" s="305"/>
      <c r="G30" s="322">
        <v>1935447</v>
      </c>
      <c r="H30" s="310"/>
      <c r="I30" s="322">
        <v>510213</v>
      </c>
      <c r="J30" s="305"/>
      <c r="K30" s="303"/>
      <c r="L30" s="304"/>
      <c r="M30" s="303"/>
      <c r="N30" s="305"/>
      <c r="O30" s="322"/>
      <c r="P30" s="310"/>
      <c r="Q30" s="322"/>
      <c r="R30" s="305"/>
      <c r="S30" s="322">
        <v>306376.93</v>
      </c>
      <c r="T30" s="310"/>
      <c r="U30" s="322">
        <v>-573011.21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22"/>
      <c r="F31" s="305"/>
      <c r="G31" s="322"/>
      <c r="H31" s="310"/>
      <c r="I31" s="322"/>
      <c r="J31" s="305"/>
      <c r="K31" s="303"/>
      <c r="L31" s="304"/>
      <c r="M31" s="303">
        <v>-8559</v>
      </c>
      <c r="N31" s="305"/>
      <c r="O31" s="322"/>
      <c r="P31" s="324"/>
      <c r="Q31" s="322">
        <v>-28122</v>
      </c>
      <c r="R31" s="305"/>
      <c r="S31" s="322"/>
      <c r="T31" s="324"/>
      <c r="U31" s="303">
        <v>-24834.550000000003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22">
        <v>-855863</v>
      </c>
      <c r="F32" s="305"/>
      <c r="G32" s="322">
        <v>-855863</v>
      </c>
      <c r="H32" s="310"/>
      <c r="I32" s="322">
        <v>-563077</v>
      </c>
      <c r="J32" s="305"/>
      <c r="K32" s="303"/>
      <c r="L32" s="304"/>
      <c r="M32" s="303"/>
      <c r="N32" s="305"/>
      <c r="O32" s="322"/>
      <c r="P32" s="310"/>
      <c r="Q32" s="322"/>
      <c r="R32" s="305"/>
      <c r="S32" s="322"/>
      <c r="T32" s="310"/>
      <c r="U32" s="312">
        <v>0</v>
      </c>
      <c r="V32" s="304"/>
    </row>
    <row r="33" spans="1:22">
      <c r="A33" s="262"/>
      <c r="B33" s="271" t="s">
        <v>504</v>
      </c>
      <c r="E33" s="316">
        <f>SUM(E28:E32)</f>
        <v>1334732</v>
      </c>
      <c r="F33" s="274"/>
      <c r="G33" s="316">
        <f>SUM(G28:G32)</f>
        <v>1235079</v>
      </c>
      <c r="H33" s="325"/>
      <c r="I33" s="316">
        <f>SUM(I28:I32)</f>
        <v>8537140</v>
      </c>
      <c r="J33" s="274"/>
      <c r="K33" s="316">
        <f>SUM(K28:K32)</f>
        <v>12202</v>
      </c>
      <c r="L33" s="325"/>
      <c r="M33" s="316">
        <f>SUM(M28:M32)</f>
        <v>-115088</v>
      </c>
      <c r="N33" s="274"/>
      <c r="O33" s="316">
        <f>SUM(O28:O32)</f>
        <v>7077</v>
      </c>
      <c r="P33" s="325"/>
      <c r="Q33" s="316">
        <f>SUM(Q28:Q32)</f>
        <v>-5959</v>
      </c>
      <c r="R33" s="274"/>
      <c r="S33" s="316">
        <f>SUM(S28:S32)</f>
        <v>312474.08</v>
      </c>
      <c r="T33" s="325"/>
      <c r="U33" s="316">
        <f>SUM(U28:U32)</f>
        <v>-628794.14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13759418.67</v>
      </c>
      <c r="F35" s="274"/>
      <c r="G35" s="326">
        <f>+G33+G24+G11</f>
        <v>14436288</v>
      </c>
      <c r="H35" s="276"/>
      <c r="I35" s="326">
        <f>+I33+I24+I11</f>
        <v>13500048.67</v>
      </c>
      <c r="J35" s="274"/>
      <c r="K35" s="326">
        <f>+K33+K24+K11</f>
        <v>12569</v>
      </c>
      <c r="L35" s="276"/>
      <c r="M35" s="326">
        <f>+M33+M24+M11</f>
        <v>-115088</v>
      </c>
      <c r="N35" s="274"/>
      <c r="O35" s="326">
        <f>+O33+O24+O11</f>
        <v>9847</v>
      </c>
      <c r="P35" s="276"/>
      <c r="Q35" s="326">
        <f>+Q33+Q24+Q11</f>
        <v>-5959</v>
      </c>
      <c r="R35" s="274"/>
      <c r="S35" s="326">
        <f>+S33+S24+S11</f>
        <v>317446.95</v>
      </c>
      <c r="T35" s="276"/>
      <c r="U35" s="326">
        <f>+U33+U24+U11</f>
        <v>-628794.14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5789084</v>
      </c>
      <c r="F37" s="305"/>
      <c r="G37" s="320">
        <v>5818839</v>
      </c>
      <c r="H37" s="288"/>
      <c r="I37" s="320">
        <v>5410898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367</v>
      </c>
      <c r="L49" s="328"/>
      <c r="M49" s="332"/>
      <c r="N49" s="328"/>
      <c r="O49" s="332">
        <f>+O10</f>
        <v>2770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12202</v>
      </c>
      <c r="L52" s="335"/>
      <c r="M52" s="320"/>
      <c r="N52" s="335"/>
      <c r="O52" s="320">
        <f>+O28+O29</f>
        <v>7077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-106529</v>
      </c>
      <c r="N54" s="328"/>
      <c r="O54" s="332"/>
      <c r="P54" s="328"/>
      <c r="Q54" s="332">
        <f>+Q28+Q29</f>
        <v>22163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-8559</v>
      </c>
      <c r="N55" s="328"/>
      <c r="O55" s="332"/>
      <c r="P55" s="328"/>
      <c r="Q55" s="332">
        <f>+Q31</f>
        <v>-28122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12569</v>
      </c>
      <c r="L57" s="328"/>
      <c r="M57" s="337">
        <f>SUM(M49:M56)</f>
        <v>-115088</v>
      </c>
      <c r="N57" s="328"/>
      <c r="O57" s="337">
        <f>SUM(O49:O56)</f>
        <v>9847</v>
      </c>
      <c r="P57" s="332"/>
      <c r="Q57" s="337">
        <f>SUM(Q49:Q56)</f>
        <v>-5959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68321</v>
      </c>
      <c r="L60" s="341"/>
      <c r="M60" s="341">
        <f>+M59-M57</f>
        <v>322094</v>
      </c>
      <c r="N60" s="341"/>
      <c r="O60" s="340">
        <f>+O59-O57</f>
        <v>149218</v>
      </c>
      <c r="P60" s="341"/>
      <c r="Q60" s="341">
        <f>+Q59-Q57</f>
        <v>530170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2:U2"/>
    <mergeCell ref="B1:U1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tabColor rgb="FFFFFF00"/>
    <pageSetUpPr fitToPage="1"/>
  </sheetPr>
  <dimension ref="A1:AD70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443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42062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459</v>
      </c>
      <c r="H6" s="102"/>
      <c r="I6" s="80" t="s">
        <v>460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1677439</v>
      </c>
      <c r="H9" s="102"/>
      <c r="I9" s="103">
        <v>1932042</v>
      </c>
      <c r="J9" s="92"/>
      <c r="K9" s="92"/>
      <c r="L9" s="103">
        <v>3665816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1.7953221000583517E-4</v>
      </c>
      <c r="F10" s="111"/>
      <c r="G10" s="111">
        <v>2899288</v>
      </c>
      <c r="H10" s="102"/>
      <c r="I10" s="111">
        <v>4899981</v>
      </c>
      <c r="J10" s="92"/>
      <c r="K10" s="92"/>
      <c r="L10" s="111">
        <v>2392851</v>
      </c>
      <c r="M10" s="92"/>
      <c r="N10" s="56">
        <v>700.11</v>
      </c>
      <c r="O10" s="92"/>
      <c r="P10" s="72"/>
      <c r="Q10" s="42"/>
      <c r="R10" s="56">
        <f>524.79+429.74+417.13+1056.65+960.85+845.17+738.54+700.11</f>
        <v>5672.98</v>
      </c>
      <c r="S10" s="92"/>
      <c r="T10" s="72"/>
      <c r="U10" s="86"/>
      <c r="V10" s="56">
        <f>122.81+92.66+75.16+82.95+124.34+114.9+189.45+249.09</f>
        <v>1051.3599999999999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4576727</v>
      </c>
      <c r="H11" s="102"/>
      <c r="I11" s="103">
        <f>SUM(I9:I10)</f>
        <v>6832023</v>
      </c>
      <c r="J11" s="92"/>
      <c r="K11" s="92"/>
      <c r="L11" s="103">
        <f>SUM(L9:L10)</f>
        <v>6058667</v>
      </c>
      <c r="M11" s="92"/>
      <c r="N11" s="120">
        <f>SUM(N9:N10)</f>
        <v>700.11</v>
      </c>
      <c r="O11" s="92"/>
      <c r="P11" s="120">
        <f>SUM(P9:P10)</f>
        <v>0</v>
      </c>
      <c r="Q11" s="85"/>
      <c r="R11" s="120">
        <f>SUM(R9:R10)</f>
        <v>5672.98</v>
      </c>
      <c r="S11" s="92"/>
      <c r="T11" s="120">
        <f>SUM(T9:T10)</f>
        <v>0</v>
      </c>
      <c r="U11" s="120"/>
      <c r="V11" s="120">
        <f>SUM(V9:V10)</f>
        <v>1051.3599999999999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451060</v>
      </c>
      <c r="H29" s="29"/>
      <c r="I29" s="115">
        <v>451533</v>
      </c>
      <c r="J29" s="40"/>
      <c r="K29" s="40"/>
      <c r="L29" s="115">
        <v>118483</v>
      </c>
      <c r="M29" s="129"/>
      <c r="N29" s="115">
        <v>472.94</v>
      </c>
      <c r="O29" s="40"/>
      <c r="P29" s="115">
        <v>10290.75</v>
      </c>
      <c r="Q29" s="40"/>
      <c r="R29" s="115">
        <f>605.67+700.58+269.74+1524.05+707.59+1794.19+495.33+472.94</f>
        <v>6570.0899999999992</v>
      </c>
      <c r="S29" s="40"/>
      <c r="T29" s="115">
        <f>2757.28+3687.51-132.48-35192.03+879.09-35749.95+32802.2+10290.75</f>
        <v>-20657.629999999997</v>
      </c>
      <c r="U29" s="120"/>
      <c r="V29" s="115">
        <f>211.25+181.67+235.23+320.73+127.74+871.1+134.54+125</f>
        <v>2207.2599999999998</v>
      </c>
      <c r="W29" s="40" t="s">
        <v>31</v>
      </c>
      <c r="X29" s="115">
        <f>5251.69-591.9+4817.97+6393.84+669.71+658.3+9728.51-1757.37</f>
        <v>25170.750000000004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8150318</v>
      </c>
      <c r="H31" s="29"/>
      <c r="I31" s="152">
        <v>8159983</v>
      </c>
      <c r="J31" s="40"/>
      <c r="K31" s="40"/>
      <c r="L31" s="152">
        <v>7793976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</f>
        <v>164804.87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1072224</v>
      </c>
      <c r="H32" s="29"/>
      <c r="I32" s="45">
        <v>1297359</v>
      </c>
      <c r="J32" s="40"/>
      <c r="K32" s="40"/>
      <c r="L32" s="45">
        <v>1991621</v>
      </c>
      <c r="M32" s="129"/>
      <c r="N32" s="38">
        <v>9664.7900000000009</v>
      </c>
      <c r="O32" s="40"/>
      <c r="P32" s="45">
        <v>215632.18</v>
      </c>
      <c r="Q32" s="40"/>
      <c r="R32" s="38">
        <f>14407.65+12700+11093.63+14242.33+9968.34+233086.5+10878.48+9664.79</f>
        <v>316041.71999999997</v>
      </c>
      <c r="S32" s="40"/>
      <c r="T32" s="45">
        <f>177898.63-21589.41+392.03-621870.64+72027.45-716987.32+537118.05+215632.18</f>
        <v>-357379.02999999997</v>
      </c>
      <c r="U32" s="119"/>
      <c r="V32" s="38"/>
      <c r="W32" s="40"/>
      <c r="X32" s="45">
        <f>190411.34+42151.07+153701.85+156770.59+97077.67+17948.36+436954.69-310528.45</f>
        <v>784487.12000000011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-787.19</v>
      </c>
      <c r="Q33" s="181"/>
      <c r="R33" s="180"/>
      <c r="S33" s="181"/>
      <c r="T33" s="194">
        <f>-8915.26+282.55+284.39-9126.3+284.73+265.08-7909.74-787.19</f>
        <v>-25621.74</v>
      </c>
      <c r="U33" s="182"/>
      <c r="V33" s="180"/>
      <c r="W33" s="181"/>
      <c r="X33" s="194">
        <f>-8274.97-683.39+330.76-8056.18-789.61+264.5-8379.94-1099.74</f>
        <v>-26688.570000000003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9110525</v>
      </c>
      <c r="H35" s="29"/>
      <c r="I35" s="116">
        <f>SUM(I29:I34)</f>
        <v>9345798</v>
      </c>
      <c r="J35" s="40"/>
      <c r="K35" s="40"/>
      <c r="L35" s="116">
        <f>SUM(L29:L34)</f>
        <v>9341003</v>
      </c>
      <c r="M35" s="129"/>
      <c r="N35" s="116">
        <f>SUM(N29:N34)</f>
        <v>10137.730000000001</v>
      </c>
      <c r="O35" s="40"/>
      <c r="P35" s="116">
        <f>SUM(P29:P34)</f>
        <v>225135.74</v>
      </c>
      <c r="Q35" s="40"/>
      <c r="R35" s="116">
        <f>SUM(R29:R34)</f>
        <v>322611.81</v>
      </c>
      <c r="S35" s="40"/>
      <c r="T35" s="116">
        <f>SUM(T29:T34)</f>
        <v>-403658.39999999997</v>
      </c>
      <c r="U35" s="120"/>
      <c r="V35" s="116">
        <f>SUM(V29:V34)</f>
        <v>167012.13</v>
      </c>
      <c r="W35" s="40"/>
      <c r="X35" s="116">
        <f>SUM(X29:X34)</f>
        <v>782969.30000000016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14455683.65</v>
      </c>
      <c r="H37" s="29"/>
      <c r="I37" s="107">
        <f>+I35+I25+I19+I11</f>
        <v>16946252.649999999</v>
      </c>
      <c r="J37" s="92"/>
      <c r="K37" s="92"/>
      <c r="L37" s="107">
        <f>+L35+L25+L19+L11</f>
        <v>16168101.65</v>
      </c>
      <c r="M37" s="129"/>
      <c r="N37" s="107">
        <f>+N35+N25+N19+N11</f>
        <v>10837.840000000002</v>
      </c>
      <c r="O37" s="92"/>
      <c r="P37" s="107">
        <f>+P35+P25+P19+P11</f>
        <v>225135.74</v>
      </c>
      <c r="Q37" s="92"/>
      <c r="R37" s="107">
        <f>+R35+R25+R19+R11</f>
        <v>328284.78999999998</v>
      </c>
      <c r="S37" s="92"/>
      <c r="T37" s="107">
        <f>+T35+T25+T19+T11</f>
        <v>-403658.39999999997</v>
      </c>
      <c r="U37" s="120"/>
      <c r="V37" s="107">
        <f>+V35+V25+V19+V11</f>
        <v>168063.49</v>
      </c>
      <c r="W37" s="92"/>
      <c r="X37" s="107">
        <f>+X35+X25+X19+X11</f>
        <v>782969.30000000016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5198126</v>
      </c>
      <c r="H39" s="29"/>
      <c r="I39" s="175">
        <v>5280002</v>
      </c>
      <c r="J39" s="92"/>
      <c r="K39" s="92"/>
      <c r="L39" s="175">
        <v>5247328.84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700.11</v>
      </c>
      <c r="O53" s="205"/>
      <c r="P53" s="204"/>
      <c r="Q53" s="205"/>
      <c r="R53" s="204">
        <f>+R10</f>
        <v>5672.98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10137.730000000001</v>
      </c>
      <c r="O56" s="207"/>
      <c r="P56" s="206"/>
      <c r="Q56" s="207"/>
      <c r="R56" s="206">
        <f>+R35</f>
        <v>322611.81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225135.74</v>
      </c>
      <c r="Q58" s="205"/>
      <c r="R58" s="204"/>
      <c r="S58" s="205"/>
      <c r="T58" s="204">
        <f>+T37</f>
        <v>-403658.39999999997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10837.840000000002</v>
      </c>
      <c r="O61" s="205"/>
      <c r="P61" s="208">
        <f>SUM(P53:P60)</f>
        <v>225135.74</v>
      </c>
      <c r="Q61" s="205"/>
      <c r="R61" s="208">
        <f>SUM(R53:R60)</f>
        <v>328284.78999999998</v>
      </c>
      <c r="S61" s="204"/>
      <c r="T61" s="208">
        <f>SUM(T53:T60)</f>
        <v>-403658.39999999997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10848</v>
      </c>
      <c r="O63" s="205"/>
      <c r="P63" s="205">
        <v>225136</v>
      </c>
      <c r="Q63" s="205"/>
      <c r="R63" s="205">
        <v>354952</v>
      </c>
      <c r="S63" s="205"/>
      <c r="T63" s="205">
        <v>-403659</v>
      </c>
    </row>
    <row r="64" spans="2:23">
      <c r="L64" s="43" t="s">
        <v>388</v>
      </c>
      <c r="N64" s="209">
        <f>+N63-N61</f>
        <v>10.159999999998035</v>
      </c>
      <c r="O64" s="209"/>
      <c r="P64" s="209">
        <f>+P63-P61</f>
        <v>0.26000000000931323</v>
      </c>
      <c r="Q64" s="209"/>
      <c r="R64" s="209">
        <f>+R63-R61</f>
        <v>26667.210000000021</v>
      </c>
      <c r="S64" s="209"/>
      <c r="T64" s="209">
        <f>+T63-T61</f>
        <v>-0.6000000000349246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February 2019 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37500</v>
      </c>
      <c r="I7" s="4"/>
      <c r="J7" s="18">
        <v>37472</v>
      </c>
      <c r="K7" s="4"/>
      <c r="L7" s="18">
        <v>37129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448</v>
      </c>
      <c r="O11" s="13"/>
      <c r="P11" s="12">
        <v>898</v>
      </c>
      <c r="Q11" s="13"/>
      <c r="R11" s="12">
        <v>587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129138</v>
      </c>
      <c r="I14" s="13"/>
      <c r="J14" s="12">
        <v>128738</v>
      </c>
      <c r="K14" s="13"/>
      <c r="L14" s="12">
        <v>122132</v>
      </c>
      <c r="M14" s="13"/>
      <c r="N14" s="12">
        <v>400</v>
      </c>
      <c r="O14" s="13"/>
      <c r="P14" s="12">
        <v>800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70854</v>
      </c>
      <c r="I15" s="13"/>
      <c r="J15" s="15">
        <v>70654</v>
      </c>
      <c r="K15" s="13"/>
      <c r="L15" s="15">
        <v>67970</v>
      </c>
      <c r="M15" s="13"/>
      <c r="N15" s="15">
        <v>200</v>
      </c>
      <c r="O15" s="13"/>
      <c r="P15" s="15">
        <v>400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763069</v>
      </c>
      <c r="I17" s="13"/>
      <c r="J17" s="16">
        <f>SUM(J11:J15)</f>
        <v>762469</v>
      </c>
      <c r="K17" s="13"/>
      <c r="L17" s="16">
        <f>SUM(L11:L15)</f>
        <v>753312</v>
      </c>
      <c r="M17" s="13"/>
      <c r="N17" s="16">
        <f>SUM(N11:N15)</f>
        <v>1048</v>
      </c>
      <c r="O17" s="13"/>
      <c r="P17" s="16">
        <f>SUM(P11:P15)</f>
        <v>2098</v>
      </c>
      <c r="Q17" s="13"/>
      <c r="R17" s="16">
        <f>SUM(R11:R15)</f>
        <v>1487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4.8499999999999996</v>
      </c>
      <c r="G24" s="7"/>
      <c r="H24" s="15">
        <v>450067</v>
      </c>
      <c r="I24" s="13"/>
      <c r="J24" s="15">
        <v>448681</v>
      </c>
      <c r="K24" s="15">
        <v>425705</v>
      </c>
      <c r="L24" s="15">
        <v>433902</v>
      </c>
      <c r="M24" s="13"/>
      <c r="N24" s="15">
        <v>1949</v>
      </c>
      <c r="O24" s="13"/>
      <c r="P24" s="15">
        <v>3647</v>
      </c>
      <c r="Q24" s="13"/>
      <c r="R24" s="15">
        <v>1065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450067</v>
      </c>
      <c r="I26" s="13"/>
      <c r="J26" s="16">
        <f>SUM(J23:J24)</f>
        <v>448681</v>
      </c>
      <c r="K26" s="13"/>
      <c r="L26" s="16">
        <f>SUM(L23:L24)</f>
        <v>433902</v>
      </c>
      <c r="M26" s="13"/>
      <c r="N26" s="16">
        <f>SUM(N23:N24)</f>
        <v>1949</v>
      </c>
      <c r="O26" s="13"/>
      <c r="P26" s="16">
        <f>SUM(P23:P24)</f>
        <v>3647</v>
      </c>
      <c r="Q26" s="13"/>
      <c r="R26" s="16">
        <f>SUM(R23:R24)</f>
        <v>1065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5.03</v>
      </c>
      <c r="G32" s="7"/>
      <c r="H32" s="12">
        <v>1328306</v>
      </c>
      <c r="I32" s="13"/>
      <c r="J32" s="12">
        <v>1322909</v>
      </c>
      <c r="K32" s="13"/>
      <c r="L32" s="12">
        <v>1261780</v>
      </c>
      <c r="M32" s="13"/>
      <c r="N32" s="12">
        <v>5396</v>
      </c>
      <c r="O32" s="13" t="s">
        <v>31</v>
      </c>
      <c r="P32" s="12">
        <v>10770</v>
      </c>
      <c r="Q32" s="13"/>
      <c r="R32" s="12">
        <v>8812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4875</v>
      </c>
      <c r="I34" s="13"/>
      <c r="J34" s="12">
        <v>4858</v>
      </c>
      <c r="K34" s="13"/>
      <c r="L34" s="12">
        <v>4693</v>
      </c>
      <c r="M34" s="13"/>
      <c r="N34" s="12">
        <v>17</v>
      </c>
      <c r="O34" s="13"/>
      <c r="P34" s="12">
        <v>34</v>
      </c>
      <c r="Q34" s="13"/>
      <c r="R34" s="12">
        <v>22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5.27</v>
      </c>
      <c r="G35" s="7"/>
      <c r="H35" s="15">
        <v>8697306</v>
      </c>
      <c r="I35" s="13"/>
      <c r="J35" s="15">
        <v>6166549</v>
      </c>
      <c r="K35" s="13"/>
      <c r="L35" s="15">
        <v>5876806</v>
      </c>
      <c r="M35" s="13"/>
      <c r="N35" s="15">
        <v>30310</v>
      </c>
      <c r="O35" s="13"/>
      <c r="P35" s="15">
        <v>60012</v>
      </c>
      <c r="Q35" s="13"/>
      <c r="R35" s="15">
        <v>31412</v>
      </c>
      <c r="S35" s="7" t="s">
        <v>42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10039111</v>
      </c>
      <c r="I37" s="13"/>
      <c r="J37" s="16">
        <f>SUM(J32:J35)</f>
        <v>7502940</v>
      </c>
      <c r="K37" s="13"/>
      <c r="L37" s="16">
        <f>SUM(L32:L35)</f>
        <v>7152032</v>
      </c>
      <c r="M37" s="13"/>
      <c r="N37" s="16">
        <f>SUM(N32:N35)</f>
        <v>35723</v>
      </c>
      <c r="O37" s="13"/>
      <c r="P37" s="16">
        <f>SUM(P32:P35)</f>
        <v>70816</v>
      </c>
      <c r="Q37" s="13"/>
      <c r="R37" s="16">
        <f>SUM(R32:R35)</f>
        <v>40246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G23" sqref="G23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37653</v>
      </c>
      <c r="I7" s="4"/>
      <c r="J7" s="18">
        <v>37983</v>
      </c>
      <c r="K7" s="4"/>
      <c r="L7" s="18">
        <v>37654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3.67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302</v>
      </c>
      <c r="O11" s="13"/>
      <c r="P11" s="12">
        <v>2405</v>
      </c>
      <c r="Q11" s="13"/>
      <c r="R11" s="12">
        <v>3037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3.67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4.16</v>
      </c>
      <c r="G13" s="11"/>
      <c r="H13" s="12">
        <v>131298</v>
      </c>
      <c r="I13" s="13"/>
      <c r="J13" s="12">
        <v>130798</v>
      </c>
      <c r="K13" s="13"/>
      <c r="L13" s="12">
        <v>124832</v>
      </c>
      <c r="M13" s="13"/>
      <c r="N13" s="12">
        <v>500</v>
      </c>
      <c r="O13" s="13"/>
      <c r="P13" s="12">
        <v>3533</v>
      </c>
      <c r="Q13" s="13"/>
      <c r="R13" s="12">
        <v>3709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4.34</v>
      </c>
      <c r="G14" s="11"/>
      <c r="H14" s="15">
        <v>75901</v>
      </c>
      <c r="I14" s="13"/>
      <c r="J14" s="15">
        <v>75701</v>
      </c>
      <c r="K14" s="13"/>
      <c r="L14" s="15">
        <v>72376</v>
      </c>
      <c r="M14" s="13"/>
      <c r="N14" s="15">
        <v>200</v>
      </c>
      <c r="O14" s="13"/>
      <c r="P14" s="15">
        <v>1980</v>
      </c>
      <c r="Q14" s="13"/>
      <c r="R14" s="15">
        <v>1923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770276</v>
      </c>
      <c r="I16" s="13"/>
      <c r="J16" s="16">
        <f>SUM(J11:J15)</f>
        <v>769576</v>
      </c>
      <c r="K16" s="13"/>
      <c r="L16" s="16">
        <f>SUM(L11:L14)</f>
        <v>760285</v>
      </c>
      <c r="M16" s="13"/>
      <c r="N16" s="16">
        <f>SUM(N11:N14)</f>
        <v>1002</v>
      </c>
      <c r="O16" s="13"/>
      <c r="P16" s="16">
        <f>SUM(P11:P14)</f>
        <v>7918</v>
      </c>
      <c r="Q16" s="13"/>
      <c r="R16" s="16">
        <f>SUM(R11:R14)</f>
        <v>8669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1.75</v>
      </c>
      <c r="G23" s="7"/>
      <c r="H23" s="15">
        <v>413967</v>
      </c>
      <c r="I23" s="13"/>
      <c r="J23" s="15">
        <v>412354</v>
      </c>
      <c r="K23" s="15">
        <v>425705</v>
      </c>
      <c r="L23" s="15">
        <v>416412</v>
      </c>
      <c r="M23" s="13"/>
      <c r="N23" s="15">
        <v>1613</v>
      </c>
      <c r="O23" s="13"/>
      <c r="P23" s="15">
        <v>12299</v>
      </c>
      <c r="Q23" s="13"/>
      <c r="R23" s="15">
        <v>14798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413967</v>
      </c>
      <c r="I25" s="13"/>
      <c r="J25" s="16">
        <f>SUM(J23:J23)</f>
        <v>412354</v>
      </c>
      <c r="K25" s="13"/>
      <c r="L25" s="16">
        <f>SUM(L23:L23)</f>
        <v>416412</v>
      </c>
      <c r="M25" s="13"/>
      <c r="N25" s="16">
        <f>SUM(N22:N23)</f>
        <v>1613</v>
      </c>
      <c r="O25" s="13"/>
      <c r="P25" s="16">
        <f>SUM(P22:P23)</f>
        <v>12299</v>
      </c>
      <c r="Q25" s="13"/>
      <c r="R25" s="16">
        <f>SUM(R22:R23)</f>
        <v>14798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1367061</v>
      </c>
      <c r="I31" s="13"/>
      <c r="J31" s="12">
        <v>1361361</v>
      </c>
      <c r="K31" s="13"/>
      <c r="L31" s="12">
        <v>1295529</v>
      </c>
      <c r="M31" s="13"/>
      <c r="N31" s="12">
        <v>5700</v>
      </c>
      <c r="O31" s="13" t="s">
        <v>31</v>
      </c>
      <c r="P31" s="12">
        <v>39964</v>
      </c>
      <c r="Q31" s="13"/>
      <c r="R31" s="12">
        <v>38093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5216</v>
      </c>
      <c r="I33" s="13"/>
      <c r="J33" s="12">
        <v>5196</v>
      </c>
      <c r="K33" s="13"/>
      <c r="L33" s="12">
        <v>4977</v>
      </c>
      <c r="M33" s="13"/>
      <c r="N33" s="12">
        <v>20</v>
      </c>
      <c r="O33" s="13"/>
      <c r="P33" s="12">
        <v>143</v>
      </c>
      <c r="Q33" s="13"/>
      <c r="R33" s="12">
        <v>136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3.67</v>
      </c>
      <c r="G34" s="7"/>
      <c r="H34" s="15">
        <v>6752484</v>
      </c>
      <c r="I34" s="13"/>
      <c r="J34" s="15">
        <v>6732089</v>
      </c>
      <c r="K34" s="13"/>
      <c r="L34" s="15">
        <v>8374104</v>
      </c>
      <c r="M34" s="13"/>
      <c r="N34" s="15">
        <v>20093</v>
      </c>
      <c r="O34" s="13"/>
      <c r="P34" s="15">
        <v>196311</v>
      </c>
      <c r="Q34" s="13"/>
      <c r="R34" s="15">
        <v>234671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8133320</v>
      </c>
      <c r="I36" s="13"/>
      <c r="J36" s="16">
        <f>SUM(J31:J34)</f>
        <v>8107205</v>
      </c>
      <c r="K36" s="13"/>
      <c r="L36" s="16">
        <f>SUM(L31:L34)</f>
        <v>9683234</v>
      </c>
      <c r="M36" s="13"/>
      <c r="N36" s="16">
        <f>SUM(N31:N34)</f>
        <v>25813</v>
      </c>
      <c r="O36" s="13"/>
      <c r="P36" s="16">
        <f>SUM(P31:P34)</f>
        <v>236418</v>
      </c>
      <c r="Q36" s="13"/>
      <c r="R36" s="16">
        <f>SUM(R31:R34)</f>
        <v>272900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tabColor rgb="FFFFFF00"/>
    <pageSetUpPr fitToPage="1"/>
  </sheetPr>
  <dimension ref="A1:AD75"/>
  <sheetViews>
    <sheetView showGridLines="0" zoomScaleNormal="100" workbookViewId="0">
      <selection activeCell="R29" sqref="R29: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49"/>
      <c r="V1" s="23"/>
      <c r="W1" s="23"/>
    </row>
    <row r="2" spans="1:25" ht="12.75" thickBot="1">
      <c r="B2" s="35"/>
      <c r="C2" s="23"/>
      <c r="D2" s="435" t="s">
        <v>485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50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42338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495</v>
      </c>
      <c r="H6" s="102"/>
      <c r="I6" s="80" t="s">
        <v>496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954914</v>
      </c>
      <c r="H9" s="102"/>
      <c r="I9" s="103">
        <v>198536</v>
      </c>
      <c r="J9" s="92"/>
      <c r="K9" s="92"/>
      <c r="L9" s="103">
        <v>1295921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2.6298303419714441E-4</v>
      </c>
      <c r="F10" s="111"/>
      <c r="G10" s="111">
        <v>2406116</v>
      </c>
      <c r="H10" s="102"/>
      <c r="I10" s="111">
        <v>2406742</v>
      </c>
      <c r="J10" s="92"/>
      <c r="K10" s="92"/>
      <c r="L10" s="111">
        <v>2898556</v>
      </c>
      <c r="M10" s="92"/>
      <c r="N10" s="56">
        <v>632.85</v>
      </c>
      <c r="O10" s="92"/>
      <c r="P10" s="72"/>
      <c r="Q10" s="42"/>
      <c r="R10" s="56">
        <v>2403</v>
      </c>
      <c r="S10" s="92"/>
      <c r="T10" s="72"/>
      <c r="U10" s="86"/>
      <c r="V10" s="56">
        <v>4234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3361030</v>
      </c>
      <c r="H11" s="102"/>
      <c r="I11" s="103">
        <f>SUM(I9:I10)</f>
        <v>2605278</v>
      </c>
      <c r="J11" s="92"/>
      <c r="K11" s="92"/>
      <c r="L11" s="103">
        <f>SUM(L9:L10)</f>
        <v>4194477</v>
      </c>
      <c r="M11" s="92"/>
      <c r="N11" s="120">
        <f>SUM(N9:N10)</f>
        <v>632.85</v>
      </c>
      <c r="O11" s="92"/>
      <c r="P11" s="120">
        <f>SUM(P9:P10)</f>
        <v>0</v>
      </c>
      <c r="Q11" s="85"/>
      <c r="R11" s="120">
        <f>SUM(R9:R10)</f>
        <v>2403</v>
      </c>
      <c r="S11" s="92"/>
      <c r="T11" s="120">
        <f>SUM(T9:T10)</f>
        <v>0</v>
      </c>
      <c r="U11" s="120"/>
      <c r="V11" s="120">
        <f>SUM(V9:V10)</f>
        <v>4234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522998</v>
      </c>
      <c r="H14" s="217"/>
      <c r="I14" s="240">
        <v>533765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9808641.6699999999</v>
      </c>
      <c r="H24" s="117"/>
      <c r="I24" s="116">
        <f>SUM(I14:I23)</f>
        <v>9819408.6699999999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450565</v>
      </c>
      <c r="M28" s="129"/>
      <c r="N28" s="115">
        <v>1868.83</v>
      </c>
      <c r="O28" s="40"/>
      <c r="P28" s="115">
        <v>8898.93</v>
      </c>
      <c r="Q28" s="40"/>
      <c r="R28" s="115">
        <v>6570.69</v>
      </c>
      <c r="S28" s="40"/>
      <c r="T28" s="115">
        <v>26172</v>
      </c>
      <c r="U28" s="120"/>
      <c r="V28" s="115">
        <v>5602</v>
      </c>
      <c r="W28" s="40" t="s">
        <v>31</v>
      </c>
      <c r="X28" s="115">
        <v>-63751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144069</v>
      </c>
      <c r="J29" s="40"/>
      <c r="K29" s="40"/>
      <c r="L29" s="152">
        <v>8139439</v>
      </c>
      <c r="M29" s="129"/>
      <c r="N29" s="38">
        <v>75190.960000000006</v>
      </c>
      <c r="O29" s="40"/>
      <c r="P29" s="45">
        <v>197945.92</v>
      </c>
      <c r="Q29" s="40"/>
      <c r="R29" s="115">
        <v>144070</v>
      </c>
      <c r="S29" s="40"/>
      <c r="T29" s="45">
        <v>517602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2046526</v>
      </c>
      <c r="J30" s="40"/>
      <c r="K30" s="40"/>
      <c r="L30" s="45">
        <v>510213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-1110129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161.38</v>
      </c>
      <c r="Q31" s="181"/>
      <c r="R31" s="180"/>
      <c r="S31" s="181"/>
      <c r="T31" s="194">
        <v>-19563.18</v>
      </c>
      <c r="U31" s="182"/>
      <c r="V31" s="38">
        <v>295498</v>
      </c>
      <c r="W31" s="181"/>
      <c r="X31" s="194">
        <v>-16925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1334732</v>
      </c>
      <c r="J33" s="40"/>
      <c r="K33" s="40"/>
      <c r="L33" s="116">
        <f>SUM(L28:L32)</f>
        <v>8537140</v>
      </c>
      <c r="M33" s="129"/>
      <c r="N33" s="116">
        <f>SUM(N28:N32)</f>
        <v>77059.790000000008</v>
      </c>
      <c r="O33" s="40"/>
      <c r="P33" s="116">
        <f>SUM(P28:P32)</f>
        <v>207006.23</v>
      </c>
      <c r="Q33" s="40"/>
      <c r="R33" s="116">
        <f>SUM(R28:R32)</f>
        <v>150640.69</v>
      </c>
      <c r="S33" s="40"/>
      <c r="T33" s="116">
        <f>SUM(T28:T32)</f>
        <v>524210.82</v>
      </c>
      <c r="U33" s="120"/>
      <c r="V33" s="116">
        <f>SUM(V28:V32)</f>
        <v>301100</v>
      </c>
      <c r="W33" s="40"/>
      <c r="X33" s="116">
        <f>SUM(X28:X32)</f>
        <v>-1190805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14030797.67</v>
      </c>
      <c r="H35" s="29"/>
      <c r="I35" s="107">
        <f>+I33+I24+I11</f>
        <v>13759418.67</v>
      </c>
      <c r="J35" s="92"/>
      <c r="K35" s="92"/>
      <c r="L35" s="107">
        <f>+L33+L24+L11</f>
        <v>13500048.67</v>
      </c>
      <c r="M35" s="129"/>
      <c r="N35" s="107">
        <f>+N33+N24+N11</f>
        <v>77692.640000000014</v>
      </c>
      <c r="O35" s="92"/>
      <c r="P35" s="107">
        <f>+P33+P24+P11</f>
        <v>207006.23</v>
      </c>
      <c r="Q35" s="92"/>
      <c r="R35" s="107">
        <f>+R33+R24+R11</f>
        <v>153043.69</v>
      </c>
      <c r="S35" s="92"/>
      <c r="T35" s="107">
        <f>+T33+T24+T11</f>
        <v>524210.82</v>
      </c>
      <c r="U35" s="120"/>
      <c r="V35" s="107">
        <f>+V33+V24+V11</f>
        <v>305334</v>
      </c>
      <c r="W35" s="92"/>
      <c r="X35" s="107">
        <f>+X33+X24+X11</f>
        <v>-1190805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5697341</v>
      </c>
      <c r="H37" s="29"/>
      <c r="I37" s="175">
        <v>5789084</v>
      </c>
      <c r="J37" s="92"/>
      <c r="K37" s="92"/>
      <c r="L37" s="175">
        <v>4905725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632.85</v>
      </c>
      <c r="O50" s="205"/>
      <c r="P50" s="204"/>
      <c r="Q50" s="205"/>
      <c r="R50" s="204">
        <f>+R10</f>
        <v>2403</v>
      </c>
      <c r="S50" s="205"/>
      <c r="T50" s="204"/>
      <c r="V50" s="22" t="s">
        <v>439</v>
      </c>
      <c r="Y50" s="231">
        <v>2403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6022</v>
      </c>
    </row>
    <row r="53" spans="2:30">
      <c r="N53" s="206">
        <f>+N28+N29</f>
        <v>77059.790000000008</v>
      </c>
      <c r="O53" s="207"/>
      <c r="P53" s="206"/>
      <c r="Q53" s="207"/>
      <c r="R53" s="206">
        <f>+R28+R29</f>
        <v>150640.69</v>
      </c>
      <c r="S53" s="207"/>
      <c r="T53" s="206"/>
      <c r="V53" s="22" t="s">
        <v>440</v>
      </c>
      <c r="Y53" s="231">
        <v>150640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206844.85</v>
      </c>
      <c r="Q55" s="205"/>
      <c r="R55" s="204"/>
      <c r="S55" s="205"/>
      <c r="T55" s="204">
        <f>+T28+T29</f>
        <v>543774</v>
      </c>
      <c r="V55" s="22" t="s">
        <v>437</v>
      </c>
      <c r="Y55" s="61">
        <v>543774</v>
      </c>
    </row>
    <row r="56" spans="2:30">
      <c r="N56" s="204"/>
      <c r="O56" s="205"/>
      <c r="P56" s="204">
        <f>+P31</f>
        <v>161.38</v>
      </c>
      <c r="Q56" s="205"/>
      <c r="R56" s="204"/>
      <c r="S56" s="205"/>
      <c r="T56" s="204">
        <f>+T31</f>
        <v>-19563.18</v>
      </c>
      <c r="V56" s="22" t="s">
        <v>442</v>
      </c>
      <c r="Y56" s="231">
        <v>-19563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77692.640000000014</v>
      </c>
      <c r="O58" s="205"/>
      <c r="P58" s="208">
        <f>SUM(P50:P57)</f>
        <v>207006.23</v>
      </c>
      <c r="Q58" s="205"/>
      <c r="R58" s="208">
        <f>SUM(R50:R57)</f>
        <v>153043.69</v>
      </c>
      <c r="S58" s="204"/>
      <c r="T58" s="208">
        <f>SUM(T50:T57)</f>
        <v>524210.82</v>
      </c>
      <c r="Y58" s="238">
        <f>SUM(Y50:Y57)</f>
        <v>683276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80890</v>
      </c>
      <c r="O60" s="205"/>
      <c r="P60" s="205">
        <v>207006</v>
      </c>
      <c r="Q60" s="205"/>
      <c r="R60" s="205">
        <v>159065</v>
      </c>
      <c r="S60" s="205"/>
      <c r="T60" s="205">
        <v>524211</v>
      </c>
      <c r="V60" s="237">
        <f>SUM(R60:T60)</f>
        <v>683276</v>
      </c>
      <c r="W60" s="43"/>
      <c r="X60" s="43"/>
      <c r="Y60" s="43"/>
    </row>
    <row r="61" spans="2:30">
      <c r="L61" s="43" t="s">
        <v>388</v>
      </c>
      <c r="N61" s="236">
        <f>+N60-N58</f>
        <v>3197.359999999986</v>
      </c>
      <c r="O61" s="209"/>
      <c r="P61" s="209">
        <f>+P60-P58</f>
        <v>-0.23000000001047738</v>
      </c>
      <c r="Q61" s="209"/>
      <c r="R61" s="236">
        <f>+R60-R58</f>
        <v>6021.3099999999977</v>
      </c>
      <c r="S61" s="209"/>
      <c r="T61" s="209">
        <f>+T60-T58</f>
        <v>0.17999999999301508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Dec  2019 </oddFooter>
  </headerFooter>
  <legacy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tabColor rgb="FFFFFF00"/>
    <pageSetUpPr fitToPage="1"/>
  </sheetPr>
  <dimension ref="A1:AD75"/>
  <sheetViews>
    <sheetView showGridLines="0" zoomScaleNormal="100" workbookViewId="0">
      <selection activeCell="I37" sqref="I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47"/>
      <c r="V1" s="23"/>
      <c r="W1" s="23"/>
    </row>
    <row r="2" spans="1:25" ht="12.75" thickBot="1">
      <c r="B2" s="35"/>
      <c r="C2" s="23"/>
      <c r="D2" s="435" t="s">
        <v>485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48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42308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493</v>
      </c>
      <c r="H6" s="102"/>
      <c r="I6" s="80" t="s">
        <v>494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1013299</v>
      </c>
      <c r="H9" s="102"/>
      <c r="I9" s="103">
        <v>954914</v>
      </c>
      <c r="J9" s="92"/>
      <c r="K9" s="92"/>
      <c r="L9" s="103">
        <v>325673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2.3817119437866103E-4</v>
      </c>
      <c r="F10" s="111"/>
      <c r="G10" s="111">
        <v>2405549</v>
      </c>
      <c r="H10" s="102"/>
      <c r="I10" s="111">
        <v>2406116</v>
      </c>
      <c r="J10" s="92"/>
      <c r="K10" s="92"/>
      <c r="L10" s="111">
        <v>3897718</v>
      </c>
      <c r="M10" s="92"/>
      <c r="N10" s="56">
        <v>573</v>
      </c>
      <c r="O10" s="92"/>
      <c r="P10" s="72"/>
      <c r="Q10" s="42"/>
      <c r="R10" s="56">
        <v>1770</v>
      </c>
      <c r="S10" s="92"/>
      <c r="T10" s="72"/>
      <c r="U10" s="86"/>
      <c r="V10" s="56">
        <v>3389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3418848</v>
      </c>
      <c r="H11" s="102"/>
      <c r="I11" s="103">
        <f>SUM(I9:I10)</f>
        <v>3361030</v>
      </c>
      <c r="J11" s="92"/>
      <c r="K11" s="92"/>
      <c r="L11" s="103">
        <f>SUM(L9:L10)</f>
        <v>4223391</v>
      </c>
      <c r="M11" s="92"/>
      <c r="N11" s="120">
        <f>SUM(N9:N10)</f>
        <v>573</v>
      </c>
      <c r="O11" s="92"/>
      <c r="P11" s="120">
        <f>SUM(P9:P10)</f>
        <v>0</v>
      </c>
      <c r="Q11" s="85"/>
      <c r="R11" s="120">
        <f>SUM(R9:R10)</f>
        <v>1770</v>
      </c>
      <c r="S11" s="92"/>
      <c r="T11" s="120">
        <f>SUM(T9:T10)</f>
        <v>0</v>
      </c>
      <c r="U11" s="120"/>
      <c r="V11" s="120">
        <f>SUM(V9:V10)</f>
        <v>3389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512241</v>
      </c>
      <c r="H14" s="217"/>
      <c r="I14" s="240">
        <v>522998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9797884.6699999999</v>
      </c>
      <c r="H24" s="117"/>
      <c r="I24" s="116">
        <f>SUM(I14:I23)</f>
        <v>9808641.6699999999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448771</v>
      </c>
      <c r="M28" s="129"/>
      <c r="N28" s="115">
        <v>859.15</v>
      </c>
      <c r="O28" s="40"/>
      <c r="P28" s="115">
        <v>9897.76</v>
      </c>
      <c r="Q28" s="40"/>
      <c r="R28" s="115">
        <f>N28+3843</f>
        <v>4702.1499999999996</v>
      </c>
      <c r="S28" s="40"/>
      <c r="T28" s="115">
        <f>P28+7376</f>
        <v>17273.760000000002</v>
      </c>
      <c r="U28" s="120"/>
      <c r="V28" s="115">
        <v>3808</v>
      </c>
      <c r="W28" s="40" t="s">
        <v>31</v>
      </c>
      <c r="X28" s="115">
        <v>-28001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57574</v>
      </c>
      <c r="J29" s="40"/>
      <c r="K29" s="40"/>
      <c r="L29" s="152">
        <v>7906354</v>
      </c>
      <c r="M29" s="129"/>
      <c r="N29" s="38">
        <v>11305</v>
      </c>
      <c r="O29" s="40"/>
      <c r="P29" s="45">
        <v>188708.9</v>
      </c>
      <c r="Q29" s="40"/>
      <c r="R29" s="115">
        <f>N29+57574</f>
        <v>68879</v>
      </c>
      <c r="S29" s="40"/>
      <c r="T29" s="45">
        <f>P29+130948</f>
        <v>319656.90000000002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1659415</v>
      </c>
      <c r="J30" s="40"/>
      <c r="K30" s="40"/>
      <c r="L30" s="45">
        <v>1262685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-393142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295.57</v>
      </c>
      <c r="Q31" s="181"/>
      <c r="R31" s="180"/>
      <c r="S31" s="181"/>
      <c r="T31" s="194">
        <f>-20020+P31</f>
        <v>-19724.43</v>
      </c>
      <c r="U31" s="182"/>
      <c r="V31" s="38">
        <v>62412</v>
      </c>
      <c r="W31" s="181"/>
      <c r="X31" s="194">
        <v>-17190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861126</v>
      </c>
      <c r="J33" s="40"/>
      <c r="K33" s="40"/>
      <c r="L33" s="116">
        <f>SUM(L28:L32)</f>
        <v>9054733</v>
      </c>
      <c r="M33" s="129"/>
      <c r="N33" s="116">
        <f>SUM(N28:N32)</f>
        <v>12164.15</v>
      </c>
      <c r="O33" s="40"/>
      <c r="P33" s="116">
        <f>SUM(P28:P32)</f>
        <v>198902.23</v>
      </c>
      <c r="Q33" s="40"/>
      <c r="R33" s="116">
        <f>SUM(R28:R32)</f>
        <v>73581.149999999994</v>
      </c>
      <c r="S33" s="40"/>
      <c r="T33" s="116">
        <f>SUM(T28:T32)</f>
        <v>317206.23000000004</v>
      </c>
      <c r="U33" s="120"/>
      <c r="V33" s="116">
        <f>SUM(V28:V32)</f>
        <v>66220</v>
      </c>
      <c r="W33" s="40"/>
      <c r="X33" s="116">
        <f>SUM(X28:X32)</f>
        <v>-438333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14077858.67</v>
      </c>
      <c r="H35" s="29"/>
      <c r="I35" s="107">
        <f>+I33+I24+I11</f>
        <v>14030797.67</v>
      </c>
      <c r="J35" s="92"/>
      <c r="K35" s="92"/>
      <c r="L35" s="107">
        <f>+L33+L24+L11</f>
        <v>14046555.67</v>
      </c>
      <c r="M35" s="129"/>
      <c r="N35" s="107">
        <f>+N33+N24+N11</f>
        <v>12737.15</v>
      </c>
      <c r="O35" s="92"/>
      <c r="P35" s="107">
        <f>+P33+P24+P11</f>
        <v>198902.23</v>
      </c>
      <c r="Q35" s="92"/>
      <c r="R35" s="107">
        <f>+R33+R24+R11</f>
        <v>75351.149999999994</v>
      </c>
      <c r="S35" s="92"/>
      <c r="T35" s="107">
        <f>+T33+T24+T11</f>
        <v>317206.23000000004</v>
      </c>
      <c r="U35" s="120"/>
      <c r="V35" s="107">
        <f>+V33+V24+V11</f>
        <v>69609</v>
      </c>
      <c r="W35" s="92"/>
      <c r="X35" s="107">
        <f>+X33+X24+X11</f>
        <v>-438333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5590854</v>
      </c>
      <c r="H37" s="29"/>
      <c r="I37" s="175">
        <v>5697341</v>
      </c>
      <c r="J37" s="92"/>
      <c r="K37" s="92"/>
      <c r="L37" s="175">
        <v>5132945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573</v>
      </c>
      <c r="O50" s="205"/>
      <c r="P50" s="204"/>
      <c r="Q50" s="205"/>
      <c r="R50" s="204">
        <f>+R10</f>
        <v>1770</v>
      </c>
      <c r="S50" s="205"/>
      <c r="T50" s="204"/>
      <c r="V50" s="22" t="s">
        <v>439</v>
      </c>
      <c r="Y50" s="231">
        <v>1770.19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2824.86</v>
      </c>
    </row>
    <row r="53" spans="2:30">
      <c r="N53" s="206">
        <f>+N28+N29</f>
        <v>12164.15</v>
      </c>
      <c r="O53" s="207"/>
      <c r="P53" s="206"/>
      <c r="Q53" s="207"/>
      <c r="R53" s="206">
        <f>+R28+R29</f>
        <v>73581.149999999994</v>
      </c>
      <c r="S53" s="207"/>
      <c r="T53" s="206"/>
      <c r="V53" s="22" t="s">
        <v>440</v>
      </c>
      <c r="Y53" s="231">
        <v>73580.25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198606.66</v>
      </c>
      <c r="Q55" s="205"/>
      <c r="R55" s="204"/>
      <c r="S55" s="205"/>
      <c r="T55" s="204">
        <f>+T28+T29</f>
        <v>336930.66000000003</v>
      </c>
      <c r="V55" s="22" t="s">
        <v>437</v>
      </c>
      <c r="Y55" s="61">
        <v>336929.23</v>
      </c>
    </row>
    <row r="56" spans="2:30">
      <c r="N56" s="204"/>
      <c r="O56" s="205"/>
      <c r="P56" s="204">
        <f>+P31</f>
        <v>295.57</v>
      </c>
      <c r="Q56" s="205"/>
      <c r="R56" s="204"/>
      <c r="S56" s="205"/>
      <c r="T56" s="204">
        <f>+T31</f>
        <v>-19724.43</v>
      </c>
      <c r="V56" s="22" t="s">
        <v>442</v>
      </c>
      <c r="Y56" s="231">
        <v>-19724.560000000001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12737.15</v>
      </c>
      <c r="O58" s="205"/>
      <c r="P58" s="208">
        <f>SUM(P50:P57)</f>
        <v>198902.23</v>
      </c>
      <c r="Q58" s="205"/>
      <c r="R58" s="208">
        <f>SUM(R50:R57)</f>
        <v>75351.149999999994</v>
      </c>
      <c r="S58" s="204"/>
      <c r="T58" s="208">
        <f>SUM(T50:T57)</f>
        <v>317206.23000000004</v>
      </c>
      <c r="Y58" s="238">
        <f>SUM(Y50:Y57)</f>
        <v>395379.97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12962</v>
      </c>
      <c r="O60" s="205"/>
      <c r="P60" s="205">
        <v>198901</v>
      </c>
      <c r="Q60" s="205"/>
      <c r="R60" s="205">
        <v>78175</v>
      </c>
      <c r="S60" s="205"/>
      <c r="T60" s="205">
        <v>317205</v>
      </c>
      <c r="V60" s="237">
        <f>SUM(R60:T60)</f>
        <v>395380</v>
      </c>
      <c r="W60" s="43"/>
      <c r="X60" s="43"/>
      <c r="Y60" s="43"/>
    </row>
    <row r="61" spans="2:30">
      <c r="L61" s="43" t="s">
        <v>388</v>
      </c>
      <c r="N61" s="236">
        <f>+N60-N58</f>
        <v>224.85000000000036</v>
      </c>
      <c r="O61" s="209"/>
      <c r="P61" s="209">
        <f>+P60-P58</f>
        <v>-1.2300000000104774</v>
      </c>
      <c r="Q61" s="209"/>
      <c r="R61" s="236">
        <f>+R60-R58</f>
        <v>2823.8500000000058</v>
      </c>
      <c r="S61" s="209"/>
      <c r="T61" s="209">
        <f>+T60-T58</f>
        <v>-1.2300000000395812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Nov  2019 </oddFooter>
  </headerFooter>
  <legacy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tabColor rgb="FFFFFF00"/>
    <pageSetUpPr fitToPage="1"/>
  </sheetPr>
  <dimension ref="A1:AD70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30" ht="12.75" thickBot="1">
      <c r="B2" s="35"/>
      <c r="C2" s="23"/>
      <c r="D2" s="435" t="s">
        <v>443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30" ht="12.75" thickBot="1">
      <c r="B5" s="150">
        <v>42034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457</v>
      </c>
      <c r="H6" s="102"/>
      <c r="I6" s="80" t="s">
        <v>458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1295921</v>
      </c>
      <c r="H9" s="102"/>
      <c r="I9" s="103">
        <v>1677439</v>
      </c>
      <c r="J9" s="92"/>
      <c r="K9" s="92"/>
      <c r="L9" s="103">
        <v>2047786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2.5476366732185275E-4</v>
      </c>
      <c r="F10" s="111"/>
      <c r="G10" s="111">
        <v>2898556</v>
      </c>
      <c r="H10" s="102"/>
      <c r="I10" s="111">
        <v>2899288</v>
      </c>
      <c r="J10" s="92"/>
      <c r="K10" s="92"/>
      <c r="L10" s="111">
        <v>2392609</v>
      </c>
      <c r="M10" s="92"/>
      <c r="N10" s="56">
        <v>738.54</v>
      </c>
      <c r="O10" s="92"/>
      <c r="P10" s="72"/>
      <c r="Q10" s="42"/>
      <c r="R10" s="56">
        <f>524.79+429.74+417.13+1056.65+960.85+845.17+738.54</f>
        <v>4972.87</v>
      </c>
      <c r="S10" s="92"/>
      <c r="T10" s="72"/>
      <c r="U10" s="86"/>
      <c r="V10" s="56">
        <f>122.81+92.66+75.16+82.95+124.34+189.45</f>
        <v>687.36999999999989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4194477</v>
      </c>
      <c r="H11" s="102"/>
      <c r="I11" s="103">
        <f>SUM(I9:I10)</f>
        <v>4576727</v>
      </c>
      <c r="J11" s="92"/>
      <c r="K11" s="92"/>
      <c r="L11" s="103">
        <f>SUM(L9:L10)</f>
        <v>4440395</v>
      </c>
      <c r="M11" s="92"/>
      <c r="N11" s="120">
        <f>SUM(N9:N10)</f>
        <v>738.54</v>
      </c>
      <c r="O11" s="92"/>
      <c r="P11" s="120">
        <f>SUM(P9:P10)</f>
        <v>0</v>
      </c>
      <c r="Q11" s="85"/>
      <c r="R11" s="120">
        <f>SUM(R9:R10)</f>
        <v>4972.87</v>
      </c>
      <c r="S11" s="92"/>
      <c r="T11" s="120">
        <f>SUM(T9:T10)</f>
        <v>0</v>
      </c>
      <c r="U11" s="120"/>
      <c r="V11" s="120">
        <f>SUM(V9:V10)</f>
        <v>687.36999999999989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450565</v>
      </c>
      <c r="H29" s="29"/>
      <c r="I29" s="115">
        <v>451060</v>
      </c>
      <c r="J29" s="40"/>
      <c r="K29" s="40"/>
      <c r="L29" s="115">
        <v>118358</v>
      </c>
      <c r="M29" s="129"/>
      <c r="N29" s="115">
        <v>495.33</v>
      </c>
      <c r="O29" s="40"/>
      <c r="P29" s="115">
        <v>32802.199999999997</v>
      </c>
      <c r="Q29" s="40"/>
      <c r="R29" s="115">
        <f>605.67+700.58+269.74+1524.05+707.59+1794.19+495.33</f>
        <v>6097.15</v>
      </c>
      <c r="S29" s="40"/>
      <c r="T29" s="115">
        <f>2757.28+3687.51-132.48-35192.03+879.09-35749.95+32802.2</f>
        <v>-30948.379999999997</v>
      </c>
      <c r="U29" s="120"/>
      <c r="V29" s="115">
        <f>211.25+181.67+225.23+320.73+127.74+871.1+134.54</f>
        <v>2072.2599999999998</v>
      </c>
      <c r="W29" s="40" t="s">
        <v>31</v>
      </c>
      <c r="X29" s="115">
        <f>5251.69-591.9+4817.97+6393.84+669.71+658.3+9728.51</f>
        <v>26928.120000000003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8139439</v>
      </c>
      <c r="H31" s="29"/>
      <c r="I31" s="152">
        <v>8150318</v>
      </c>
      <c r="J31" s="40"/>
      <c r="K31" s="40"/>
      <c r="L31" s="152">
        <v>7785826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</f>
        <v>156655.60999999999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510213</v>
      </c>
      <c r="H32" s="29"/>
      <c r="I32" s="45">
        <v>1072224</v>
      </c>
      <c r="J32" s="40"/>
      <c r="K32" s="40"/>
      <c r="L32" s="45">
        <v>2302807</v>
      </c>
      <c r="M32" s="129"/>
      <c r="N32" s="38">
        <v>10878.48</v>
      </c>
      <c r="O32" s="40"/>
      <c r="P32" s="45">
        <v>537118.05000000005</v>
      </c>
      <c r="Q32" s="40"/>
      <c r="R32" s="38">
        <f>14407.65+12700+11093.63+14242.33+9968.34+233086.5+10878.48</f>
        <v>306376.93</v>
      </c>
      <c r="S32" s="40"/>
      <c r="T32" s="45">
        <f>177898.63-21589.41+392.03-621870.64+72027.45-716987.32+537118.05</f>
        <v>-573011.21</v>
      </c>
      <c r="U32" s="119"/>
      <c r="V32" s="38"/>
      <c r="W32" s="40"/>
      <c r="X32" s="45">
        <f>190411.34+42151.07+153701.85+156770.59+97077.67+17948.36+436954.69</f>
        <v>1095015.57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-7909.74</v>
      </c>
      <c r="Q33" s="181"/>
      <c r="R33" s="180"/>
      <c r="S33" s="181"/>
      <c r="T33" s="194">
        <f>-8915.26+282.55+284.39-9126.3+284.73+265.08-7909.74</f>
        <v>-24834.550000000003</v>
      </c>
      <c r="U33" s="182"/>
      <c r="V33" s="180"/>
      <c r="W33" s="181"/>
      <c r="X33" s="194">
        <f>-8274.97-683.39+330.76-8056.18-789.61+264.5-8379.94</f>
        <v>-25588.83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8537140</v>
      </c>
      <c r="H35" s="29"/>
      <c r="I35" s="116">
        <f>SUM(I29:I34)</f>
        <v>9110525</v>
      </c>
      <c r="J35" s="40"/>
      <c r="K35" s="40"/>
      <c r="L35" s="116">
        <f>SUM(L29:L34)</f>
        <v>9643914</v>
      </c>
      <c r="M35" s="129"/>
      <c r="N35" s="116">
        <f>SUM(N29:N34)</f>
        <v>11373.81</v>
      </c>
      <c r="O35" s="40"/>
      <c r="P35" s="116">
        <f>SUM(P29:P34)</f>
        <v>562010.51</v>
      </c>
      <c r="Q35" s="40"/>
      <c r="R35" s="116">
        <f>SUM(R29:R34)</f>
        <v>312474.08</v>
      </c>
      <c r="S35" s="40"/>
      <c r="T35" s="116">
        <f>SUM(T29:T34)</f>
        <v>-628794.14</v>
      </c>
      <c r="U35" s="120"/>
      <c r="V35" s="116">
        <f>SUM(V29:V34)</f>
        <v>158727.87</v>
      </c>
      <c r="W35" s="40"/>
      <c r="X35" s="116">
        <f>SUM(X29:X34)</f>
        <v>1096354.8600000001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13500048.65</v>
      </c>
      <c r="H37" s="29"/>
      <c r="I37" s="107">
        <f>+I35+I25+I19+I11</f>
        <v>14455683.65</v>
      </c>
      <c r="J37" s="92"/>
      <c r="K37" s="92"/>
      <c r="L37" s="107">
        <f>+L35+L25+L19+L11</f>
        <v>14852740.65</v>
      </c>
      <c r="M37" s="129"/>
      <c r="N37" s="107">
        <f>+N35+N25+N19+N11</f>
        <v>12112.349999999999</v>
      </c>
      <c r="O37" s="92"/>
      <c r="P37" s="107">
        <f>+P35+P25+P19+P11</f>
        <v>562010.51</v>
      </c>
      <c r="Q37" s="92"/>
      <c r="R37" s="107">
        <f>+R35+R25+R19+R11</f>
        <v>317446.95</v>
      </c>
      <c r="S37" s="92"/>
      <c r="T37" s="107">
        <f>+T35+T25+T19+T11</f>
        <v>-628794.14</v>
      </c>
      <c r="U37" s="120"/>
      <c r="V37" s="107">
        <f>+V35+V25+V19+V11</f>
        <v>159415.24</v>
      </c>
      <c r="W37" s="92"/>
      <c r="X37" s="107">
        <f>+X35+X25+X19+X11</f>
        <v>1096354.8600000001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4905725</v>
      </c>
      <c r="H39" s="29"/>
      <c r="I39" s="175">
        <v>5198126</v>
      </c>
      <c r="J39" s="92"/>
      <c r="K39" s="92"/>
      <c r="L39" s="175">
        <v>5410898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738.54</v>
      </c>
      <c r="O53" s="205"/>
      <c r="P53" s="204"/>
      <c r="Q53" s="205"/>
      <c r="R53" s="204">
        <f>+R10</f>
        <v>4972.87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11373.81</v>
      </c>
      <c r="O56" s="207"/>
      <c r="P56" s="206"/>
      <c r="Q56" s="207"/>
      <c r="R56" s="206">
        <f>+R35</f>
        <v>312474.08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562010.51</v>
      </c>
      <c r="Q58" s="205"/>
      <c r="R58" s="204"/>
      <c r="S58" s="205"/>
      <c r="T58" s="204">
        <f>+T37</f>
        <v>-628794.14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12112.349999999999</v>
      </c>
      <c r="O61" s="205"/>
      <c r="P61" s="208">
        <f>SUM(P53:P60)</f>
        <v>562010.51</v>
      </c>
      <c r="Q61" s="205"/>
      <c r="R61" s="208">
        <f>SUM(R53:R60)</f>
        <v>317446.95</v>
      </c>
      <c r="S61" s="204"/>
      <c r="T61" s="208">
        <f>SUM(T53:T60)</f>
        <v>-628794.14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16464</v>
      </c>
      <c r="O63" s="205"/>
      <c r="P63" s="205">
        <v>562011</v>
      </c>
      <c r="Q63" s="205"/>
      <c r="R63" s="205">
        <v>344104</v>
      </c>
      <c r="S63" s="205"/>
      <c r="T63" s="205">
        <v>-628794</v>
      </c>
    </row>
    <row r="64" spans="2:23">
      <c r="L64" s="43" t="s">
        <v>388</v>
      </c>
      <c r="N64" s="209">
        <f>+N63-N61</f>
        <v>4351.6500000000015</v>
      </c>
      <c r="O64" s="209"/>
      <c r="P64" s="209">
        <f>+P63-P61</f>
        <v>0.48999999999068677</v>
      </c>
      <c r="Q64" s="209"/>
      <c r="R64" s="209">
        <f>+R63-R61</f>
        <v>26657.049999999988</v>
      </c>
      <c r="S64" s="209"/>
      <c r="T64" s="209">
        <f>+T63-T61</f>
        <v>0.14000000001396984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January 2019 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H11" sqref="H11:H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38046</v>
      </c>
      <c r="I7" s="4"/>
      <c r="J7" s="18">
        <v>38018</v>
      </c>
      <c r="K7" s="4"/>
      <c r="L7" s="18">
        <v>37682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2.2599999999999998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180</v>
      </c>
      <c r="O11" s="13"/>
      <c r="P11" s="12">
        <v>2594</v>
      </c>
      <c r="Q11" s="13"/>
      <c r="R11" s="12">
        <v>3450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2.2599999999999998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3.94</v>
      </c>
      <c r="G13" s="11"/>
      <c r="H13" s="12">
        <v>131798</v>
      </c>
      <c r="I13" s="13"/>
      <c r="J13" s="12">
        <v>131298</v>
      </c>
      <c r="K13" s="13"/>
      <c r="L13" s="12">
        <v>125332</v>
      </c>
      <c r="M13" s="13"/>
      <c r="N13" s="12">
        <v>500</v>
      </c>
      <c r="O13" s="13"/>
      <c r="P13" s="12">
        <v>4033</v>
      </c>
      <c r="Q13" s="13"/>
      <c r="R13" s="12">
        <v>4209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3.76</v>
      </c>
      <c r="G14" s="11"/>
      <c r="H14" s="15">
        <v>76101</v>
      </c>
      <c r="I14" s="13"/>
      <c r="J14" s="15">
        <v>75901</v>
      </c>
      <c r="K14" s="13"/>
      <c r="L14" s="15">
        <v>72576</v>
      </c>
      <c r="M14" s="13"/>
      <c r="N14" s="15">
        <v>200</v>
      </c>
      <c r="O14" s="13"/>
      <c r="P14" s="15">
        <v>2180</v>
      </c>
      <c r="Q14" s="13"/>
      <c r="R14" s="15">
        <v>2123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770976</v>
      </c>
      <c r="I16" s="13"/>
      <c r="J16" s="16">
        <f>SUM(J11:J15)</f>
        <v>770276</v>
      </c>
      <c r="K16" s="13"/>
      <c r="L16" s="16">
        <f>SUM(L11:L14)</f>
        <v>760985</v>
      </c>
      <c r="M16" s="13"/>
      <c r="N16" s="16">
        <f>SUM(N11:N14)</f>
        <v>880</v>
      </c>
      <c r="O16" s="13"/>
      <c r="P16" s="16">
        <f>SUM(P11:P14)</f>
        <v>8807</v>
      </c>
      <c r="Q16" s="13"/>
      <c r="R16" s="16">
        <f>SUM(R11:R14)</f>
        <v>9782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1.42</v>
      </c>
      <c r="G23" s="7"/>
      <c r="H23" s="15">
        <v>415400</v>
      </c>
      <c r="I23" s="13"/>
      <c r="J23" s="15">
        <v>413967</v>
      </c>
      <c r="K23" s="15">
        <v>425705</v>
      </c>
      <c r="L23" s="15">
        <v>418287</v>
      </c>
      <c r="M23" s="13"/>
      <c r="N23" s="15">
        <v>1433</v>
      </c>
      <c r="O23" s="13"/>
      <c r="P23" s="15">
        <v>13731</v>
      </c>
      <c r="Q23" s="13"/>
      <c r="R23" s="15">
        <v>17205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415400</v>
      </c>
      <c r="I25" s="13"/>
      <c r="J25" s="16">
        <f>SUM(J23:J23)</f>
        <v>413967</v>
      </c>
      <c r="K25" s="13"/>
      <c r="L25" s="16">
        <f>SUM(L23:L23)</f>
        <v>418287</v>
      </c>
      <c r="M25" s="13"/>
      <c r="N25" s="16">
        <f>SUM(N22:N23)</f>
        <v>1433</v>
      </c>
      <c r="O25" s="13"/>
      <c r="P25" s="16">
        <f>SUM(P22:P23)</f>
        <v>13731</v>
      </c>
      <c r="Q25" s="13"/>
      <c r="R25" s="16">
        <f>SUM(R22:R23)</f>
        <v>17205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1372761</v>
      </c>
      <c r="I31" s="13"/>
      <c r="J31" s="12">
        <v>1367061</v>
      </c>
      <c r="K31" s="13"/>
      <c r="L31" s="12">
        <v>1301063</v>
      </c>
      <c r="M31" s="13"/>
      <c r="N31" s="12">
        <v>5700</v>
      </c>
      <c r="O31" s="13" t="s">
        <v>31</v>
      </c>
      <c r="P31" s="12">
        <v>45664</v>
      </c>
      <c r="Q31" s="13"/>
      <c r="R31" s="12">
        <v>43627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5236</v>
      </c>
      <c r="I33" s="13"/>
      <c r="J33" s="12">
        <v>5216</v>
      </c>
      <c r="K33" s="13"/>
      <c r="L33" s="12">
        <v>4997</v>
      </c>
      <c r="M33" s="13"/>
      <c r="N33" s="12">
        <v>20</v>
      </c>
      <c r="O33" s="13"/>
      <c r="P33" s="12">
        <v>163</v>
      </c>
      <c r="Q33" s="13"/>
      <c r="R33" s="12">
        <v>156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2.2599999999999998</v>
      </c>
      <c r="G34" s="7"/>
      <c r="H34" s="15">
        <v>7417624</v>
      </c>
      <c r="I34" s="13"/>
      <c r="J34" s="15">
        <v>6752484</v>
      </c>
      <c r="K34" s="13"/>
      <c r="L34" s="15">
        <v>9414390</v>
      </c>
      <c r="M34" s="13"/>
      <c r="N34" s="15">
        <v>14960</v>
      </c>
      <c r="O34" s="13"/>
      <c r="P34" s="15">
        <v>211270</v>
      </c>
      <c r="Q34" s="13"/>
      <c r="R34" s="15">
        <v>274544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8804180</v>
      </c>
      <c r="I36" s="13"/>
      <c r="J36" s="16">
        <f>SUM(J31:J34)</f>
        <v>8133320</v>
      </c>
      <c r="K36" s="13"/>
      <c r="L36" s="16">
        <f>SUM(L31:L34)</f>
        <v>10729074</v>
      </c>
      <c r="M36" s="13"/>
      <c r="N36" s="16">
        <f>SUM(N31:N34)</f>
        <v>20680</v>
      </c>
      <c r="O36" s="13"/>
      <c r="P36" s="16">
        <f>SUM(P31:P34)</f>
        <v>257097</v>
      </c>
      <c r="Q36" s="13"/>
      <c r="R36" s="16">
        <f>SUM(R31:R34)</f>
        <v>318327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38074</v>
      </c>
      <c r="I7" s="4"/>
      <c r="J7" s="18">
        <v>38046</v>
      </c>
      <c r="K7" s="4"/>
      <c r="L7" s="18">
        <v>37710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1.41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116</v>
      </c>
      <c r="O11" s="13"/>
      <c r="P11" s="12">
        <v>2710</v>
      </c>
      <c r="Q11" s="13"/>
      <c r="R11" s="12">
        <v>3882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1.41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3.67</v>
      </c>
      <c r="G13" s="11"/>
      <c r="H13" s="12">
        <v>132079.79999999999</v>
      </c>
      <c r="I13" s="13"/>
      <c r="J13" s="12">
        <v>131798</v>
      </c>
      <c r="K13" s="13"/>
      <c r="L13" s="12">
        <v>125782</v>
      </c>
      <c r="M13" s="13"/>
      <c r="N13" s="12">
        <v>281.76</v>
      </c>
      <c r="O13" s="13"/>
      <c r="P13" s="12">
        <v>4315</v>
      </c>
      <c r="Q13" s="13"/>
      <c r="R13" s="12">
        <v>4659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3.19</v>
      </c>
      <c r="G14" s="11"/>
      <c r="H14" s="15">
        <v>76407.61</v>
      </c>
      <c r="I14" s="13"/>
      <c r="J14" s="15">
        <v>76101</v>
      </c>
      <c r="K14" s="13"/>
      <c r="L14" s="15">
        <v>73036</v>
      </c>
      <c r="M14" s="13"/>
      <c r="N14" s="15">
        <v>306</v>
      </c>
      <c r="O14" s="13"/>
      <c r="P14" s="15">
        <v>2486</v>
      </c>
      <c r="Q14" s="13"/>
      <c r="R14" s="15">
        <v>2583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771564.41</v>
      </c>
      <c r="I16" s="13"/>
      <c r="J16" s="16">
        <f>SUM(J11:J15)</f>
        <v>770976</v>
      </c>
      <c r="K16" s="13"/>
      <c r="L16" s="16">
        <f>SUM(L11:L14)</f>
        <v>761895</v>
      </c>
      <c r="M16" s="13"/>
      <c r="N16" s="16">
        <f>SUM(N11:N14)</f>
        <v>703.76</v>
      </c>
      <c r="O16" s="13"/>
      <c r="P16" s="16">
        <f>SUM(P11:P14)</f>
        <v>9511</v>
      </c>
      <c r="Q16" s="13"/>
      <c r="R16" s="16">
        <f>SUM(R11:R14)</f>
        <v>11124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416469.83</v>
      </c>
      <c r="I23" s="13"/>
      <c r="J23" s="15">
        <v>415400</v>
      </c>
      <c r="K23" s="15">
        <v>425705</v>
      </c>
      <c r="L23" s="15">
        <v>420061</v>
      </c>
      <c r="M23" s="13"/>
      <c r="N23" s="15">
        <v>1070</v>
      </c>
      <c r="O23" s="13"/>
      <c r="P23" s="15">
        <v>14801</v>
      </c>
      <c r="Q23" s="13"/>
      <c r="R23" s="15">
        <v>19510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416469.83</v>
      </c>
      <c r="I25" s="13"/>
      <c r="J25" s="16">
        <f>SUM(J23:J23)</f>
        <v>415400</v>
      </c>
      <c r="K25" s="13"/>
      <c r="L25" s="16">
        <f>SUM(L23:L23)</f>
        <v>420061</v>
      </c>
      <c r="M25" s="13"/>
      <c r="N25" s="16">
        <f>SUM(N22:N23)</f>
        <v>1070</v>
      </c>
      <c r="O25" s="13"/>
      <c r="P25" s="16">
        <f>SUM(P22:P23)</f>
        <v>14801</v>
      </c>
      <c r="Q25" s="13"/>
      <c r="R25" s="16">
        <f>SUM(R22:R23)</f>
        <v>19510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1378817</v>
      </c>
      <c r="I31" s="13"/>
      <c r="J31" s="12">
        <v>1372761</v>
      </c>
      <c r="K31" s="13"/>
      <c r="L31" s="12">
        <v>1306619</v>
      </c>
      <c r="M31" s="13"/>
      <c r="N31" s="12">
        <v>6056</v>
      </c>
      <c r="O31" s="13" t="s">
        <v>31</v>
      </c>
      <c r="P31" s="12">
        <v>51720</v>
      </c>
      <c r="Q31" s="13"/>
      <c r="R31" s="12">
        <v>49184</v>
      </c>
      <c r="S31" s="7" t="s">
        <v>31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8493.61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5240.79</v>
      </c>
      <c r="I33" s="13"/>
      <c r="J33" s="12">
        <v>5236</v>
      </c>
      <c r="K33" s="13"/>
      <c r="L33" s="12">
        <v>5007</v>
      </c>
      <c r="M33" s="13"/>
      <c r="N33" s="20">
        <v>-60</v>
      </c>
      <c r="O33" s="13"/>
      <c r="P33" s="12">
        <v>103</v>
      </c>
      <c r="Q33" s="13"/>
      <c r="R33" s="12">
        <v>166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1.41</v>
      </c>
      <c r="G34" s="7"/>
      <c r="H34" s="15">
        <v>6426235.3899999997</v>
      </c>
      <c r="I34" s="13"/>
      <c r="J34" s="15">
        <v>7417624</v>
      </c>
      <c r="K34" s="13"/>
      <c r="L34" s="15">
        <v>8454886</v>
      </c>
      <c r="M34" s="13"/>
      <c r="N34" s="15">
        <v>8495</v>
      </c>
      <c r="O34" s="13"/>
      <c r="P34" s="15">
        <v>219764</v>
      </c>
      <c r="Q34" s="13"/>
      <c r="R34" s="15">
        <v>314607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7818786.79</v>
      </c>
      <c r="I36" s="13"/>
      <c r="J36" s="16">
        <f>SUM(J31:J34)</f>
        <v>8804180</v>
      </c>
      <c r="K36" s="13"/>
      <c r="L36" s="16">
        <f>SUM(L31:L34)</f>
        <v>9775136</v>
      </c>
      <c r="M36" s="13"/>
      <c r="N36" s="16">
        <f>SUM(N31:N34)</f>
        <v>14491</v>
      </c>
      <c r="O36" s="13"/>
      <c r="P36" s="16">
        <f>SUM(P31:P34)</f>
        <v>271587</v>
      </c>
      <c r="Q36" s="13"/>
      <c r="R36" s="16">
        <f>SUM(R31:R34)</f>
        <v>363957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P25" sqref="P2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38109</v>
      </c>
      <c r="I7" s="4"/>
      <c r="J7" s="18">
        <v>38074</v>
      </c>
      <c r="K7" s="4"/>
      <c r="L7" s="18">
        <v>37745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110</v>
      </c>
      <c r="O11" s="13"/>
      <c r="P11" s="12">
        <v>2820</v>
      </c>
      <c r="Q11" s="13"/>
      <c r="R11" s="12">
        <v>4298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3.55</v>
      </c>
      <c r="G13" s="11"/>
      <c r="H13" s="12">
        <v>132580</v>
      </c>
      <c r="I13" s="13"/>
      <c r="J13" s="12">
        <v>132079.79999999999</v>
      </c>
      <c r="K13" s="13"/>
      <c r="L13" s="12">
        <v>126282</v>
      </c>
      <c r="M13" s="13"/>
      <c r="N13" s="12">
        <v>500</v>
      </c>
      <c r="O13" s="13"/>
      <c r="P13" s="12">
        <v>4815</v>
      </c>
      <c r="Q13" s="13"/>
      <c r="R13" s="12">
        <v>5159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2.81</v>
      </c>
      <c r="G14" s="11"/>
      <c r="H14" s="15">
        <v>76608</v>
      </c>
      <c r="I14" s="13"/>
      <c r="J14" s="15">
        <v>76407.61</v>
      </c>
      <c r="K14" s="13"/>
      <c r="L14" s="15">
        <v>73036</v>
      </c>
      <c r="M14" s="13"/>
      <c r="N14" s="15">
        <v>200</v>
      </c>
      <c r="O14" s="13"/>
      <c r="P14" s="15">
        <v>2686</v>
      </c>
      <c r="Q14" s="13"/>
      <c r="R14" s="15">
        <v>2783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772265</v>
      </c>
      <c r="I16" s="13"/>
      <c r="J16" s="16">
        <f>SUM(J11:J14)</f>
        <v>771564.41</v>
      </c>
      <c r="K16" s="13"/>
      <c r="L16" s="16">
        <f>SUM(L11:L14)</f>
        <v>762395</v>
      </c>
      <c r="M16" s="13"/>
      <c r="N16" s="16">
        <f>SUM(N11:N14)</f>
        <v>810</v>
      </c>
      <c r="O16" s="13"/>
      <c r="P16" s="16">
        <f>SUM(P11:P14)</f>
        <v>10321</v>
      </c>
      <c r="Q16" s="13"/>
      <c r="R16" s="16">
        <f>SUM(R11:R14)</f>
        <v>12240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416988</v>
      </c>
      <c r="I23" s="13"/>
      <c r="J23" s="15">
        <v>416469.83</v>
      </c>
      <c r="K23" s="15">
        <v>425705</v>
      </c>
      <c r="L23" s="15">
        <v>417170</v>
      </c>
      <c r="M23" s="13"/>
      <c r="N23" s="15">
        <v>734</v>
      </c>
      <c r="O23" s="13"/>
      <c r="P23" s="15">
        <v>15535</v>
      </c>
      <c r="Q23" s="13"/>
      <c r="R23" s="15">
        <v>22203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416988</v>
      </c>
      <c r="I25" s="13"/>
      <c r="J25" s="16">
        <f>SUM(J22:J23)</f>
        <v>416469.83</v>
      </c>
      <c r="K25" s="13"/>
      <c r="L25" s="16">
        <f>SUM(L23:L23)</f>
        <v>417170</v>
      </c>
      <c r="M25" s="13"/>
      <c r="N25" s="16">
        <f>SUM(N22:N23)</f>
        <v>734</v>
      </c>
      <c r="O25" s="13"/>
      <c r="P25" s="16">
        <f>SUM(P22:P23)</f>
        <v>15535</v>
      </c>
      <c r="Q25" s="13"/>
      <c r="R25" s="16">
        <f>SUM(R22:R23)</f>
        <v>22203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1384517</v>
      </c>
      <c r="I31" s="13"/>
      <c r="J31" s="12">
        <v>1378817</v>
      </c>
      <c r="K31" s="13"/>
      <c r="L31" s="12">
        <v>1312199</v>
      </c>
      <c r="M31" s="13"/>
      <c r="N31" s="12">
        <v>5700</v>
      </c>
      <c r="O31" s="13" t="s">
        <v>31</v>
      </c>
      <c r="P31" s="12">
        <v>57420</v>
      </c>
      <c r="Q31" s="13"/>
      <c r="R31" s="12">
        <v>54764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5261</v>
      </c>
      <c r="I33" s="13"/>
      <c r="J33" s="12">
        <v>5240.79</v>
      </c>
      <c r="K33" s="13"/>
      <c r="L33" s="12">
        <v>5033</v>
      </c>
      <c r="M33" s="13"/>
      <c r="N33" s="20">
        <v>20</v>
      </c>
      <c r="O33" s="13"/>
      <c r="P33" s="12">
        <v>123</v>
      </c>
      <c r="Q33" s="13"/>
      <c r="R33" s="12">
        <v>191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5933339</v>
      </c>
      <c r="I34" s="13"/>
      <c r="J34" s="15">
        <v>6426235.3899999997</v>
      </c>
      <c r="K34" s="13"/>
      <c r="L34" s="15">
        <v>7489576</v>
      </c>
      <c r="M34" s="13"/>
      <c r="N34" s="15">
        <v>6993</v>
      </c>
      <c r="O34" s="13"/>
      <c r="P34" s="15">
        <v>226757</v>
      </c>
      <c r="Q34" s="13"/>
      <c r="R34" s="15">
        <v>348882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7331611</v>
      </c>
      <c r="I36" s="13"/>
      <c r="J36" s="16">
        <f>SUM(J31:J34)</f>
        <v>7818786.79</v>
      </c>
      <c r="K36" s="13"/>
      <c r="L36" s="16">
        <f>SUM(L31:L34)</f>
        <v>8815367</v>
      </c>
      <c r="M36" s="13"/>
      <c r="N36" s="16">
        <f>SUM(N31:N34)</f>
        <v>12713</v>
      </c>
      <c r="O36" s="13"/>
      <c r="P36" s="16">
        <f>SUM(P31:P34)</f>
        <v>284300</v>
      </c>
      <c r="Q36" s="13"/>
      <c r="R36" s="16">
        <f>SUM(R31:R34)</f>
        <v>403837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21">
        <v>38137</v>
      </c>
      <c r="I7" s="4"/>
      <c r="J7" s="18">
        <v>38109</v>
      </c>
      <c r="K7" s="4"/>
      <c r="L7" s="18">
        <v>37773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155</v>
      </c>
      <c r="O11" s="13"/>
      <c r="P11" s="12">
        <v>2975</v>
      </c>
      <c r="Q11" s="13"/>
      <c r="R11" s="12">
        <v>4714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3.66</v>
      </c>
      <c r="G13" s="11"/>
      <c r="H13" s="12">
        <v>133080</v>
      </c>
      <c r="I13" s="13"/>
      <c r="J13" s="12">
        <v>132580</v>
      </c>
      <c r="K13" s="13"/>
      <c r="L13" s="12">
        <v>126782</v>
      </c>
      <c r="M13" s="13"/>
      <c r="N13" s="12">
        <v>500</v>
      </c>
      <c r="O13" s="13"/>
      <c r="P13" s="12">
        <v>5315</v>
      </c>
      <c r="Q13" s="13"/>
      <c r="R13" s="12">
        <v>5659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2.59</v>
      </c>
      <c r="G14" s="11"/>
      <c r="H14" s="15">
        <v>76808</v>
      </c>
      <c r="I14" s="13"/>
      <c r="J14" s="15">
        <v>76608</v>
      </c>
      <c r="K14" s="13"/>
      <c r="L14" s="15">
        <v>73436</v>
      </c>
      <c r="M14" s="13"/>
      <c r="N14" s="15">
        <v>200</v>
      </c>
      <c r="O14" s="13"/>
      <c r="P14" s="15">
        <v>2886</v>
      </c>
      <c r="Q14" s="13"/>
      <c r="R14" s="15">
        <v>2983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772965</v>
      </c>
      <c r="I16" s="13"/>
      <c r="J16" s="16">
        <f>SUM(J11:J14)</f>
        <v>772265</v>
      </c>
      <c r="K16" s="13"/>
      <c r="L16" s="16">
        <f>SUM(L11:L14)</f>
        <v>763295</v>
      </c>
      <c r="M16" s="13"/>
      <c r="N16" s="16">
        <f>SUM(N11:N14)</f>
        <v>855</v>
      </c>
      <c r="O16" s="13"/>
      <c r="P16" s="16">
        <f>SUM(P11:P14)</f>
        <v>11176</v>
      </c>
      <c r="Q16" s="13"/>
      <c r="R16" s="16">
        <f>SUM(R11:R14)</f>
        <v>13356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417480</v>
      </c>
      <c r="I23" s="13"/>
      <c r="J23" s="15">
        <v>416988</v>
      </c>
      <c r="K23" s="15">
        <v>425705</v>
      </c>
      <c r="L23" s="15">
        <v>418680</v>
      </c>
      <c r="M23" s="13"/>
      <c r="N23" s="15">
        <v>492</v>
      </c>
      <c r="O23" s="13"/>
      <c r="P23" s="15">
        <v>16027</v>
      </c>
      <c r="Q23" s="13"/>
      <c r="R23" s="15">
        <v>23713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417480</v>
      </c>
      <c r="I25" s="13"/>
      <c r="J25" s="16">
        <f>SUM(J22:J23)</f>
        <v>416988</v>
      </c>
      <c r="K25" s="13"/>
      <c r="L25" s="16">
        <f>SUM(L23:L23)</f>
        <v>418680</v>
      </c>
      <c r="M25" s="13"/>
      <c r="N25" s="16">
        <f>SUM(N22:N23)</f>
        <v>492</v>
      </c>
      <c r="O25" s="13"/>
      <c r="P25" s="16">
        <f>SUM(P22:P23)</f>
        <v>16027</v>
      </c>
      <c r="Q25" s="13"/>
      <c r="R25" s="16">
        <f>SUM(R22:R23)</f>
        <v>23713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1390217</v>
      </c>
      <c r="I31" s="13"/>
      <c r="J31" s="12">
        <v>1384517</v>
      </c>
      <c r="K31" s="13"/>
      <c r="L31" s="12">
        <v>1317802</v>
      </c>
      <c r="M31" s="13"/>
      <c r="N31" s="12">
        <v>5700</v>
      </c>
      <c r="O31" s="13" t="s">
        <v>31</v>
      </c>
      <c r="P31" s="12">
        <v>63120</v>
      </c>
      <c r="Q31" s="13"/>
      <c r="R31" s="12">
        <v>60367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5281</v>
      </c>
      <c r="I33" s="13"/>
      <c r="J33" s="12">
        <v>5261</v>
      </c>
      <c r="K33" s="13"/>
      <c r="L33" s="12">
        <v>5053</v>
      </c>
      <c r="M33" s="13"/>
      <c r="N33" s="20">
        <v>20</v>
      </c>
      <c r="O33" s="13"/>
      <c r="P33" s="12">
        <v>143</v>
      </c>
      <c r="Q33" s="13"/>
      <c r="R33" s="12">
        <v>211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5943739</v>
      </c>
      <c r="I34" s="13"/>
      <c r="J34" s="15">
        <v>5933339</v>
      </c>
      <c r="K34" s="13"/>
      <c r="L34" s="15">
        <v>7523080</v>
      </c>
      <c r="M34" s="13"/>
      <c r="N34" s="15">
        <v>10245</v>
      </c>
      <c r="O34" s="13"/>
      <c r="P34" s="15">
        <v>237002</v>
      </c>
      <c r="Q34" s="13"/>
      <c r="R34" s="15">
        <v>381970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7347731</v>
      </c>
      <c r="I36" s="13"/>
      <c r="J36" s="16">
        <f>SUM(J31:J34)</f>
        <v>7331610.6100000003</v>
      </c>
      <c r="K36" s="13"/>
      <c r="L36" s="16">
        <f>SUM(L31:L34)</f>
        <v>8854494</v>
      </c>
      <c r="M36" s="13"/>
      <c r="N36" s="16">
        <f>SUM(N31:N34)</f>
        <v>15965</v>
      </c>
      <c r="O36" s="13"/>
      <c r="P36" s="16">
        <f>SUM(P31:P34)</f>
        <v>300265</v>
      </c>
      <c r="Q36" s="13"/>
      <c r="R36" s="16">
        <f>SUM(R31:R34)</f>
        <v>442548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U48"/>
  <sheetViews>
    <sheetView topLeftCell="A2" workbookViewId="0">
      <pane xSplit="2" ySplit="7" topLeftCell="F9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76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133242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773222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1396491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6864003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/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</sheetData>
  <phoneticPr fontId="0" type="noConversion"/>
  <pageMargins left="0.75" right="0.75" top="1" bottom="1" header="0.5" footer="0.5"/>
  <pageSetup scale="76" orientation="landscape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U49"/>
  <sheetViews>
    <sheetView topLeftCell="A2" workbookViewId="0">
      <pane xSplit="2" ySplit="7" topLeftCell="D9" activePane="bottomRight" state="frozen"/>
      <selection pane="topRight" activeCell="F11" sqref="F11:F15"/>
      <selection pane="bottomLeft" activeCell="F11" sqref="F11:F15"/>
      <selection pane="bottomRight" activeCell="H29" sqref="H28:H29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57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128452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768432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1424023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6891535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77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>
    <oddFooter>&amp;CInvestment Report - June 2008 Post Audit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W56"/>
  <sheetViews>
    <sheetView topLeftCell="D1" workbookViewId="0">
      <selection activeCell="W32" sqref="W32"/>
    </sheetView>
  </sheetViews>
  <sheetFormatPr defaultColWidth="11.42578125" defaultRowHeight="12"/>
  <cols>
    <col min="1" max="1" width="15.85546875" style="22" hidden="1" customWidth="1"/>
    <col min="2" max="2" width="19.140625" style="22" customWidth="1"/>
    <col min="3" max="3" width="5.42578125" style="22" customWidth="1"/>
    <col min="4" max="4" width="12.42578125" style="22" customWidth="1"/>
    <col min="5" max="5" width="8.85546875" style="22" customWidth="1"/>
    <col min="6" max="6" width="4" style="22" customWidth="1"/>
    <col min="7" max="7" width="12.5703125" style="43" customWidth="1"/>
    <col min="8" max="8" width="1.140625" style="22" customWidth="1"/>
    <col min="9" max="9" width="14.140625" style="22" customWidth="1"/>
    <col min="10" max="11" width="1.140625" style="22" customWidth="1"/>
    <col min="12" max="12" width="11.42578125" style="22" customWidth="1"/>
    <col min="13" max="13" width="3" style="22" customWidth="1"/>
    <col min="14" max="14" width="10.140625" style="22" customWidth="1"/>
    <col min="15" max="15" width="1.140625" style="22" customWidth="1"/>
    <col min="16" max="16" width="12.855468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23" width="13.7109375" style="22" bestFit="1" customWidth="1"/>
    <col min="24" max="16384" width="11.42578125" style="22"/>
  </cols>
  <sheetData>
    <row r="1" spans="1:23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427"/>
      <c r="W1" s="23"/>
    </row>
    <row r="2" spans="1:23">
      <c r="B2" s="35"/>
      <c r="C2" s="23"/>
      <c r="D2" s="428" t="s">
        <v>78</v>
      </c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23"/>
    </row>
    <row r="3" spans="1:23">
      <c r="B3" s="23"/>
      <c r="C3" s="23"/>
      <c r="D3" s="23"/>
      <c r="E3" s="25"/>
      <c r="F3" s="25"/>
      <c r="G3" s="29"/>
      <c r="H3" s="25"/>
      <c r="I3" s="23"/>
      <c r="J3" s="24"/>
      <c r="K3" s="24"/>
      <c r="L3" s="23"/>
      <c r="M3" s="24"/>
      <c r="N3" s="23"/>
      <c r="O3" s="24"/>
      <c r="P3" s="23"/>
      <c r="Q3" s="23"/>
      <c r="R3" s="23"/>
      <c r="S3" s="23"/>
      <c r="T3" s="23"/>
      <c r="U3" s="24"/>
      <c r="V3" s="23"/>
      <c r="W3" s="23"/>
    </row>
    <row r="4" spans="1:23">
      <c r="B4" s="23"/>
      <c r="C4" s="23"/>
      <c r="D4" s="24"/>
      <c r="E4" s="23"/>
      <c r="F4" s="23"/>
      <c r="G4" s="428" t="s">
        <v>79</v>
      </c>
      <c r="H4" s="428"/>
      <c r="I4" s="428"/>
      <c r="J4" s="428"/>
      <c r="K4" s="428"/>
      <c r="L4" s="428"/>
      <c r="M4" s="24"/>
      <c r="N4" s="428" t="s">
        <v>80</v>
      </c>
      <c r="O4" s="428"/>
      <c r="P4" s="428"/>
      <c r="Q4" s="428"/>
      <c r="R4" s="428"/>
      <c r="S4" s="428"/>
      <c r="T4" s="428"/>
      <c r="U4" s="428"/>
      <c r="V4" s="428"/>
      <c r="W4" s="23"/>
    </row>
    <row r="5" spans="1:23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3"/>
      <c r="M5" s="24"/>
      <c r="N5" s="426" t="s">
        <v>81</v>
      </c>
      <c r="O5" s="426"/>
      <c r="P5" s="426"/>
      <c r="Q5" s="26"/>
      <c r="R5" s="426" t="s">
        <v>82</v>
      </c>
      <c r="S5" s="426"/>
      <c r="T5" s="426"/>
      <c r="U5" s="24"/>
      <c r="V5" s="23"/>
      <c r="W5" s="23"/>
    </row>
    <row r="6" spans="1:23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84</v>
      </c>
      <c r="H6" s="27"/>
      <c r="I6" s="70" t="s">
        <v>85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1" t="s">
        <v>12</v>
      </c>
      <c r="S6" s="25"/>
      <c r="T6" s="73" t="s">
        <v>86</v>
      </c>
      <c r="U6" s="24"/>
      <c r="V6" s="42" t="s">
        <v>14</v>
      </c>
      <c r="W6" s="23" t="s">
        <v>15</v>
      </c>
    </row>
    <row r="7" spans="1:23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3"/>
      <c r="M7" s="24"/>
      <c r="N7" s="23"/>
      <c r="O7" s="24"/>
      <c r="P7" s="23"/>
      <c r="Q7" s="23"/>
      <c r="R7" s="23"/>
      <c r="S7" s="23"/>
      <c r="T7" s="47"/>
      <c r="U7" s="24"/>
      <c r="V7" s="23"/>
      <c r="W7" s="23"/>
    </row>
    <row r="8" spans="1:23">
      <c r="A8" s="23" t="s">
        <v>87</v>
      </c>
      <c r="B8" s="29" t="s">
        <v>17</v>
      </c>
      <c r="C8" s="29"/>
      <c r="D8" s="29" t="s">
        <v>88</v>
      </c>
      <c r="E8" s="30">
        <v>1.93</v>
      </c>
      <c r="F8" s="30"/>
      <c r="G8" s="37">
        <v>100000</v>
      </c>
      <c r="H8" s="31"/>
      <c r="I8" s="37">
        <v>100000</v>
      </c>
      <c r="J8" s="32"/>
      <c r="K8" s="32"/>
      <c r="L8" s="33">
        <v>100000</v>
      </c>
      <c r="M8" s="32"/>
      <c r="N8" s="37">
        <v>139.80000000000001</v>
      </c>
      <c r="O8" s="32"/>
      <c r="P8" s="33"/>
      <c r="Q8" s="33"/>
      <c r="R8" s="37">
        <v>139.80000000000001</v>
      </c>
      <c r="S8" s="37"/>
      <c r="T8" s="47">
        <v>0</v>
      </c>
      <c r="U8" s="32"/>
      <c r="V8" s="33">
        <v>422</v>
      </c>
      <c r="W8" s="23"/>
    </row>
    <row r="9" spans="1:23">
      <c r="A9" s="23" t="s">
        <v>89</v>
      </c>
      <c r="B9" s="29" t="s">
        <v>18</v>
      </c>
      <c r="C9" s="29"/>
      <c r="D9" s="29" t="s">
        <v>88</v>
      </c>
      <c r="E9" s="30">
        <v>1.93</v>
      </c>
      <c r="F9" s="30"/>
      <c r="G9" s="37">
        <v>481901</v>
      </c>
      <c r="H9" s="31"/>
      <c r="I9" s="37">
        <v>481900.65</v>
      </c>
      <c r="J9" s="32"/>
      <c r="K9" s="32"/>
      <c r="L9" s="33">
        <v>463077</v>
      </c>
      <c r="M9" s="32"/>
      <c r="N9" s="33"/>
      <c r="O9" s="32"/>
      <c r="P9" s="33"/>
      <c r="Q9" s="33"/>
      <c r="R9" s="33"/>
      <c r="S9" s="33"/>
      <c r="T9" s="47"/>
      <c r="U9" s="32"/>
      <c r="V9" s="33">
        <v>0</v>
      </c>
      <c r="W9" s="23"/>
    </row>
    <row r="10" spans="1:23">
      <c r="A10" s="23" t="s">
        <v>90</v>
      </c>
      <c r="B10" s="29" t="s">
        <v>19</v>
      </c>
      <c r="C10" s="29"/>
      <c r="D10" s="29" t="s">
        <v>34</v>
      </c>
      <c r="E10" s="30">
        <v>3.58</v>
      </c>
      <c r="F10" s="30"/>
      <c r="G10" s="37">
        <v>206315</v>
      </c>
      <c r="H10" s="31"/>
      <c r="I10" s="37">
        <v>206315.39</v>
      </c>
      <c r="J10" s="32"/>
      <c r="K10" s="32"/>
      <c r="L10" s="33">
        <v>127482</v>
      </c>
      <c r="M10" s="32"/>
      <c r="N10" s="33"/>
      <c r="O10" s="32"/>
      <c r="P10" s="45"/>
      <c r="Q10" s="33"/>
      <c r="R10" s="33">
        <v>0</v>
      </c>
      <c r="S10" s="33"/>
      <c r="T10" s="47">
        <v>0</v>
      </c>
      <c r="U10" s="32"/>
      <c r="V10" s="33">
        <v>500</v>
      </c>
      <c r="W10" s="23"/>
    </row>
    <row r="11" spans="1:23">
      <c r="A11" s="23" t="s">
        <v>91</v>
      </c>
      <c r="B11" s="29" t="s">
        <v>19</v>
      </c>
      <c r="C11" s="29"/>
      <c r="D11" s="29" t="s">
        <v>34</v>
      </c>
      <c r="E11" s="30">
        <v>2.38</v>
      </c>
      <c r="F11" s="30"/>
      <c r="G11" s="41">
        <v>-19784</v>
      </c>
      <c r="H11" s="31"/>
      <c r="I11" s="41">
        <v>-19784.37</v>
      </c>
      <c r="J11" s="32"/>
      <c r="K11" s="32"/>
      <c r="L11" s="34">
        <v>74121</v>
      </c>
      <c r="M11" s="32"/>
      <c r="N11" s="34"/>
      <c r="O11" s="32"/>
      <c r="P11" s="34"/>
      <c r="Q11" s="34"/>
      <c r="R11" s="34">
        <v>0</v>
      </c>
      <c r="S11" s="34"/>
      <c r="T11" s="48">
        <v>0</v>
      </c>
      <c r="U11" s="32"/>
      <c r="V11" s="34">
        <v>200</v>
      </c>
      <c r="W11" s="23"/>
    </row>
    <row r="12" spans="1:23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3"/>
      <c r="M12" s="32"/>
      <c r="N12" s="33"/>
      <c r="O12" s="32"/>
      <c r="P12" s="33"/>
      <c r="Q12" s="33"/>
      <c r="R12" s="33"/>
      <c r="S12" s="33"/>
      <c r="T12" s="47"/>
      <c r="U12" s="32"/>
      <c r="V12" s="33"/>
      <c r="W12" s="23"/>
    </row>
    <row r="13" spans="1:23" ht="12.75" thickBot="1">
      <c r="B13" s="35" t="s">
        <v>24</v>
      </c>
      <c r="D13" s="23"/>
      <c r="E13" s="31"/>
      <c r="F13" s="31"/>
      <c r="G13" s="44">
        <f>SUM(G8:G11)</f>
        <v>768432</v>
      </c>
      <c r="H13" s="31"/>
      <c r="I13" s="36">
        <f>SUM(I8:I11)</f>
        <v>768431.67</v>
      </c>
      <c r="J13" s="32"/>
      <c r="K13" s="32"/>
      <c r="L13" s="36">
        <f>SUM(L8:L11)</f>
        <v>764680</v>
      </c>
      <c r="M13" s="32"/>
      <c r="N13" s="36">
        <f>SUM(N8:N11)</f>
        <v>139.80000000000001</v>
      </c>
      <c r="O13" s="32"/>
      <c r="P13" s="46">
        <f>SUM(P8:P11)</f>
        <v>0</v>
      </c>
      <c r="Q13" s="36"/>
      <c r="R13" s="36">
        <f>SUM(R8:R11)</f>
        <v>139.80000000000001</v>
      </c>
      <c r="S13" s="36"/>
      <c r="T13" s="49">
        <f>SUM(T8:T11)</f>
        <v>0</v>
      </c>
      <c r="U13" s="32"/>
      <c r="V13" s="36">
        <f>SUM(V8:V11)</f>
        <v>1122</v>
      </c>
      <c r="W13" s="23"/>
    </row>
    <row r="14" spans="1:23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3"/>
      <c r="S14" s="33"/>
      <c r="T14" s="47"/>
      <c r="U14" s="32"/>
      <c r="V14" s="33"/>
      <c r="W14" s="23"/>
    </row>
    <row r="15" spans="1:23">
      <c r="B15" s="28" t="s">
        <v>25</v>
      </c>
      <c r="C15" s="23"/>
      <c r="D15" s="23"/>
      <c r="E15" s="23"/>
      <c r="F15" s="23"/>
      <c r="G15" s="37">
        <f>+G12-I10</f>
        <v>-206315.39</v>
      </c>
      <c r="H15" s="23"/>
      <c r="I15" s="33"/>
      <c r="J15" s="32"/>
      <c r="K15" s="32"/>
      <c r="L15" s="33"/>
      <c r="M15" s="32"/>
      <c r="N15" s="33"/>
      <c r="O15" s="32"/>
      <c r="P15" s="33"/>
      <c r="Q15" s="33"/>
      <c r="R15" s="33"/>
      <c r="S15" s="33"/>
      <c r="T15" s="47"/>
      <c r="U15" s="32"/>
      <c r="V15" s="33"/>
      <c r="W15" s="23"/>
    </row>
    <row r="16" spans="1:23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3"/>
      <c r="M16" s="32"/>
      <c r="N16" s="33"/>
      <c r="O16" s="32"/>
      <c r="P16" s="33"/>
      <c r="Q16" s="33"/>
      <c r="R16" s="33"/>
      <c r="S16" s="33"/>
      <c r="T16" s="47"/>
      <c r="U16" s="32"/>
      <c r="V16" s="33"/>
      <c r="W16" s="23"/>
    </row>
    <row r="17" spans="1:23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3"/>
      <c r="M17" s="32"/>
      <c r="N17" s="33"/>
      <c r="O17" s="32"/>
      <c r="P17" s="33"/>
      <c r="Q17" s="33"/>
      <c r="R17" s="33"/>
      <c r="S17" s="33"/>
      <c r="T17" s="47"/>
      <c r="U17" s="32"/>
      <c r="V17" s="33"/>
      <c r="W17" s="23"/>
    </row>
    <row r="18" spans="1:23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417998</v>
      </c>
      <c r="H18" s="23"/>
      <c r="I18" s="41">
        <v>418536</v>
      </c>
      <c r="J18" s="32"/>
      <c r="K18" s="34">
        <v>425705</v>
      </c>
      <c r="L18" s="34">
        <v>421956</v>
      </c>
      <c r="M18" s="32"/>
      <c r="N18" s="34">
        <v>538.26</v>
      </c>
      <c r="O18" s="32"/>
      <c r="P18" s="34"/>
      <c r="Q18" s="34"/>
      <c r="R18" s="34">
        <v>538.26</v>
      </c>
      <c r="S18" s="34"/>
      <c r="T18" s="48">
        <v>0</v>
      </c>
      <c r="U18" s="32"/>
      <c r="V18" s="34">
        <v>1653</v>
      </c>
      <c r="W18" s="23"/>
    </row>
    <row r="19" spans="1:23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3"/>
      <c r="M19" s="32"/>
      <c r="N19" s="33"/>
      <c r="O19" s="32"/>
      <c r="P19" s="33"/>
      <c r="Q19" s="33"/>
      <c r="R19" s="33"/>
      <c r="S19" s="33"/>
      <c r="T19" s="47"/>
      <c r="U19" s="32"/>
      <c r="V19" s="33"/>
      <c r="W19" s="23"/>
    </row>
    <row r="20" spans="1:23" ht="12.75" thickBot="1">
      <c r="B20" s="28" t="s">
        <v>94</v>
      </c>
      <c r="C20" s="23"/>
      <c r="D20" s="23"/>
      <c r="E20" s="23"/>
      <c r="F20" s="23"/>
      <c r="G20" s="44">
        <f>SUM(G17:G18)</f>
        <v>417998</v>
      </c>
      <c r="H20" s="23"/>
      <c r="I20" s="36">
        <f>SUM(I17:I18)</f>
        <v>418536</v>
      </c>
      <c r="J20" s="32"/>
      <c r="K20" s="32"/>
      <c r="L20" s="36">
        <f>SUM(L18:L18)</f>
        <v>421956</v>
      </c>
      <c r="M20" s="32"/>
      <c r="N20" s="36">
        <f>SUM(N17:N18)</f>
        <v>538.26</v>
      </c>
      <c r="O20" s="32"/>
      <c r="P20" s="36">
        <f>SUM(P17:P18)</f>
        <v>0</v>
      </c>
      <c r="Q20" s="36"/>
      <c r="R20" s="36">
        <f>SUM(R17:R18)</f>
        <v>538.26</v>
      </c>
      <c r="S20" s="36"/>
      <c r="T20" s="49">
        <f>SUM(T17:T18)</f>
        <v>0</v>
      </c>
      <c r="U20" s="32"/>
      <c r="V20" s="36">
        <f>SUM(V17:V18)</f>
        <v>1653</v>
      </c>
      <c r="W20" s="23"/>
    </row>
    <row r="21" spans="1:23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3"/>
      <c r="S21" s="33"/>
      <c r="T21" s="47"/>
      <c r="U21" s="32"/>
      <c r="V21" s="33"/>
      <c r="W21" s="23"/>
    </row>
    <row r="22" spans="1:23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3"/>
      <c r="M22" s="32"/>
      <c r="N22" s="33"/>
      <c r="O22" s="32"/>
      <c r="P22" s="33"/>
      <c r="Q22" s="33"/>
      <c r="R22" s="33"/>
      <c r="S22" s="33"/>
      <c r="T22" s="47"/>
      <c r="U22" s="32"/>
      <c r="V22" s="33"/>
      <c r="W22" s="23"/>
    </row>
    <row r="23" spans="1:23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3"/>
      <c r="M23" s="32"/>
      <c r="N23" s="33"/>
      <c r="O23" s="32"/>
      <c r="P23" s="33"/>
      <c r="Q23" s="33"/>
      <c r="R23" s="33"/>
      <c r="S23" s="33"/>
      <c r="T23" s="47"/>
      <c r="U23" s="32"/>
      <c r="V23" s="33"/>
      <c r="W23" s="23"/>
    </row>
    <row r="24" spans="1:23">
      <c r="A24" s="23" t="s">
        <v>95</v>
      </c>
      <c r="B24" s="23" t="s">
        <v>30</v>
      </c>
      <c r="C24" s="23"/>
      <c r="D24" s="23" t="s">
        <v>34</v>
      </c>
      <c r="E24" s="30">
        <v>5</v>
      </c>
      <c r="F24" s="30"/>
      <c r="G24" s="37">
        <f>1424023+71626.56</f>
        <v>1495649.56</v>
      </c>
      <c r="H24" s="23"/>
      <c r="I24" s="37"/>
      <c r="J24" s="32"/>
      <c r="K24" s="32"/>
      <c r="L24" s="33">
        <v>1329080</v>
      </c>
      <c r="M24" s="32"/>
      <c r="N24" s="33"/>
      <c r="O24" s="32" t="s">
        <v>31</v>
      </c>
      <c r="P24" s="45">
        <v>-16973</v>
      </c>
      <c r="Q24" s="33"/>
      <c r="R24" s="33">
        <v>0</v>
      </c>
      <c r="S24" s="33"/>
      <c r="T24" s="47">
        <v>-16973</v>
      </c>
      <c r="U24" s="32"/>
      <c r="V24" s="33">
        <v>5651</v>
      </c>
      <c r="W24" s="23" t="s">
        <v>31</v>
      </c>
    </row>
    <row r="25" spans="1:23">
      <c r="A25" s="23" t="s">
        <v>95</v>
      </c>
      <c r="B25" s="23" t="s">
        <v>33</v>
      </c>
      <c r="C25" s="23"/>
      <c r="D25" s="23" t="s">
        <v>20</v>
      </c>
      <c r="E25" s="30">
        <v>0</v>
      </c>
      <c r="F25" s="30"/>
      <c r="G25" s="37">
        <v>8494</v>
      </c>
      <c r="H25" s="30"/>
      <c r="I25" s="37">
        <v>0</v>
      </c>
      <c r="J25" s="32"/>
      <c r="K25" s="32"/>
      <c r="L25" s="33">
        <v>8559</v>
      </c>
      <c r="M25" s="32"/>
      <c r="N25" s="33"/>
      <c r="O25" s="32" t="s">
        <v>31</v>
      </c>
      <c r="P25" s="33"/>
      <c r="Q25" s="33"/>
      <c r="R25" s="33"/>
      <c r="S25" s="33"/>
      <c r="T25" s="47"/>
      <c r="U25" s="32"/>
      <c r="V25" s="33">
        <v>0</v>
      </c>
      <c r="W25" s="23" t="s">
        <v>31</v>
      </c>
    </row>
    <row r="26" spans="1:23">
      <c r="A26" s="23" t="s">
        <v>95</v>
      </c>
      <c r="B26" s="23" t="s">
        <v>33</v>
      </c>
      <c r="C26" s="23"/>
      <c r="D26" s="23" t="s">
        <v>34</v>
      </c>
      <c r="E26" s="30">
        <v>0.4</v>
      </c>
      <c r="F26" s="30"/>
      <c r="G26" s="37">
        <v>5272</v>
      </c>
      <c r="H26" s="23"/>
      <c r="I26" s="37">
        <v>0</v>
      </c>
      <c r="J26" s="32"/>
      <c r="K26" s="32"/>
      <c r="L26" s="33">
        <v>5092</v>
      </c>
      <c r="M26" s="32"/>
      <c r="N26" s="20"/>
      <c r="O26" s="32"/>
      <c r="P26" s="33"/>
      <c r="Q26" s="33"/>
      <c r="R26" s="20">
        <v>0</v>
      </c>
      <c r="S26" s="20"/>
      <c r="T26" s="47">
        <v>0</v>
      </c>
      <c r="U26" s="32"/>
      <c r="V26" s="33">
        <v>20</v>
      </c>
      <c r="W26" s="23" t="s">
        <v>31</v>
      </c>
    </row>
    <row r="27" spans="1:23">
      <c r="A27" s="23" t="s">
        <v>95</v>
      </c>
      <c r="B27" s="29" t="s">
        <v>96</v>
      </c>
      <c r="C27" s="29"/>
      <c r="D27" s="29" t="s">
        <v>34</v>
      </c>
      <c r="E27" s="30"/>
      <c r="F27" s="30"/>
      <c r="G27" s="37"/>
      <c r="H27" s="23"/>
      <c r="I27" s="37">
        <v>4509413</v>
      </c>
      <c r="J27" s="32"/>
      <c r="K27" s="32"/>
      <c r="L27" s="33"/>
      <c r="M27" s="32"/>
      <c r="N27" s="38">
        <v>1138.04</v>
      </c>
      <c r="O27" s="40"/>
      <c r="P27" s="45">
        <v>-14429.46</v>
      </c>
      <c r="Q27" s="33"/>
      <c r="R27" s="38">
        <v>1138.04</v>
      </c>
      <c r="S27" s="38"/>
      <c r="T27" s="45">
        <v>-14429.46</v>
      </c>
      <c r="U27" s="32"/>
      <c r="V27" s="33">
        <v>0</v>
      </c>
      <c r="W27" s="54" t="s">
        <v>97</v>
      </c>
    </row>
    <row r="28" spans="1:23">
      <c r="A28" s="29" t="s">
        <v>98</v>
      </c>
      <c r="B28" s="29" t="s">
        <v>99</v>
      </c>
      <c r="C28" s="29"/>
      <c r="D28" s="29"/>
      <c r="E28" s="30"/>
      <c r="F28" s="30"/>
      <c r="G28" s="45">
        <v>-71626.559999999998</v>
      </c>
      <c r="H28" s="23"/>
      <c r="I28" s="45">
        <v>-71627</v>
      </c>
      <c r="J28" s="32"/>
      <c r="K28" s="32"/>
      <c r="L28" s="33"/>
      <c r="M28" s="32"/>
      <c r="N28" s="38"/>
      <c r="O28" s="40"/>
      <c r="P28" s="37"/>
      <c r="Q28" s="33"/>
      <c r="R28" s="20"/>
      <c r="S28" s="20"/>
      <c r="T28" s="47"/>
      <c r="U28" s="32"/>
      <c r="V28" s="33"/>
      <c r="W28" s="23"/>
    </row>
    <row r="29" spans="1:23">
      <c r="A29" s="29" t="s">
        <v>100</v>
      </c>
      <c r="B29" s="29" t="s">
        <v>101</v>
      </c>
      <c r="C29" s="29"/>
      <c r="D29" s="29" t="s">
        <v>102</v>
      </c>
      <c r="E29" s="30">
        <v>1.93</v>
      </c>
      <c r="F29" s="30"/>
      <c r="G29" s="41">
        <v>5453746</v>
      </c>
      <c r="H29" s="23"/>
      <c r="I29" s="41">
        <v>1960028</v>
      </c>
      <c r="J29" s="32"/>
      <c r="K29" s="32"/>
      <c r="L29" s="34">
        <v>7089279</v>
      </c>
      <c r="M29" s="32"/>
      <c r="N29" s="41">
        <v>6142</v>
      </c>
      <c r="O29" s="32"/>
      <c r="P29" s="34"/>
      <c r="Q29" s="34"/>
      <c r="R29" s="41">
        <v>6142</v>
      </c>
      <c r="S29" s="34"/>
      <c r="T29" s="48">
        <v>0</v>
      </c>
      <c r="U29" s="32"/>
      <c r="V29" s="34">
        <v>32090</v>
      </c>
      <c r="W29" s="23"/>
    </row>
    <row r="30" spans="1:23" ht="12.75" thickBot="1">
      <c r="B30" s="28" t="s">
        <v>36</v>
      </c>
      <c r="C30" s="23"/>
      <c r="D30" s="23"/>
      <c r="E30" s="23"/>
      <c r="F30" s="23"/>
      <c r="G30" s="44">
        <f>SUM(G24:G29)</f>
        <v>6891535</v>
      </c>
      <c r="H30" s="23"/>
      <c r="I30" s="36">
        <f>SUM(I24:I29)</f>
        <v>6397814</v>
      </c>
      <c r="J30" s="32"/>
      <c r="K30" s="32"/>
      <c r="L30" s="36">
        <f>SUM(L24:L29)</f>
        <v>8432010</v>
      </c>
      <c r="M30" s="32"/>
      <c r="N30" s="36">
        <f>SUM(N24:N29)</f>
        <v>7280.04</v>
      </c>
      <c r="O30" s="32"/>
      <c r="P30" s="46">
        <f>SUM(P24:P29)</f>
        <v>-31402.46</v>
      </c>
      <c r="Q30" s="36"/>
      <c r="R30" s="36">
        <f>SUM(R24:R29)</f>
        <v>7280.04</v>
      </c>
      <c r="S30" s="36"/>
      <c r="T30" s="49">
        <f>SUM(T24:T29)</f>
        <v>-31402.46</v>
      </c>
      <c r="U30" s="32"/>
      <c r="V30" s="36">
        <f>SUM(V24:V29)</f>
        <v>37761</v>
      </c>
      <c r="W30" s="23"/>
    </row>
    <row r="31" spans="1:23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  <c r="W31" s="23"/>
    </row>
    <row r="32" spans="1:23">
      <c r="B32" s="23"/>
      <c r="C32" s="23"/>
      <c r="D32" s="23"/>
      <c r="E32" s="23"/>
      <c r="F32" s="23"/>
      <c r="G32" s="29"/>
      <c r="H32" s="23"/>
      <c r="I32" s="39"/>
      <c r="J32" s="24"/>
      <c r="K32" s="24"/>
      <c r="L32" s="23"/>
      <c r="M32" s="24"/>
      <c r="N32" s="23"/>
      <c r="O32" s="24"/>
      <c r="P32" s="45"/>
      <c r="Q32" s="23"/>
      <c r="R32" s="23"/>
      <c r="S32" s="23"/>
      <c r="T32" s="23"/>
      <c r="U32" s="24"/>
      <c r="V32" s="23"/>
      <c r="W32" s="23"/>
    </row>
    <row r="33" spans="2:23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3"/>
      <c r="M33" s="24"/>
      <c r="N33" s="23"/>
      <c r="O33" s="24"/>
      <c r="P33" s="23"/>
      <c r="Q33" s="23"/>
      <c r="R33" s="23"/>
      <c r="S33" s="23"/>
      <c r="T33" s="23"/>
      <c r="U33" s="24"/>
      <c r="V33" s="23"/>
      <c r="W33" s="23"/>
    </row>
    <row r="34" spans="2:23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3"/>
      <c r="M34" s="24"/>
      <c r="N34" s="29"/>
      <c r="O34" s="24"/>
      <c r="P34" s="23"/>
      <c r="Q34" s="23"/>
      <c r="R34" s="23"/>
      <c r="S34" s="23"/>
      <c r="T34" s="23"/>
      <c r="U34" s="24"/>
      <c r="V34" s="23"/>
      <c r="W34" s="23"/>
    </row>
    <row r="35" spans="2:23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3"/>
      <c r="M35" s="24"/>
      <c r="N35" s="23"/>
      <c r="O35" s="24"/>
      <c r="P35" s="23"/>
      <c r="Q35" s="23"/>
      <c r="R35" s="23"/>
      <c r="S35" s="23"/>
      <c r="T35" s="23"/>
      <c r="U35" s="24"/>
      <c r="V35" s="23"/>
      <c r="W35" s="23"/>
    </row>
    <row r="36" spans="2:23">
      <c r="B36" s="23"/>
      <c r="C36" s="23"/>
      <c r="D36" s="23"/>
      <c r="E36" s="23"/>
      <c r="F36" s="23"/>
      <c r="G36" s="29"/>
      <c r="H36" s="23"/>
      <c r="I36" s="33"/>
      <c r="J36" s="24"/>
      <c r="K36" s="24"/>
      <c r="L36" s="39"/>
      <c r="M36" s="24"/>
      <c r="N36" s="39"/>
      <c r="O36" s="24"/>
      <c r="P36" s="23"/>
      <c r="Q36" s="23"/>
      <c r="R36" s="23"/>
      <c r="S36" s="23"/>
      <c r="T36" s="23"/>
      <c r="U36" s="24"/>
      <c r="V36" s="23"/>
      <c r="W36" s="23"/>
    </row>
    <row r="37" spans="2:23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3"/>
      <c r="M37" s="24"/>
      <c r="N37" s="23"/>
      <c r="O37" s="24"/>
      <c r="P37" s="23"/>
      <c r="Q37" s="23"/>
      <c r="R37" s="23"/>
      <c r="S37" s="23"/>
      <c r="T37" s="23"/>
      <c r="U37" s="24"/>
      <c r="V37" s="23"/>
      <c r="W37" s="23"/>
    </row>
    <row r="38" spans="2:23">
      <c r="B38" s="28" t="s">
        <v>104</v>
      </c>
      <c r="C38" s="23"/>
      <c r="D38" s="23"/>
      <c r="E38" s="23"/>
      <c r="F38" s="23"/>
      <c r="G38" s="29"/>
      <c r="H38" s="23"/>
      <c r="I38" s="23"/>
      <c r="J38" s="24"/>
      <c r="K38" s="24"/>
      <c r="L38" s="23"/>
      <c r="M38" s="24"/>
      <c r="N38" s="23"/>
      <c r="O38" s="24"/>
      <c r="P38" s="23"/>
      <c r="Q38" s="23"/>
      <c r="R38" s="23"/>
      <c r="S38" s="23"/>
      <c r="T38" s="23"/>
      <c r="U38" s="24"/>
      <c r="V38" s="23"/>
      <c r="W38" s="23"/>
    </row>
    <row r="39" spans="2:23">
      <c r="B39" s="28"/>
      <c r="C39" s="23"/>
      <c r="D39" s="23"/>
      <c r="E39" s="23"/>
      <c r="F39" s="23"/>
      <c r="G39" s="29"/>
      <c r="H39" s="23"/>
      <c r="I39" s="23"/>
      <c r="J39" s="24"/>
      <c r="K39" s="24"/>
      <c r="L39" s="23"/>
      <c r="M39" s="24"/>
      <c r="N39" s="23"/>
      <c r="O39" s="24"/>
      <c r="P39" s="23"/>
      <c r="Q39" s="23"/>
      <c r="R39" s="23"/>
      <c r="S39" s="23"/>
      <c r="T39" s="23"/>
      <c r="U39" s="24"/>
      <c r="V39" s="23"/>
      <c r="W39" s="23"/>
    </row>
    <row r="40" spans="2:23" hidden="1">
      <c r="B40" s="28"/>
      <c r="C40" s="23"/>
      <c r="D40" s="23"/>
      <c r="E40" s="23"/>
      <c r="F40" s="23"/>
      <c r="G40" s="29"/>
      <c r="H40" s="23"/>
      <c r="I40" s="23"/>
      <c r="J40" s="24"/>
      <c r="K40" s="24"/>
      <c r="L40" s="23"/>
      <c r="M40" s="24"/>
      <c r="N40" s="23"/>
      <c r="O40" s="24"/>
      <c r="P40" s="23"/>
      <c r="Q40" s="23"/>
      <c r="R40" s="23"/>
      <c r="S40" s="23"/>
      <c r="T40" s="23"/>
      <c r="U40" s="24"/>
      <c r="V40" s="23"/>
      <c r="W40" s="23"/>
    </row>
    <row r="41" spans="2:23" hidden="1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3"/>
      <c r="M41" s="24"/>
      <c r="N41" s="23"/>
      <c r="O41" s="24"/>
      <c r="P41" s="23"/>
      <c r="Q41" s="23"/>
      <c r="R41" s="23"/>
      <c r="S41" s="23"/>
      <c r="T41" s="23"/>
      <c r="U41" s="24"/>
      <c r="V41" s="23"/>
      <c r="W41" s="23"/>
    </row>
    <row r="42" spans="2:23" s="64" customFormat="1" hidden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  <c r="W42" s="62"/>
    </row>
    <row r="43" spans="2:23" hidden="1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  <c r="W43" s="23"/>
    </row>
    <row r="44" spans="2:23" hidden="1">
      <c r="B44" s="23"/>
      <c r="C44" s="23"/>
      <c r="D44" s="23"/>
      <c r="E44" s="25" t="s">
        <v>107</v>
      </c>
      <c r="F44" s="23"/>
      <c r="G44" s="29"/>
      <c r="H44" s="23"/>
      <c r="I44" s="23"/>
      <c r="J44" s="24"/>
      <c r="K44" s="24"/>
      <c r="L44" s="23"/>
      <c r="M44" s="24"/>
      <c r="N44" s="23"/>
      <c r="O44" s="24"/>
      <c r="P44" s="23"/>
      <c r="Q44" s="23"/>
      <c r="R44" s="23"/>
      <c r="S44" s="23"/>
      <c r="T44" s="23"/>
      <c r="U44" s="24"/>
      <c r="V44" s="23"/>
      <c r="W44" s="23"/>
    </row>
    <row r="45" spans="2:23" hidden="1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  <c r="W45" s="23"/>
    </row>
    <row r="46" spans="2:23" hidden="1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/>
      <c r="M46" s="24"/>
      <c r="N46" s="23"/>
      <c r="O46" s="24"/>
      <c r="P46" s="23"/>
      <c r="Q46" s="23"/>
      <c r="R46" s="23"/>
      <c r="S46" s="23"/>
      <c r="T46" s="23"/>
      <c r="U46" s="24"/>
      <c r="V46" s="23"/>
      <c r="W46" s="23"/>
    </row>
    <row r="47" spans="2:23" hidden="1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/>
      <c r="M47" s="24"/>
      <c r="N47" s="23"/>
      <c r="O47" s="24"/>
      <c r="P47" s="39"/>
      <c r="Q47" s="23"/>
      <c r="R47" s="23"/>
      <c r="S47" s="23"/>
      <c r="T47" s="23"/>
      <c r="U47" s="24"/>
      <c r="V47" s="23"/>
      <c r="W47" s="23"/>
    </row>
    <row r="48" spans="2:23" hidden="1">
      <c r="E48" s="61"/>
    </row>
    <row r="49" spans="2:12" hidden="1">
      <c r="B49" s="23" t="s">
        <v>112</v>
      </c>
      <c r="C49" s="23" t="s">
        <v>109</v>
      </c>
      <c r="D49" s="52">
        <v>4611788.82</v>
      </c>
      <c r="E49" s="61">
        <v>1138</v>
      </c>
      <c r="G49" s="51"/>
    </row>
    <row r="50" spans="2:12" hidden="1">
      <c r="C50" s="23" t="s">
        <v>110</v>
      </c>
      <c r="D50" s="53">
        <v>4590048.9800000004</v>
      </c>
      <c r="E50" s="38">
        <v>13482.09</v>
      </c>
      <c r="L50" s="23"/>
    </row>
    <row r="51" spans="2:12" hidden="1">
      <c r="C51" s="23" t="s">
        <v>111</v>
      </c>
      <c r="D51" s="22">
        <v>4128089.72</v>
      </c>
      <c r="E51" s="61"/>
      <c r="I51" s="29"/>
      <c r="L51" s="29"/>
    </row>
    <row r="52" spans="2:12" hidden="1">
      <c r="I52" s="59"/>
    </row>
    <row r="53" spans="2:12" hidden="1"/>
    <row r="54" spans="2:12" hidden="1"/>
    <row r="55" spans="2:12" hidden="1"/>
    <row r="56" spans="2:12" hidden="1">
      <c r="I56" s="60"/>
    </row>
  </sheetData>
  <mergeCells count="6">
    <mergeCell ref="N5:P5"/>
    <mergeCell ref="R5:T5"/>
    <mergeCell ref="D1:V1"/>
    <mergeCell ref="D2:V2"/>
    <mergeCell ref="N4:V4"/>
    <mergeCell ref="G4:L4"/>
  </mergeCells>
  <phoneticPr fontId="4" type="noConversion"/>
  <pageMargins left="0.33" right="0.41" top="1.1000000000000001" bottom="1" header="0.5" footer="0.5"/>
  <pageSetup scale="87" orientation="landscape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V54"/>
  <sheetViews>
    <sheetView topLeftCell="B1" workbookViewId="0">
      <selection activeCell="Q6" sqref="Q6:S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6.42578125" style="22" customWidth="1"/>
    <col min="6" max="6" width="2.7109375" style="22" customWidth="1"/>
    <col min="7" max="7" width="12.85546875" style="43" customWidth="1"/>
    <col min="8" max="8" width="1.140625" style="22" customWidth="1"/>
    <col min="9" max="9" width="10.85546875" style="22" customWidth="1"/>
    <col min="10" max="10" width="0.140625" style="22" customWidth="1"/>
    <col min="11" max="11" width="11.42578125" style="43" customWidth="1"/>
    <col min="12" max="12" width="3.140625" style="22" customWidth="1"/>
    <col min="13" max="13" width="10.140625" style="22" customWidth="1"/>
    <col min="14" max="14" width="1.140625" style="22" customWidth="1"/>
    <col min="15" max="15" width="10.7109375" style="22" customWidth="1"/>
    <col min="16" max="16" width="2" style="22" customWidth="1"/>
    <col min="17" max="17" width="10.7109375" style="22" customWidth="1"/>
    <col min="18" max="18" width="1.140625" style="43" customWidth="1"/>
    <col min="19" max="19" width="10.7109375" style="22" customWidth="1"/>
    <col min="20" max="20" width="1.140625" style="22" customWidth="1"/>
    <col min="21" max="21" width="10.140625" style="22" customWidth="1"/>
    <col min="22" max="16384" width="11.42578125" style="22"/>
  </cols>
  <sheetData>
    <row r="1" spans="1:22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23"/>
    </row>
    <row r="2" spans="1:22" ht="12.75" thickBot="1">
      <c r="B2" s="35"/>
      <c r="C2" s="23"/>
      <c r="D2" s="426" t="s">
        <v>78</v>
      </c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9"/>
      <c r="L3" s="24"/>
      <c r="M3" s="23"/>
      <c r="N3" s="24"/>
      <c r="O3" s="23"/>
      <c r="P3" s="23"/>
      <c r="Q3" s="23"/>
      <c r="R3" s="29"/>
      <c r="S3" s="23"/>
      <c r="T3" s="24"/>
      <c r="U3" s="23"/>
      <c r="V3" s="23"/>
    </row>
    <row r="4" spans="1:22">
      <c r="B4" s="23"/>
      <c r="C4" s="23"/>
      <c r="D4" s="23"/>
      <c r="E4" s="23"/>
      <c r="F4" s="23"/>
      <c r="G4" s="428" t="s">
        <v>79</v>
      </c>
      <c r="H4" s="428"/>
      <c r="I4" s="428"/>
      <c r="J4" s="428"/>
      <c r="K4" s="428"/>
      <c r="L4" s="24"/>
      <c r="M4" s="430" t="s">
        <v>80</v>
      </c>
      <c r="N4" s="430"/>
      <c r="O4" s="430"/>
      <c r="P4" s="430"/>
      <c r="Q4" s="430"/>
      <c r="R4" s="430"/>
      <c r="S4" s="430"/>
      <c r="T4" s="24"/>
      <c r="U4" s="23"/>
      <c r="V4" s="23"/>
    </row>
    <row r="5" spans="1:22" ht="12.75" thickBot="1">
      <c r="B5" s="23"/>
      <c r="C5" s="23"/>
      <c r="D5" s="23"/>
      <c r="E5" s="23"/>
      <c r="F5" s="23"/>
      <c r="G5" s="431"/>
      <c r="H5" s="431"/>
      <c r="I5" s="431"/>
      <c r="J5" s="431"/>
      <c r="K5" s="431"/>
      <c r="L5" s="24"/>
      <c r="M5" s="426" t="s">
        <v>81</v>
      </c>
      <c r="N5" s="426"/>
      <c r="O5" s="426"/>
      <c r="P5" s="26"/>
      <c r="Q5" s="429" t="s">
        <v>82</v>
      </c>
      <c r="R5" s="429"/>
      <c r="S5" s="429"/>
      <c r="T5" s="24"/>
      <c r="U5" s="23"/>
      <c r="V5" s="23"/>
    </row>
    <row r="6" spans="1:22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113</v>
      </c>
      <c r="H6" s="27"/>
      <c r="I6" s="79" t="s">
        <v>114</v>
      </c>
      <c r="J6" s="24"/>
      <c r="K6" s="72" t="s">
        <v>11</v>
      </c>
      <c r="L6" s="24"/>
      <c r="M6" s="71" t="s">
        <v>12</v>
      </c>
      <c r="N6" s="24"/>
      <c r="O6" s="71" t="s">
        <v>86</v>
      </c>
      <c r="P6" s="25"/>
      <c r="Q6" s="77" t="s">
        <v>12</v>
      </c>
      <c r="R6" s="42"/>
      <c r="S6" s="78" t="s">
        <v>86</v>
      </c>
      <c r="T6" s="24"/>
      <c r="U6" s="72" t="s">
        <v>14</v>
      </c>
      <c r="V6" s="23"/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9"/>
      <c r="L7" s="24"/>
      <c r="M7" s="23"/>
      <c r="N7" s="24"/>
      <c r="O7" s="23"/>
      <c r="P7" s="23"/>
      <c r="Q7" s="29"/>
      <c r="R7" s="29"/>
      <c r="S7" s="55"/>
      <c r="T7" s="24"/>
      <c r="U7" s="23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1.7</v>
      </c>
      <c r="F8" s="30"/>
      <c r="G8" s="37">
        <v>100000</v>
      </c>
      <c r="H8" s="31"/>
      <c r="I8" s="37">
        <v>100000</v>
      </c>
      <c r="J8" s="32"/>
      <c r="K8" s="37">
        <v>100000</v>
      </c>
      <c r="L8" s="32"/>
      <c r="M8" s="37">
        <v>149.69999999999999</v>
      </c>
      <c r="N8" s="32"/>
      <c r="O8" s="33"/>
      <c r="P8" s="33"/>
      <c r="Q8" s="37">
        <v>289.5</v>
      </c>
      <c r="R8" s="37"/>
      <c r="S8" s="38">
        <v>0</v>
      </c>
      <c r="T8" s="32"/>
      <c r="U8" s="33">
        <v>790</v>
      </c>
      <c r="V8" s="23"/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1.7</v>
      </c>
      <c r="F9" s="30"/>
      <c r="G9" s="37">
        <v>481900.65</v>
      </c>
      <c r="H9" s="31"/>
      <c r="I9" s="37">
        <v>481900.65</v>
      </c>
      <c r="J9" s="32"/>
      <c r="K9" s="37">
        <v>463077</v>
      </c>
      <c r="L9" s="32"/>
      <c r="M9" s="33"/>
      <c r="N9" s="32"/>
      <c r="O9" s="33"/>
      <c r="P9" s="33"/>
      <c r="Q9" s="37">
        <v>0</v>
      </c>
      <c r="R9" s="37"/>
      <c r="S9" s="38">
        <v>0</v>
      </c>
      <c r="T9" s="32"/>
      <c r="U9" s="33">
        <v>0</v>
      </c>
      <c r="V9" s="23"/>
    </row>
    <row r="10" spans="1:22">
      <c r="A10" s="23" t="s">
        <v>90</v>
      </c>
      <c r="B10" s="76" t="s">
        <v>19</v>
      </c>
      <c r="C10" s="29"/>
      <c r="D10" s="76" t="s">
        <v>115</v>
      </c>
      <c r="E10" s="30"/>
      <c r="F10" s="30"/>
      <c r="G10" s="37">
        <v>206315.39</v>
      </c>
      <c r="H10" s="31"/>
      <c r="I10" s="37">
        <v>205356</v>
      </c>
      <c r="J10" s="32"/>
      <c r="K10" s="37">
        <v>128482</v>
      </c>
      <c r="L10" s="32"/>
      <c r="M10" s="33"/>
      <c r="N10" s="32"/>
      <c r="O10" s="33"/>
      <c r="P10" s="33"/>
      <c r="Q10" s="37">
        <v>0</v>
      </c>
      <c r="R10" s="37"/>
      <c r="S10" s="38"/>
      <c r="T10" s="32"/>
      <c r="U10" s="33">
        <v>1000</v>
      </c>
      <c r="V10" s="23"/>
    </row>
    <row r="11" spans="1:22">
      <c r="A11" s="23" t="s">
        <v>91</v>
      </c>
      <c r="B11" s="29" t="s">
        <v>116</v>
      </c>
      <c r="C11" s="29"/>
      <c r="D11" s="76" t="s">
        <v>115</v>
      </c>
      <c r="E11" s="30"/>
      <c r="F11" s="30"/>
      <c r="G11" s="41">
        <v>-19784.37</v>
      </c>
      <c r="H11" s="31"/>
      <c r="I11" s="41">
        <v>-18825</v>
      </c>
      <c r="J11" s="32"/>
      <c r="K11" s="41">
        <v>74321</v>
      </c>
      <c r="L11" s="32"/>
      <c r="M11" s="34"/>
      <c r="N11" s="32"/>
      <c r="O11" s="34"/>
      <c r="P11" s="34"/>
      <c r="Q11" s="41">
        <v>0</v>
      </c>
      <c r="R11" s="41"/>
      <c r="S11" s="56">
        <v>0</v>
      </c>
      <c r="T11" s="32"/>
      <c r="U11" s="34">
        <v>400</v>
      </c>
      <c r="V11" s="23"/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7"/>
      <c r="L12" s="32"/>
      <c r="M12" s="33"/>
      <c r="N12" s="32"/>
      <c r="O12" s="33"/>
      <c r="P12" s="33"/>
      <c r="Q12" s="37"/>
      <c r="R12" s="37"/>
      <c r="S12" s="38"/>
      <c r="T12" s="32"/>
      <c r="U12" s="33"/>
      <c r="V12" s="23"/>
    </row>
    <row r="13" spans="1:22" ht="12.75" thickBot="1">
      <c r="B13" s="35" t="s">
        <v>24</v>
      </c>
      <c r="D13" s="23"/>
      <c r="E13" s="31"/>
      <c r="F13" s="31"/>
      <c r="G13" s="44">
        <f>SUM(G8:G11)</f>
        <v>768431.67</v>
      </c>
      <c r="H13" s="31"/>
      <c r="I13" s="36">
        <f>SUM(I8:I11)</f>
        <v>768431.65</v>
      </c>
      <c r="J13" s="32"/>
      <c r="K13" s="44">
        <f>SUM(K8:K11)</f>
        <v>765880</v>
      </c>
      <c r="L13" s="32"/>
      <c r="M13" s="36">
        <f>SUM(M8:M11)</f>
        <v>149.69999999999999</v>
      </c>
      <c r="N13" s="32"/>
      <c r="O13" s="36">
        <f>SUM(O8:O11)</f>
        <v>0</v>
      </c>
      <c r="P13" s="36"/>
      <c r="Q13" s="44">
        <f>SUM(Q8:Q11)</f>
        <v>289.5</v>
      </c>
      <c r="R13" s="44"/>
      <c r="S13" s="57">
        <f>SUM(S8:S11)</f>
        <v>0</v>
      </c>
      <c r="T13" s="32"/>
      <c r="U13" s="36">
        <f>SUM(U8:U11)</f>
        <v>2190</v>
      </c>
      <c r="V13" s="23"/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L14" s="32"/>
      <c r="M14" s="33"/>
      <c r="N14" s="32"/>
      <c r="O14" s="33"/>
      <c r="P14" s="33"/>
      <c r="Q14" s="37"/>
      <c r="R14" s="37"/>
      <c r="S14" s="38"/>
      <c r="T14" s="32"/>
      <c r="U14" s="33"/>
      <c r="V14" s="2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7"/>
      <c r="L15" s="32"/>
      <c r="M15" s="33"/>
      <c r="N15" s="32"/>
      <c r="O15" s="33"/>
      <c r="P15" s="33"/>
      <c r="Q15" s="37"/>
      <c r="R15" s="37"/>
      <c r="S15" s="38"/>
      <c r="T15" s="32"/>
      <c r="U15" s="33"/>
      <c r="V15" s="2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7"/>
      <c r="L16" s="32"/>
      <c r="M16" s="33"/>
      <c r="N16" s="32"/>
      <c r="O16" s="33"/>
      <c r="P16" s="33"/>
      <c r="Q16" s="37"/>
      <c r="R16" s="37"/>
      <c r="S16" s="38"/>
      <c r="T16" s="32"/>
      <c r="U16" s="33"/>
      <c r="V16" s="2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7"/>
      <c r="L17" s="32"/>
      <c r="M17" s="33"/>
      <c r="N17" s="32"/>
      <c r="O17" s="33"/>
      <c r="P17" s="33"/>
      <c r="Q17" s="37"/>
      <c r="R17" s="37"/>
      <c r="S17" s="38"/>
      <c r="T17" s="32"/>
      <c r="U17" s="33"/>
      <c r="V17" s="23"/>
    </row>
    <row r="18" spans="1:22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418536</v>
      </c>
      <c r="H18" s="23"/>
      <c r="I18" s="41">
        <v>419116.04</v>
      </c>
      <c r="J18" s="32"/>
      <c r="K18" s="41">
        <v>423792</v>
      </c>
      <c r="L18" s="32"/>
      <c r="M18" s="41">
        <v>579.6</v>
      </c>
      <c r="N18" s="32"/>
      <c r="O18" s="34"/>
      <c r="P18" s="34"/>
      <c r="Q18" s="41">
        <v>1117.8599999999999</v>
      </c>
      <c r="R18" s="41"/>
      <c r="S18" s="56">
        <v>0</v>
      </c>
      <c r="T18" s="32"/>
      <c r="U18" s="34">
        <v>3489</v>
      </c>
      <c r="V18" s="23"/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7"/>
      <c r="L19" s="32"/>
      <c r="M19" s="33"/>
      <c r="N19" s="32"/>
      <c r="O19" s="33"/>
      <c r="P19" s="33"/>
      <c r="Q19" s="37"/>
      <c r="R19" s="37"/>
      <c r="S19" s="38"/>
      <c r="T19" s="32"/>
      <c r="U19" s="33"/>
      <c r="V19" s="2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418536</v>
      </c>
      <c r="H20" s="23"/>
      <c r="I20" s="36">
        <f>SUM(I17:I18)</f>
        <v>419116.04</v>
      </c>
      <c r="J20" s="32"/>
      <c r="K20" s="44">
        <f>SUM(K18:K18)</f>
        <v>423792</v>
      </c>
      <c r="L20" s="32"/>
      <c r="M20" s="36">
        <f>SUM(M17:M18)</f>
        <v>579.6</v>
      </c>
      <c r="N20" s="32"/>
      <c r="O20" s="36">
        <f>SUM(O17:O18)</f>
        <v>0</v>
      </c>
      <c r="P20" s="36"/>
      <c r="Q20" s="44">
        <f>SUM(Q17:Q18)</f>
        <v>1117.8599999999999</v>
      </c>
      <c r="R20" s="44"/>
      <c r="S20" s="57">
        <f>SUM(S17:S18)</f>
        <v>0</v>
      </c>
      <c r="T20" s="32"/>
      <c r="U20" s="36">
        <f>SUM(U17:U18)</f>
        <v>3489</v>
      </c>
      <c r="V20" s="23"/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L21" s="32"/>
      <c r="M21" s="33"/>
      <c r="N21" s="32"/>
      <c r="O21" s="33"/>
      <c r="P21" s="33"/>
      <c r="Q21" s="37"/>
      <c r="R21" s="37"/>
      <c r="S21" s="38"/>
      <c r="T21" s="32"/>
      <c r="U21" s="33"/>
      <c r="V21" s="2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7"/>
      <c r="L22" s="32"/>
      <c r="M22" s="33"/>
      <c r="N22" s="32"/>
      <c r="O22" s="33"/>
      <c r="P22" s="33"/>
      <c r="Q22" s="37"/>
      <c r="R22" s="37"/>
      <c r="S22" s="38"/>
      <c r="T22" s="32"/>
      <c r="U22" s="33"/>
      <c r="V22" s="2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7"/>
      <c r="L23" s="32"/>
      <c r="M23" s="33"/>
      <c r="N23" s="32"/>
      <c r="O23" s="33"/>
      <c r="P23" s="33"/>
      <c r="Q23" s="37"/>
      <c r="R23" s="37"/>
      <c r="S23" s="38"/>
      <c r="T23" s="32"/>
      <c r="U23" s="33"/>
      <c r="V23" s="23"/>
    </row>
    <row r="24" spans="1:22">
      <c r="A24" s="23" t="s">
        <v>95</v>
      </c>
      <c r="B24" s="23" t="s">
        <v>30</v>
      </c>
      <c r="C24" s="23"/>
      <c r="D24" s="23" t="s">
        <v>34</v>
      </c>
      <c r="E24" s="30"/>
      <c r="F24" s="30"/>
      <c r="G24" s="37">
        <v>0</v>
      </c>
      <c r="H24" s="23"/>
      <c r="I24" s="45"/>
      <c r="J24" s="32"/>
      <c r="K24" s="37">
        <v>1334754</v>
      </c>
      <c r="L24" s="32"/>
      <c r="M24" s="33"/>
      <c r="N24" s="32" t="s">
        <v>31</v>
      </c>
      <c r="O24" s="75">
        <v>-1309</v>
      </c>
      <c r="P24" s="33"/>
      <c r="Q24" s="37">
        <v>0</v>
      </c>
      <c r="R24" s="37"/>
      <c r="S24" s="38">
        <f>-16973-1309</f>
        <v>-18282</v>
      </c>
      <c r="T24" s="32"/>
      <c r="U24" s="33">
        <v>11325</v>
      </c>
      <c r="V24" s="23" t="s">
        <v>31</v>
      </c>
    </row>
    <row r="25" spans="1:22">
      <c r="A25" s="23" t="s">
        <v>95</v>
      </c>
      <c r="B25" s="23" t="s">
        <v>33</v>
      </c>
      <c r="C25" s="23"/>
      <c r="D25" s="23" t="s">
        <v>20</v>
      </c>
      <c r="E25" s="30"/>
      <c r="F25" s="30"/>
      <c r="G25" s="37">
        <v>0</v>
      </c>
      <c r="H25" s="30"/>
      <c r="I25" s="37"/>
      <c r="J25" s="32"/>
      <c r="K25" s="37">
        <v>8559</v>
      </c>
      <c r="L25" s="32"/>
      <c r="M25" s="33"/>
      <c r="N25" s="32" t="s">
        <v>31</v>
      </c>
      <c r="O25" s="33"/>
      <c r="P25" s="33"/>
      <c r="Q25" s="37">
        <v>0</v>
      </c>
      <c r="R25" s="37"/>
      <c r="S25" s="38">
        <v>0</v>
      </c>
      <c r="T25" s="32"/>
      <c r="U25" s="33">
        <v>0</v>
      </c>
      <c r="V25" s="23" t="s">
        <v>31</v>
      </c>
    </row>
    <row r="26" spans="1:22">
      <c r="A26" s="23" t="s">
        <v>95</v>
      </c>
      <c r="B26" s="23" t="s">
        <v>33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7">
        <v>5112</v>
      </c>
      <c r="L26" s="32"/>
      <c r="M26" s="20"/>
      <c r="N26" s="32"/>
      <c r="O26" s="33"/>
      <c r="P26" s="33"/>
      <c r="Q26" s="37">
        <v>0</v>
      </c>
      <c r="R26" s="38"/>
      <c r="S26" s="38">
        <v>0</v>
      </c>
      <c r="T26" s="32"/>
      <c r="U26" s="33">
        <v>40</v>
      </c>
      <c r="V26" s="23" t="s">
        <v>31</v>
      </c>
    </row>
    <row r="27" spans="1:22">
      <c r="A27" s="23" t="s">
        <v>95</v>
      </c>
      <c r="B27" s="29" t="s">
        <v>19</v>
      </c>
      <c r="C27" s="29"/>
      <c r="D27" s="76" t="s">
        <v>115</v>
      </c>
      <c r="E27" s="30"/>
      <c r="F27" s="30"/>
      <c r="G27" s="37">
        <v>4509413</v>
      </c>
      <c r="H27" s="23"/>
      <c r="I27" s="37">
        <v>4524033</v>
      </c>
      <c r="J27" s="32"/>
      <c r="K27" s="37"/>
      <c r="L27" s="32"/>
      <c r="M27" s="38">
        <v>13482.09</v>
      </c>
      <c r="N27" s="40"/>
      <c r="O27" s="45">
        <f>11118.34-46120.37</f>
        <v>-35002.03</v>
      </c>
      <c r="P27" s="33"/>
      <c r="Q27" s="37">
        <v>14620.13</v>
      </c>
      <c r="R27" s="38"/>
      <c r="S27" s="38">
        <v>-49431.49</v>
      </c>
      <c r="T27" s="32"/>
      <c r="U27" s="33">
        <v>0</v>
      </c>
      <c r="V27" s="23"/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-71627</v>
      </c>
      <c r="H28" s="23"/>
      <c r="I28" s="45">
        <v>-139340</v>
      </c>
      <c r="J28" s="32"/>
      <c r="K28" s="33"/>
      <c r="L28" s="32"/>
      <c r="M28" s="38"/>
      <c r="N28" s="40"/>
      <c r="O28" s="37"/>
      <c r="P28" s="33"/>
      <c r="Q28" s="20"/>
      <c r="R28" s="20"/>
      <c r="S28" s="55"/>
      <c r="T28" s="32"/>
      <c r="U28" s="33"/>
      <c r="V28" s="23"/>
    </row>
    <row r="29" spans="1:22">
      <c r="A29" s="29" t="s">
        <v>100</v>
      </c>
      <c r="B29" s="29" t="s">
        <v>101</v>
      </c>
      <c r="C29" s="29"/>
      <c r="D29" s="76" t="s">
        <v>118</v>
      </c>
      <c r="E29" s="30">
        <v>1.7</v>
      </c>
      <c r="F29" s="30"/>
      <c r="G29" s="41">
        <v>1960028</v>
      </c>
      <c r="H29" s="23"/>
      <c r="I29" s="41">
        <v>1713527</v>
      </c>
      <c r="J29" s="32"/>
      <c r="K29" s="41">
        <v>6615642</v>
      </c>
      <c r="L29" s="32"/>
      <c r="M29" s="41">
        <v>3349.57</v>
      </c>
      <c r="N29" s="32"/>
      <c r="O29" s="34"/>
      <c r="P29" s="34"/>
      <c r="Q29" s="41">
        <v>9492</v>
      </c>
      <c r="R29" s="41"/>
      <c r="S29" s="56">
        <v>0</v>
      </c>
      <c r="T29" s="32"/>
      <c r="U29" s="34">
        <v>58085</v>
      </c>
      <c r="V29" s="23"/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6397814</v>
      </c>
      <c r="H30" s="23"/>
      <c r="I30" s="36">
        <f>SUM(I24:I29)</f>
        <v>6098220</v>
      </c>
      <c r="J30" s="32"/>
      <c r="K30" s="44">
        <f>SUM(K24:K29)</f>
        <v>7964067</v>
      </c>
      <c r="L30" s="32"/>
      <c r="M30" s="36">
        <f>SUM(M24:M29)</f>
        <v>16831.66</v>
      </c>
      <c r="N30" s="32"/>
      <c r="O30" s="46">
        <f>SUM(O24:O29)</f>
        <v>-36311.03</v>
      </c>
      <c r="P30" s="36"/>
      <c r="Q30" s="44">
        <f>SUM(Q24:Q29)</f>
        <v>24112.129999999997</v>
      </c>
      <c r="R30" s="44"/>
      <c r="S30" s="57">
        <f>SUM(S24:S29)</f>
        <v>-67713.489999999991</v>
      </c>
      <c r="T30" s="32"/>
      <c r="U30" s="36">
        <f>SUM(U24:U29)</f>
        <v>69450</v>
      </c>
      <c r="V30" s="23"/>
    </row>
    <row r="31" spans="1:22" ht="13.5" thickTop="1" thickBot="1">
      <c r="B31" s="23"/>
      <c r="C31" s="23"/>
      <c r="D31" s="23"/>
      <c r="E31" s="23"/>
      <c r="F31" s="23"/>
      <c r="G31" s="29"/>
      <c r="H31" s="23"/>
      <c r="I31" s="23"/>
      <c r="J31" s="24"/>
      <c r="L31" s="24"/>
      <c r="M31" s="23"/>
      <c r="N31" s="24"/>
      <c r="O31" s="23"/>
      <c r="P31" s="23"/>
      <c r="Q31" s="23"/>
      <c r="R31" s="29"/>
      <c r="S31" s="23"/>
      <c r="T31" s="24"/>
      <c r="U31" s="23"/>
      <c r="V31" s="23"/>
    </row>
    <row r="32" spans="1:22" ht="12.75" thickBot="1">
      <c r="B32" s="23"/>
      <c r="C32" s="23"/>
      <c r="D32" s="23"/>
      <c r="E32" s="23"/>
      <c r="F32" s="23"/>
      <c r="G32" s="29"/>
      <c r="H32" s="23"/>
      <c r="I32" s="23"/>
      <c r="J32" s="24"/>
      <c r="K32" s="29"/>
      <c r="L32" s="24"/>
      <c r="M32" s="23"/>
      <c r="N32" s="24"/>
      <c r="O32" s="23"/>
      <c r="P32" s="23"/>
      <c r="Q32" s="23"/>
      <c r="R32" s="29"/>
      <c r="S32" s="68"/>
      <c r="T32" s="24"/>
      <c r="U32" s="23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9"/>
      <c r="L33" s="24"/>
      <c r="M33" s="23"/>
      <c r="N33" s="24"/>
      <c r="O33" s="23"/>
      <c r="P33" s="23"/>
      <c r="Q33" s="23"/>
      <c r="R33" s="29"/>
      <c r="S33" s="29"/>
      <c r="T33" s="24"/>
      <c r="U33" s="23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9"/>
      <c r="L34" s="24"/>
      <c r="M34" s="23"/>
      <c r="N34" s="24"/>
      <c r="O34" s="23"/>
      <c r="P34" s="23"/>
      <c r="Q34" s="23"/>
      <c r="R34" s="29"/>
      <c r="S34" s="23"/>
      <c r="T34" s="24"/>
      <c r="U34" s="23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9"/>
      <c r="L35" s="24"/>
      <c r="M35" s="33"/>
      <c r="N35" s="24"/>
      <c r="O35" s="23"/>
      <c r="P35" s="23"/>
      <c r="Q35" s="23"/>
      <c r="R35" s="29"/>
      <c r="S35" s="74"/>
      <c r="T35" s="24"/>
      <c r="U35" s="23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9"/>
      <c r="L36" s="24"/>
      <c r="M36" s="23"/>
      <c r="N36" s="24"/>
      <c r="O36" s="23"/>
      <c r="P36" s="23"/>
      <c r="Q36" s="23"/>
      <c r="R36" s="29"/>
      <c r="S36" s="23"/>
      <c r="T36" s="24"/>
      <c r="U36" s="23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9"/>
      <c r="L37" s="24"/>
      <c r="M37" s="23"/>
      <c r="N37" s="24"/>
      <c r="O37" s="23"/>
      <c r="P37" s="23"/>
      <c r="Q37" s="23"/>
      <c r="R37" s="29"/>
      <c r="S37" s="23"/>
      <c r="T37" s="24"/>
      <c r="U37" s="23"/>
      <c r="V37" s="23"/>
    </row>
    <row r="38" spans="2:22">
      <c r="B38" s="28"/>
      <c r="C38" s="23"/>
      <c r="D38" s="23"/>
      <c r="E38" s="23"/>
      <c r="F38" s="23"/>
      <c r="G38" s="29"/>
      <c r="H38" s="23"/>
      <c r="I38" s="23"/>
      <c r="J38" s="24"/>
      <c r="K38" s="29"/>
      <c r="L38" s="24"/>
      <c r="M38" s="23"/>
      <c r="N38" s="24"/>
      <c r="O38" s="23"/>
      <c r="P38" s="23"/>
      <c r="Q38" s="23"/>
      <c r="R38" s="29"/>
      <c r="S38" s="23"/>
      <c r="T38" s="24"/>
      <c r="U38" s="23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9"/>
      <c r="L39" s="24"/>
      <c r="M39" s="23"/>
      <c r="N39" s="24"/>
      <c r="O39" s="23"/>
      <c r="P39" s="23"/>
      <c r="Q39" s="23"/>
      <c r="R39" s="29"/>
      <c r="S39" s="23"/>
      <c r="T39" s="24"/>
      <c r="U39" s="23"/>
      <c r="V39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2"/>
      <c r="L42" s="63"/>
      <c r="M42" s="62"/>
      <c r="N42" s="63"/>
      <c r="O42" s="62"/>
      <c r="P42" s="62"/>
      <c r="Q42" s="62"/>
      <c r="R42" s="62"/>
      <c r="S42" s="62"/>
      <c r="T42" s="63"/>
      <c r="U42" s="62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3"/>
      <c r="L43" s="24"/>
      <c r="M43" s="23"/>
      <c r="N43" s="24"/>
      <c r="O43" s="23"/>
      <c r="P43" s="23"/>
      <c r="Q43" s="23"/>
      <c r="R43" s="23"/>
      <c r="S43" s="23"/>
      <c r="T43" s="24"/>
      <c r="U43" s="23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3"/>
      <c r="L44" s="24"/>
      <c r="M44" s="222" t="s">
        <v>120</v>
      </c>
      <c r="N44" s="26"/>
      <c r="O44" s="222" t="s">
        <v>121</v>
      </c>
      <c r="P44" s="23"/>
      <c r="Q44" s="23"/>
      <c r="R44" s="23"/>
      <c r="S44" s="23"/>
      <c r="T44" s="24"/>
      <c r="U44" s="23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L45" s="24"/>
      <c r="M45" s="23"/>
      <c r="N45" s="24"/>
      <c r="O45" s="23"/>
      <c r="P45" s="23"/>
      <c r="Q45" s="23"/>
      <c r="R45" s="23"/>
      <c r="S45" s="23"/>
      <c r="T45" s="24"/>
      <c r="U45" s="23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38">
        <f>SUM(D46:F46)</f>
        <v>2276603.66</v>
      </c>
      <c r="H46" s="23"/>
      <c r="I46" s="23"/>
      <c r="J46" s="24"/>
      <c r="K46" s="23" t="s">
        <v>122</v>
      </c>
      <c r="L46" s="24"/>
      <c r="M46" s="20">
        <v>66404</v>
      </c>
      <c r="N46" s="65"/>
      <c r="O46" s="20"/>
      <c r="P46" s="23"/>
      <c r="Q46" s="23"/>
      <c r="R46" s="23"/>
      <c r="S46" s="23"/>
      <c r="T46" s="24"/>
      <c r="U46" s="23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52"/>
      <c r="H47" s="23"/>
      <c r="I47" s="58"/>
      <c r="J47" s="24"/>
      <c r="K47" s="23" t="s">
        <v>123</v>
      </c>
      <c r="L47" s="24"/>
      <c r="M47" s="20"/>
      <c r="N47" s="65"/>
      <c r="O47" s="20">
        <v>66404</v>
      </c>
      <c r="P47" s="23"/>
      <c r="Q47" s="23"/>
      <c r="R47" s="23"/>
      <c r="S47" s="23"/>
      <c r="T47" s="24"/>
      <c r="U47" s="23"/>
      <c r="V47" s="23"/>
    </row>
    <row r="48" spans="2:22">
      <c r="E48" s="61"/>
      <c r="M48" s="61"/>
      <c r="N48" s="61"/>
      <c r="O48" s="61"/>
      <c r="R48" s="22"/>
    </row>
    <row r="49" spans="2:18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K49" s="23"/>
      <c r="M49" s="61"/>
      <c r="N49" s="61"/>
      <c r="O49" s="61"/>
      <c r="R49" s="22"/>
    </row>
    <row r="50" spans="2:18">
      <c r="C50" s="23" t="s">
        <v>110</v>
      </c>
      <c r="D50" s="53">
        <v>4590048.9800000004</v>
      </c>
      <c r="E50" s="38">
        <v>13482.09</v>
      </c>
      <c r="K50" s="23"/>
      <c r="M50" s="61"/>
      <c r="N50" s="61"/>
      <c r="O50" s="61"/>
      <c r="R50" s="22"/>
    </row>
    <row r="51" spans="2:18">
      <c r="C51" s="23" t="s">
        <v>111</v>
      </c>
      <c r="D51" s="22">
        <v>4128089.72</v>
      </c>
      <c r="E51" s="61"/>
      <c r="I51" s="29"/>
      <c r="K51" s="29"/>
      <c r="R51" s="22"/>
    </row>
    <row r="52" spans="2:18">
      <c r="I52" s="23" t="s">
        <v>124</v>
      </c>
      <c r="K52" s="29" t="s">
        <v>100</v>
      </c>
      <c r="M52" s="22">
        <v>3499.27</v>
      </c>
    </row>
    <row r="53" spans="2:18">
      <c r="K53" s="29" t="s">
        <v>125</v>
      </c>
      <c r="O53" s="22">
        <v>149.69999999999999</v>
      </c>
    </row>
    <row r="54" spans="2:18">
      <c r="K54" s="29" t="s">
        <v>126</v>
      </c>
      <c r="O54" s="22">
        <v>3349.57</v>
      </c>
    </row>
  </sheetData>
  <mergeCells count="7">
    <mergeCell ref="D1:U1"/>
    <mergeCell ref="D2:U2"/>
    <mergeCell ref="M5:O5"/>
    <mergeCell ref="Q5:S5"/>
    <mergeCell ref="M4:S4"/>
    <mergeCell ref="G5:K5"/>
    <mergeCell ref="G4:K4"/>
  </mergeCells>
  <phoneticPr fontId="4" type="noConversion"/>
  <pageMargins left="0.26" right="0.28000000000000003" top="1" bottom="1" header="0.5" footer="0.5"/>
  <pageSetup scale="91" orientation="landscape" r:id="rId1"/>
  <headerFooter alignWithMargins="0">
    <oddFooter>&amp;CInvestment Report - August 2008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V55"/>
  <sheetViews>
    <sheetView topLeftCell="C1" workbookViewId="0">
      <selection activeCell="R6" sqref="R6:T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2" style="43" customWidth="1"/>
    <col min="8" max="8" width="1.140625" style="22" customWidth="1"/>
    <col min="9" max="9" width="11.14062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23"/>
    </row>
    <row r="2" spans="1:22" ht="12.75" thickBot="1">
      <c r="B2" s="35"/>
      <c r="C2" s="23"/>
      <c r="D2" s="426" t="s">
        <v>78</v>
      </c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9" t="s">
        <v>127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6" t="s">
        <v>81</v>
      </c>
      <c r="O5" s="426"/>
      <c r="P5" s="426"/>
      <c r="Q5" s="26"/>
      <c r="R5" s="429" t="s">
        <v>82</v>
      </c>
      <c r="S5" s="429"/>
      <c r="T5" s="429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128</v>
      </c>
      <c r="H6" s="27"/>
      <c r="I6" s="70" t="s">
        <v>129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9"/>
      <c r="M7" s="24"/>
      <c r="N7" s="23"/>
      <c r="O7" s="24"/>
      <c r="P7" s="23"/>
      <c r="Q7" s="23"/>
      <c r="R7" s="29"/>
      <c r="S7" s="29"/>
      <c r="T7" s="55"/>
      <c r="U7" s="24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1.41</v>
      </c>
      <c r="F8" s="30"/>
      <c r="G8" s="37">
        <v>100000</v>
      </c>
      <c r="H8" s="31"/>
      <c r="I8" s="37">
        <v>100000</v>
      </c>
      <c r="J8" s="32"/>
      <c r="K8" s="32"/>
      <c r="L8" s="37">
        <v>100000</v>
      </c>
      <c r="M8" s="32"/>
      <c r="N8" s="37">
        <v>116</v>
      </c>
      <c r="O8" s="32"/>
      <c r="P8" s="33"/>
      <c r="Q8" s="33"/>
      <c r="R8" s="37">
        <f>290+116</f>
        <v>406</v>
      </c>
      <c r="S8" s="37"/>
      <c r="T8" s="38">
        <v>0</v>
      </c>
      <c r="U8" s="32"/>
      <c r="V8" s="33">
        <v>1188</v>
      </c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1.41</v>
      </c>
      <c r="F9" s="30"/>
      <c r="G9" s="37">
        <v>481900.65</v>
      </c>
      <c r="H9" s="31"/>
      <c r="I9" s="37">
        <v>481900.65</v>
      </c>
      <c r="J9" s="32"/>
      <c r="K9" s="32"/>
      <c r="L9" s="37">
        <v>463077</v>
      </c>
      <c r="M9" s="32"/>
      <c r="N9" s="33"/>
      <c r="O9" s="32"/>
      <c r="P9" s="33"/>
      <c r="Q9" s="33"/>
      <c r="R9" s="37"/>
      <c r="S9" s="37"/>
      <c r="T9" s="38"/>
      <c r="U9" s="32"/>
      <c r="V9" s="33">
        <v>0</v>
      </c>
    </row>
    <row r="10" spans="1:22">
      <c r="A10" s="23" t="s">
        <v>90</v>
      </c>
      <c r="B10" s="29" t="s">
        <v>19</v>
      </c>
      <c r="C10" s="29"/>
      <c r="D10" s="29" t="s">
        <v>34</v>
      </c>
      <c r="E10" s="30">
        <v>0</v>
      </c>
      <c r="F10" s="30"/>
      <c r="G10" s="37">
        <v>205356</v>
      </c>
      <c r="H10" s="31"/>
      <c r="I10" s="37">
        <v>205356</v>
      </c>
      <c r="J10" s="32"/>
      <c r="K10" s="32"/>
      <c r="L10" s="37">
        <v>129409</v>
      </c>
      <c r="M10" s="32"/>
      <c r="N10" s="33"/>
      <c r="O10" s="32"/>
      <c r="P10" s="33"/>
      <c r="Q10" s="33"/>
      <c r="R10" s="37">
        <v>0</v>
      </c>
      <c r="S10" s="37"/>
      <c r="T10" s="38">
        <v>0</v>
      </c>
      <c r="U10" s="32"/>
      <c r="V10" s="33">
        <v>1644</v>
      </c>
    </row>
    <row r="11" spans="1:22">
      <c r="A11" s="23" t="s">
        <v>91</v>
      </c>
      <c r="B11" s="29" t="s">
        <v>116</v>
      </c>
      <c r="C11" s="29"/>
      <c r="D11" s="29"/>
      <c r="E11" s="30"/>
      <c r="F11" s="30"/>
      <c r="G11" s="41">
        <v>-18825</v>
      </c>
      <c r="H11" s="31"/>
      <c r="I11" s="41">
        <v>-18825</v>
      </c>
      <c r="J11" s="32"/>
      <c r="K11" s="32"/>
      <c r="L11" s="41">
        <v>74823</v>
      </c>
      <c r="M11" s="32"/>
      <c r="N11" s="34"/>
      <c r="O11" s="32"/>
      <c r="P11" s="34"/>
      <c r="Q11" s="34"/>
      <c r="R11" s="41">
        <v>0</v>
      </c>
      <c r="S11" s="41"/>
      <c r="T11" s="56">
        <v>0</v>
      </c>
      <c r="U11" s="32"/>
      <c r="V11" s="34">
        <v>902</v>
      </c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7"/>
      <c r="M12" s="32"/>
      <c r="N12" s="33"/>
      <c r="O12" s="32"/>
      <c r="P12" s="33"/>
      <c r="Q12" s="33"/>
      <c r="R12" s="37"/>
      <c r="S12" s="37"/>
      <c r="T12" s="38"/>
      <c r="U12" s="32"/>
      <c r="V12" s="33"/>
    </row>
    <row r="13" spans="1:22" ht="12.75" thickBot="1">
      <c r="B13" s="35" t="s">
        <v>24</v>
      </c>
      <c r="D13" s="23"/>
      <c r="E13" s="31"/>
      <c r="F13" s="31"/>
      <c r="G13" s="44">
        <f>SUM(G8:G11)</f>
        <v>768431.65</v>
      </c>
      <c r="H13" s="31"/>
      <c r="I13" s="36">
        <f>SUM(I8:I11)</f>
        <v>768431.65</v>
      </c>
      <c r="J13" s="32"/>
      <c r="K13" s="32"/>
      <c r="L13" s="44">
        <f>SUM(L8:L11)</f>
        <v>767309</v>
      </c>
      <c r="M13" s="32"/>
      <c r="N13" s="36">
        <f>SUM(N8:N11)</f>
        <v>116</v>
      </c>
      <c r="O13" s="32"/>
      <c r="P13" s="36">
        <f>SUM(P8:P11)</f>
        <v>0</v>
      </c>
      <c r="Q13" s="36"/>
      <c r="R13" s="44">
        <f>SUM(R8:R11)</f>
        <v>406</v>
      </c>
      <c r="S13" s="44"/>
      <c r="T13" s="57">
        <f>SUM(T8:T11)</f>
        <v>0</v>
      </c>
      <c r="U13" s="32"/>
      <c r="V13" s="36">
        <f>SUM(V8:V11)</f>
        <v>3734</v>
      </c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7"/>
      <c r="S14" s="37"/>
      <c r="T14" s="38"/>
      <c r="U14" s="32"/>
      <c r="V14" s="3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2"/>
      <c r="L15" s="37"/>
      <c r="M15" s="32"/>
      <c r="N15" s="33"/>
      <c r="O15" s="32"/>
      <c r="P15" s="33"/>
      <c r="Q15" s="33"/>
      <c r="R15" s="37"/>
      <c r="S15" s="37"/>
      <c r="T15" s="38"/>
      <c r="U15" s="32"/>
      <c r="V15" s="3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7"/>
      <c r="M16" s="32"/>
      <c r="N16" s="33"/>
      <c r="O16" s="32"/>
      <c r="P16" s="33"/>
      <c r="Q16" s="33"/>
      <c r="R16" s="37"/>
      <c r="S16" s="37"/>
      <c r="T16" s="38"/>
      <c r="U16" s="32"/>
      <c r="V16" s="3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3"/>
      <c r="R17" s="37"/>
      <c r="S17" s="37"/>
      <c r="T17" s="38"/>
      <c r="U17" s="32"/>
      <c r="V17" s="33"/>
    </row>
    <row r="18" spans="1:22">
      <c r="A18" s="29" t="s">
        <v>92</v>
      </c>
      <c r="B18" s="29" t="s">
        <v>93</v>
      </c>
      <c r="C18" s="29"/>
      <c r="D18" s="29"/>
      <c r="E18" s="81">
        <v>0.27</v>
      </c>
      <c r="F18" s="30"/>
      <c r="G18" s="41">
        <v>419116.04</v>
      </c>
      <c r="H18" s="23"/>
      <c r="I18" s="41">
        <v>419724.66</v>
      </c>
      <c r="J18" s="32"/>
      <c r="K18" s="34">
        <v>425705</v>
      </c>
      <c r="L18" s="41">
        <v>425565</v>
      </c>
      <c r="M18" s="32"/>
      <c r="N18" s="41">
        <v>608.62</v>
      </c>
      <c r="O18" s="32"/>
      <c r="P18" s="34"/>
      <c r="Q18" s="34"/>
      <c r="R18" s="41">
        <f>1118+608.62</f>
        <v>1726.62</v>
      </c>
      <c r="S18" s="41"/>
      <c r="T18" s="56">
        <v>0</v>
      </c>
      <c r="U18" s="32"/>
      <c r="V18" s="34">
        <v>5262</v>
      </c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3"/>
      <c r="R19" s="37"/>
      <c r="S19" s="37"/>
      <c r="T19" s="38"/>
      <c r="U19" s="32"/>
      <c r="V19" s="3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419116.04</v>
      </c>
      <c r="H20" s="23"/>
      <c r="I20" s="36">
        <f>SUM(I17:I18)</f>
        <v>419724.66</v>
      </c>
      <c r="J20" s="32"/>
      <c r="K20" s="32"/>
      <c r="L20" s="44">
        <f>SUM(L18:L18)</f>
        <v>425565</v>
      </c>
      <c r="M20" s="32"/>
      <c r="N20" s="36">
        <f>SUM(N17:N18)</f>
        <v>608.62</v>
      </c>
      <c r="O20" s="32"/>
      <c r="P20" s="36">
        <f>SUM(P17:P18)</f>
        <v>0</v>
      </c>
      <c r="Q20" s="36"/>
      <c r="R20" s="44">
        <f>SUM(R17:R18)</f>
        <v>1726.62</v>
      </c>
      <c r="S20" s="44"/>
      <c r="T20" s="57">
        <f>SUM(T17:T18)</f>
        <v>0</v>
      </c>
      <c r="U20" s="32"/>
      <c r="V20" s="36">
        <f>SUM(V17:V18)</f>
        <v>5262</v>
      </c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7"/>
      <c r="S21" s="37"/>
      <c r="T21" s="38"/>
      <c r="U21" s="32"/>
      <c r="V21" s="3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7"/>
      <c r="M22" s="32"/>
      <c r="N22" s="33"/>
      <c r="O22" s="32"/>
      <c r="P22" s="33"/>
      <c r="Q22" s="33"/>
      <c r="R22" s="37"/>
      <c r="S22" s="37"/>
      <c r="T22" s="38"/>
      <c r="U22" s="32"/>
      <c r="V22" s="3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3"/>
      <c r="R23" s="37"/>
      <c r="S23" s="37"/>
      <c r="T23" s="38"/>
      <c r="U23" s="32"/>
      <c r="V23" s="33"/>
    </row>
    <row r="24" spans="1:22">
      <c r="A24" s="23" t="s">
        <v>95</v>
      </c>
      <c r="B24" s="23" t="s">
        <v>130</v>
      </c>
      <c r="C24" s="23"/>
      <c r="D24" s="23" t="s">
        <v>34</v>
      </c>
      <c r="E24" s="30"/>
      <c r="F24" s="30"/>
      <c r="G24" s="37">
        <v>0</v>
      </c>
      <c r="H24" s="23"/>
      <c r="I24" s="33">
        <v>0</v>
      </c>
      <c r="J24" s="32"/>
      <c r="K24" s="32"/>
      <c r="L24" s="37">
        <v>1344121</v>
      </c>
      <c r="M24" s="32"/>
      <c r="N24" s="33"/>
      <c r="O24" s="32" t="s">
        <v>31</v>
      </c>
      <c r="P24" s="33"/>
      <c r="Q24" s="33"/>
      <c r="R24" s="37"/>
      <c r="S24" s="37"/>
      <c r="T24" s="38">
        <v>-18282</v>
      </c>
      <c r="U24" s="32"/>
      <c r="V24" s="33">
        <v>17024</v>
      </c>
    </row>
    <row r="25" spans="1:22">
      <c r="A25" s="23" t="s">
        <v>95</v>
      </c>
      <c r="B25" s="23" t="s">
        <v>131</v>
      </c>
      <c r="C25" s="23"/>
      <c r="D25" s="23" t="s">
        <v>20</v>
      </c>
      <c r="E25" s="30"/>
      <c r="F25" s="30"/>
      <c r="G25" s="37">
        <v>0</v>
      </c>
      <c r="H25" s="30"/>
      <c r="I25" s="37">
        <v>0</v>
      </c>
      <c r="J25" s="32"/>
      <c r="K25" s="32"/>
      <c r="L25" s="37">
        <v>8559</v>
      </c>
      <c r="M25" s="32"/>
      <c r="N25" s="33"/>
      <c r="O25" s="32" t="s">
        <v>31</v>
      </c>
      <c r="P25" s="33"/>
      <c r="Q25" s="33"/>
      <c r="R25" s="37"/>
      <c r="S25" s="37"/>
      <c r="T25" s="38"/>
      <c r="U25" s="32"/>
      <c r="V25" s="33">
        <v>0</v>
      </c>
    </row>
    <row r="26" spans="1:22">
      <c r="A26" s="23" t="s">
        <v>95</v>
      </c>
      <c r="B26" s="23" t="s">
        <v>131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2"/>
      <c r="L26" s="37">
        <v>5133</v>
      </c>
      <c r="M26" s="32"/>
      <c r="N26" s="20"/>
      <c r="O26" s="32"/>
      <c r="P26" s="33"/>
      <c r="Q26" s="33"/>
      <c r="R26" s="38">
        <v>0</v>
      </c>
      <c r="S26" s="38"/>
      <c r="T26" s="38">
        <v>0</v>
      </c>
      <c r="U26" s="32"/>
      <c r="V26" s="33">
        <v>61</v>
      </c>
    </row>
    <row r="27" spans="1:22">
      <c r="A27" s="23" t="s">
        <v>95</v>
      </c>
      <c r="B27" s="29" t="s">
        <v>19</v>
      </c>
      <c r="C27" s="29"/>
      <c r="D27" s="29" t="s">
        <v>34</v>
      </c>
      <c r="E27" s="30"/>
      <c r="F27" s="30"/>
      <c r="G27" s="37">
        <v>4524033</v>
      </c>
      <c r="H27" s="23"/>
      <c r="I27" s="82">
        <v>4532663</v>
      </c>
      <c r="J27" s="32"/>
      <c r="K27" s="32"/>
      <c r="L27" s="37"/>
      <c r="M27" s="32"/>
      <c r="N27" s="38">
        <v>8629.66</v>
      </c>
      <c r="O27" s="40"/>
      <c r="P27" s="45"/>
      <c r="Q27" s="33"/>
      <c r="R27" s="38">
        <f>14620+8630</f>
        <v>23250</v>
      </c>
      <c r="S27" s="38"/>
      <c r="T27" s="38"/>
      <c r="U27" s="32"/>
      <c r="V27" s="33">
        <v>0</v>
      </c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-139340</v>
      </c>
      <c r="H28" s="23"/>
      <c r="I28" s="45">
        <v>-609929</v>
      </c>
      <c r="J28" s="32"/>
      <c r="K28" s="32"/>
      <c r="L28" s="33"/>
      <c r="M28" s="32"/>
      <c r="N28" s="38"/>
      <c r="O28" s="40"/>
      <c r="P28" s="45">
        <v>-470588.92</v>
      </c>
      <c r="Q28" s="33"/>
      <c r="R28" s="38"/>
      <c r="S28" s="38"/>
      <c r="T28" s="38">
        <f>-14429.46-35002-470588.92</f>
        <v>-520020.38</v>
      </c>
      <c r="U28" s="32"/>
      <c r="V28" s="33"/>
    </row>
    <row r="29" spans="1:22">
      <c r="A29" s="29" t="s">
        <v>100</v>
      </c>
      <c r="B29" s="29" t="s">
        <v>101</v>
      </c>
      <c r="C29" s="29"/>
      <c r="D29" s="29" t="s">
        <v>102</v>
      </c>
      <c r="E29" s="30">
        <v>1.41</v>
      </c>
      <c r="F29" s="30"/>
      <c r="G29" s="41">
        <v>1713527</v>
      </c>
      <c r="H29" s="23"/>
      <c r="I29" s="41">
        <v>4218423</v>
      </c>
      <c r="J29" s="32"/>
      <c r="K29" s="32"/>
      <c r="L29" s="41">
        <v>9651256</v>
      </c>
      <c r="M29" s="32"/>
      <c r="N29" s="41">
        <v>4780.26</v>
      </c>
      <c r="O29" s="32"/>
      <c r="P29" s="34"/>
      <c r="Q29" s="34"/>
      <c r="R29" s="41">
        <f>9492+4780.26</f>
        <v>14272.26</v>
      </c>
      <c r="S29" s="41"/>
      <c r="T29" s="56">
        <v>0</v>
      </c>
      <c r="U29" s="32"/>
      <c r="V29" s="34">
        <v>96301</v>
      </c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6098220</v>
      </c>
      <c r="H30" s="23"/>
      <c r="I30" s="36">
        <f>SUM(I24:I29)</f>
        <v>8141157</v>
      </c>
      <c r="J30" s="32"/>
      <c r="K30" s="32"/>
      <c r="L30" s="44">
        <f>SUM(L24:L29)</f>
        <v>11009069</v>
      </c>
      <c r="M30" s="32"/>
      <c r="N30" s="36">
        <f>SUM(N24:N29)</f>
        <v>13409.92</v>
      </c>
      <c r="O30" s="32"/>
      <c r="P30" s="46">
        <f>SUM(P24:P29)</f>
        <v>-470588.92</v>
      </c>
      <c r="Q30" s="36"/>
      <c r="R30" s="44">
        <f>SUM(R24:R29)</f>
        <v>37522.26</v>
      </c>
      <c r="S30" s="44"/>
      <c r="T30" s="57">
        <f>SUM(T24:T29)</f>
        <v>-538302.38</v>
      </c>
      <c r="U30" s="32"/>
      <c r="V30" s="36">
        <f>SUM(V24:V29)</f>
        <v>113386</v>
      </c>
    </row>
    <row r="31" spans="1:22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L32" s="29"/>
      <c r="M32" s="24"/>
      <c r="N32" s="23"/>
      <c r="O32" s="24"/>
      <c r="P32" s="23"/>
      <c r="Q32" s="23"/>
      <c r="R32" s="23"/>
      <c r="S32" s="23"/>
      <c r="T32" s="23"/>
      <c r="U32" s="24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9"/>
      <c r="M33" s="24"/>
      <c r="N33" s="23"/>
      <c r="O33" s="24"/>
      <c r="P33" s="23"/>
      <c r="Q33" s="23"/>
      <c r="R33" s="23"/>
      <c r="S33" s="23"/>
      <c r="T33" s="23"/>
      <c r="U33" s="24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9"/>
      <c r="M34" s="24"/>
      <c r="N34" s="23"/>
      <c r="O34" s="24"/>
      <c r="P34" s="23"/>
      <c r="Q34" s="23"/>
      <c r="R34" s="23"/>
      <c r="S34" s="23"/>
      <c r="T34" s="23"/>
      <c r="U34" s="24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9"/>
      <c r="M35" s="24"/>
      <c r="N35" s="23"/>
      <c r="O35" s="24"/>
      <c r="P35" s="23"/>
      <c r="Q35" s="23"/>
      <c r="R35" s="23"/>
      <c r="S35" s="23"/>
      <c r="T35" s="23"/>
      <c r="U35" s="24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4"/>
      <c r="L36" s="29"/>
      <c r="M36" s="24"/>
      <c r="N36" s="23"/>
      <c r="O36" s="24"/>
      <c r="P36" s="23"/>
      <c r="Q36" s="23"/>
      <c r="R36" s="23"/>
      <c r="S36" s="23"/>
      <c r="T36" s="23"/>
      <c r="U36" s="24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9"/>
      <c r="M37" s="24"/>
      <c r="N37" s="23"/>
      <c r="O37" s="24"/>
      <c r="P37" s="23"/>
      <c r="Q37" s="23"/>
      <c r="R37" s="23"/>
      <c r="S37" s="23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23"/>
      <c r="O38" s="24"/>
      <c r="P38" s="23"/>
      <c r="Q38" s="23"/>
      <c r="R38" s="23"/>
      <c r="S38" s="23"/>
      <c r="T38" s="23"/>
      <c r="U38" s="24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3"/>
      <c r="T39" s="23"/>
      <c r="U39" s="24"/>
      <c r="V39" s="23"/>
    </row>
    <row r="40" spans="2:22">
      <c r="B40" s="28"/>
      <c r="C40" s="23"/>
      <c r="D40" s="23"/>
      <c r="E40" s="23"/>
      <c r="F40" s="23"/>
      <c r="G40" s="29"/>
      <c r="H40" s="23"/>
      <c r="I40" s="3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5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4"/>
      <c r="L44" s="23"/>
      <c r="M44" s="24"/>
      <c r="N44" s="222" t="s">
        <v>120</v>
      </c>
      <c r="O44" s="26"/>
      <c r="P44" s="222" t="s">
        <v>121</v>
      </c>
      <c r="Q44" s="23"/>
      <c r="R44" s="23"/>
      <c r="S44" s="23"/>
      <c r="T44" s="23"/>
      <c r="U44" s="24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 t="s">
        <v>122</v>
      </c>
      <c r="M46" s="24"/>
      <c r="N46" s="20">
        <v>66404</v>
      </c>
      <c r="O46" s="65"/>
      <c r="P46" s="20"/>
      <c r="Q46" s="23"/>
      <c r="R46" s="23"/>
      <c r="S46" s="23"/>
      <c r="T46" s="23"/>
      <c r="U46" s="24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 t="s">
        <v>123</v>
      </c>
      <c r="M47" s="24"/>
      <c r="N47" s="20"/>
      <c r="O47" s="65"/>
      <c r="P47" s="20">
        <v>66404</v>
      </c>
      <c r="Q47" s="23"/>
      <c r="R47" s="23"/>
      <c r="S47" s="23"/>
      <c r="T47" s="23"/>
      <c r="U47" s="24"/>
      <c r="V47" s="23"/>
    </row>
    <row r="48" spans="2:22">
      <c r="E48" s="61"/>
      <c r="N48" s="61"/>
      <c r="O48" s="61"/>
      <c r="P48" s="61"/>
    </row>
    <row r="49" spans="2:19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L49" s="23"/>
      <c r="N49" s="61"/>
      <c r="O49" s="61"/>
      <c r="P49" s="61"/>
    </row>
    <row r="50" spans="2:19">
      <c r="C50" s="23" t="s">
        <v>110</v>
      </c>
      <c r="D50" s="53">
        <v>4590048.9800000004</v>
      </c>
      <c r="E50" s="38">
        <v>13482.09</v>
      </c>
      <c r="L50" s="23"/>
      <c r="N50" s="61"/>
      <c r="O50" s="61"/>
      <c r="P50" s="61"/>
    </row>
    <row r="51" spans="2:19">
      <c r="C51" s="23" t="s">
        <v>111</v>
      </c>
      <c r="D51" s="22">
        <v>4128089.72</v>
      </c>
      <c r="E51" s="61"/>
      <c r="I51" s="29"/>
      <c r="L51" s="29"/>
    </row>
    <row r="52" spans="2:19">
      <c r="I52" s="23" t="s">
        <v>124</v>
      </c>
      <c r="L52" s="29" t="s">
        <v>100</v>
      </c>
      <c r="N52" s="22">
        <v>3499.27</v>
      </c>
      <c r="S52" s="43"/>
    </row>
    <row r="53" spans="2:19">
      <c r="L53" s="29" t="s">
        <v>125</v>
      </c>
      <c r="P53" s="22">
        <v>149.69999999999999</v>
      </c>
      <c r="S53" s="43"/>
    </row>
    <row r="54" spans="2:19">
      <c r="L54" s="29" t="s">
        <v>126</v>
      </c>
      <c r="P54" s="22">
        <v>3349.57</v>
      </c>
      <c r="S54" s="43"/>
    </row>
    <row r="55" spans="2:19">
      <c r="S55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9" orientation="landscape" r:id="rId1"/>
  <headerFooter alignWithMargins="0">
    <oddFooter>&amp;CInvestment Report - September 2008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37528</v>
      </c>
      <c r="I7" s="4"/>
      <c r="J7" s="18">
        <v>37500</v>
      </c>
      <c r="K7" s="4"/>
      <c r="L7" s="18">
        <v>37157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421</v>
      </c>
      <c r="O11" s="13"/>
      <c r="P11" s="12">
        <v>1319</v>
      </c>
      <c r="Q11" s="13"/>
      <c r="R11" s="12">
        <v>877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122322</v>
      </c>
      <c r="I14" s="13"/>
      <c r="J14" s="12">
        <v>129138</v>
      </c>
      <c r="K14" s="13"/>
      <c r="L14" s="12">
        <v>124220</v>
      </c>
      <c r="M14" s="13"/>
      <c r="N14" s="12">
        <v>400</v>
      </c>
      <c r="O14" s="13"/>
      <c r="P14" s="12">
        <v>1200</v>
      </c>
      <c r="Q14" s="13"/>
      <c r="R14" s="12">
        <v>1200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71054</v>
      </c>
      <c r="I15" s="13"/>
      <c r="J15" s="15">
        <v>70854</v>
      </c>
      <c r="K15" s="13"/>
      <c r="L15" s="15">
        <v>68070</v>
      </c>
      <c r="M15" s="13"/>
      <c r="N15" s="15">
        <v>200</v>
      </c>
      <c r="O15" s="13"/>
      <c r="P15" s="15">
        <v>600</v>
      </c>
      <c r="Q15" s="13"/>
      <c r="R15" s="15">
        <v>300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756453</v>
      </c>
      <c r="I17" s="13"/>
      <c r="J17" s="16">
        <f>SUM(J11:J15)</f>
        <v>763069</v>
      </c>
      <c r="K17" s="13"/>
      <c r="L17" s="16">
        <f>SUM(L11:L15)</f>
        <v>755367</v>
      </c>
      <c r="M17" s="13"/>
      <c r="N17" s="16">
        <f>SUM(N11:N15)</f>
        <v>1021</v>
      </c>
      <c r="O17" s="13"/>
      <c r="P17" s="16">
        <f>SUM(P11:P15)</f>
        <v>3119</v>
      </c>
      <c r="Q17" s="13"/>
      <c r="R17" s="16">
        <f>SUM(R11:R15)</f>
        <v>2377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451621</v>
      </c>
      <c r="I24" s="13"/>
      <c r="J24" s="15">
        <v>450067</v>
      </c>
      <c r="K24" s="15">
        <v>425705</v>
      </c>
      <c r="L24" s="15">
        <v>434620</v>
      </c>
      <c r="M24" s="13"/>
      <c r="N24" s="15">
        <v>2117</v>
      </c>
      <c r="O24" s="13"/>
      <c r="P24" s="15">
        <v>5764</v>
      </c>
      <c r="Q24" s="13"/>
      <c r="R24" s="15">
        <v>2954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451621</v>
      </c>
      <c r="I26" s="13"/>
      <c r="J26" s="16">
        <f>SUM(J23:J24)</f>
        <v>450067</v>
      </c>
      <c r="K26" s="13"/>
      <c r="L26" s="16">
        <f>SUM(L23:L24)</f>
        <v>434620</v>
      </c>
      <c r="M26" s="13"/>
      <c r="N26" s="16">
        <f>SUM(N23:N24)</f>
        <v>2117</v>
      </c>
      <c r="O26" s="13"/>
      <c r="P26" s="16">
        <f>SUM(P23:P24)</f>
        <v>5764</v>
      </c>
      <c r="Q26" s="13"/>
      <c r="R26" s="16">
        <f>SUM(R23:R24)</f>
        <v>2954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4.29</v>
      </c>
      <c r="G32" s="7"/>
      <c r="H32" s="12">
        <v>1273625</v>
      </c>
      <c r="I32" s="13"/>
      <c r="J32" s="12">
        <v>1328306</v>
      </c>
      <c r="K32" s="13"/>
      <c r="L32" s="12">
        <v>1274577</v>
      </c>
      <c r="M32" s="13"/>
      <c r="N32" s="12">
        <v>5419</v>
      </c>
      <c r="O32" s="13" t="s">
        <v>31</v>
      </c>
      <c r="P32" s="12">
        <v>16189</v>
      </c>
      <c r="Q32" s="13"/>
      <c r="R32" s="12">
        <v>13237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4897</v>
      </c>
      <c r="I34" s="13"/>
      <c r="J34" s="12">
        <v>4875</v>
      </c>
      <c r="K34" s="13"/>
      <c r="L34" s="12">
        <v>4699</v>
      </c>
      <c r="M34" s="13"/>
      <c r="N34" s="12">
        <v>22</v>
      </c>
      <c r="O34" s="13"/>
      <c r="P34" s="12">
        <v>56</v>
      </c>
      <c r="Q34" s="13"/>
      <c r="R34" s="12">
        <v>28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5.13</v>
      </c>
      <c r="G35" s="7"/>
      <c r="H35" s="15">
        <v>8239134</v>
      </c>
      <c r="I35" s="13"/>
      <c r="J35" s="15">
        <v>8697306</v>
      </c>
      <c r="K35" s="13"/>
      <c r="L35" s="15">
        <v>7901220</v>
      </c>
      <c r="M35" s="13"/>
      <c r="N35" s="15">
        <v>41407</v>
      </c>
      <c r="O35" s="13"/>
      <c r="P35" s="15">
        <v>101419</v>
      </c>
      <c r="Q35" s="13"/>
      <c r="R35" s="15">
        <v>55536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9526280</v>
      </c>
      <c r="I37" s="13"/>
      <c r="J37" s="16">
        <f>SUM(J32:J35)</f>
        <v>10039111</v>
      </c>
      <c r="K37" s="13"/>
      <c r="L37" s="16">
        <f>SUM(L32:L35)</f>
        <v>9189184</v>
      </c>
      <c r="M37" s="13"/>
      <c r="N37" s="16">
        <f>SUM(N32:N35)</f>
        <v>46848</v>
      </c>
      <c r="O37" s="13"/>
      <c r="P37" s="16">
        <f>SUM(P32:P35)</f>
        <v>117664</v>
      </c>
      <c r="Q37" s="13"/>
      <c r="R37" s="16">
        <f>SUM(R32:R35)</f>
        <v>68801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V57"/>
  <sheetViews>
    <sheetView topLeftCell="C1" workbookViewId="0">
      <selection activeCell="L36" sqref="L3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23"/>
    </row>
    <row r="2" spans="1:22" ht="12.75" thickBot="1">
      <c r="B2" s="35"/>
      <c r="C2" s="23"/>
      <c r="D2" s="426" t="s">
        <v>78</v>
      </c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9" t="s">
        <v>127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6" t="s">
        <v>81</v>
      </c>
      <c r="O5" s="426"/>
      <c r="P5" s="426"/>
      <c r="Q5" s="26"/>
      <c r="R5" s="429" t="s">
        <v>82</v>
      </c>
      <c r="S5" s="429"/>
      <c r="T5" s="429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132</v>
      </c>
      <c r="H6" s="27"/>
      <c r="I6" s="70" t="s">
        <v>133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27"/>
      <c r="I7" s="84"/>
      <c r="J7" s="24"/>
      <c r="K7" s="24"/>
      <c r="L7" s="85"/>
      <c r="M7" s="24"/>
      <c r="N7" s="26"/>
      <c r="O7" s="24"/>
      <c r="P7" s="26"/>
      <c r="Q7" s="25"/>
      <c r="R7" s="85"/>
      <c r="S7" s="42"/>
      <c r="T7" s="86"/>
      <c r="U7" s="24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87">
        <v>2042080</v>
      </c>
      <c r="H8" s="27"/>
      <c r="I8" s="95">
        <v>650283</v>
      </c>
      <c r="J8" s="24"/>
      <c r="K8" s="24"/>
      <c r="L8" s="98">
        <v>-1012651</v>
      </c>
      <c r="M8" s="24"/>
      <c r="N8" s="38">
        <v>0</v>
      </c>
      <c r="O8" s="24"/>
      <c r="P8" s="38">
        <v>0</v>
      </c>
      <c r="Q8" s="26"/>
      <c r="R8" s="38">
        <v>0</v>
      </c>
      <c r="S8" s="85"/>
      <c r="T8" s="38">
        <v>0</v>
      </c>
      <c r="U8" s="24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27"/>
      <c r="I9" s="84"/>
      <c r="J9" s="24"/>
      <c r="K9" s="24"/>
      <c r="L9" s="85"/>
      <c r="M9" s="24"/>
      <c r="N9" s="26"/>
      <c r="O9" s="24"/>
      <c r="P9" s="26"/>
      <c r="Q9" s="26"/>
      <c r="R9" s="85"/>
      <c r="S9" s="85"/>
      <c r="T9" s="86"/>
      <c r="U9" s="24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3"/>
      <c r="I10" s="23"/>
      <c r="J10" s="24"/>
      <c r="K10" s="24"/>
      <c r="L10" s="29"/>
      <c r="M10" s="24"/>
      <c r="N10" s="23"/>
      <c r="O10" s="24"/>
      <c r="P10" s="23"/>
      <c r="Q10" s="24"/>
      <c r="R10" s="29"/>
      <c r="S10" s="92"/>
      <c r="T10" s="55"/>
      <c r="U10" s="24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0.79</v>
      </c>
      <c r="F11" s="30"/>
      <c r="G11" s="37">
        <v>100000</v>
      </c>
      <c r="H11" s="31"/>
      <c r="I11" s="37">
        <v>100000</v>
      </c>
      <c r="J11" s="32"/>
      <c r="K11" s="32"/>
      <c r="L11" s="37">
        <v>100000</v>
      </c>
      <c r="M11" s="32"/>
      <c r="N11" s="37">
        <v>63.1</v>
      </c>
      <c r="O11" s="32"/>
      <c r="P11" s="33"/>
      <c r="Q11" s="32"/>
      <c r="R11" s="37">
        <f>290+116+63.1</f>
        <v>469.1</v>
      </c>
      <c r="S11" s="40"/>
      <c r="T11" s="38">
        <v>0</v>
      </c>
      <c r="U11" s="32"/>
      <c r="V11" s="37">
        <v>1555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0.79</v>
      </c>
      <c r="F12" s="30"/>
      <c r="G12" s="37">
        <v>481900.65</v>
      </c>
      <c r="H12" s="31"/>
      <c r="I12" s="37">
        <v>481900.65</v>
      </c>
      <c r="J12" s="32"/>
      <c r="K12" s="32"/>
      <c r="L12" s="37">
        <v>463077</v>
      </c>
      <c r="M12" s="32"/>
      <c r="N12" s="33"/>
      <c r="O12" s="32"/>
      <c r="P12" s="33"/>
      <c r="Q12" s="32"/>
      <c r="R12" s="37"/>
      <c r="S12" s="40"/>
      <c r="T12" s="38"/>
      <c r="U12" s="32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31"/>
      <c r="I13" s="37">
        <v>205356</v>
      </c>
      <c r="J13" s="32"/>
      <c r="K13" s="32"/>
      <c r="L13" s="37">
        <v>129909</v>
      </c>
      <c r="M13" s="32"/>
      <c r="N13" s="33"/>
      <c r="O13" s="32"/>
      <c r="P13" s="33"/>
      <c r="Q13" s="32"/>
      <c r="R13" s="37">
        <v>0</v>
      </c>
      <c r="S13" s="40"/>
      <c r="T13" s="38">
        <v>0</v>
      </c>
      <c r="U13" s="32"/>
      <c r="V13" s="37">
        <v>2144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31"/>
      <c r="I14" s="41">
        <v>-18825</v>
      </c>
      <c r="J14" s="32"/>
      <c r="K14" s="32"/>
      <c r="L14" s="41">
        <v>75023</v>
      </c>
      <c r="M14" s="32"/>
      <c r="N14" s="34"/>
      <c r="O14" s="32"/>
      <c r="P14" s="34"/>
      <c r="Q14" s="32"/>
      <c r="R14" s="41">
        <v>0</v>
      </c>
      <c r="S14" s="40"/>
      <c r="T14" s="56">
        <v>0</v>
      </c>
      <c r="U14" s="32"/>
      <c r="V14" s="41">
        <v>1102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31"/>
      <c r="I15" s="89">
        <f>SUM(I11:I14)</f>
        <v>768431.65</v>
      </c>
      <c r="J15" s="32"/>
      <c r="K15" s="32"/>
      <c r="L15" s="88">
        <f>SUM(L11:L14)</f>
        <v>768009</v>
      </c>
      <c r="M15" s="32"/>
      <c r="N15" s="89">
        <f>SUM(N11:N14)</f>
        <v>63.1</v>
      </c>
      <c r="O15" s="32"/>
      <c r="P15" s="89">
        <f>SUM(P11:P14)</f>
        <v>0</v>
      </c>
      <c r="Q15" s="32"/>
      <c r="R15" s="88">
        <f>SUM(R11:R14)</f>
        <v>469.1</v>
      </c>
      <c r="S15" s="40"/>
      <c r="T15" s="90">
        <f>SUM(T11:T14)</f>
        <v>0</v>
      </c>
      <c r="U15" s="32"/>
      <c r="V15" s="88">
        <f>SUM(V11:V14)</f>
        <v>4801</v>
      </c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M16" s="32"/>
      <c r="N16" s="33"/>
      <c r="O16" s="32"/>
      <c r="P16" s="33"/>
      <c r="Q16" s="32"/>
      <c r="R16" s="37"/>
      <c r="S16" s="40"/>
      <c r="T16" s="38"/>
      <c r="U16" s="32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2"/>
      <c r="R17" s="37"/>
      <c r="S17" s="40"/>
      <c r="T17" s="38"/>
      <c r="U17" s="32"/>
      <c r="V17" s="37"/>
    </row>
    <row r="18" spans="1:22">
      <c r="B18" s="23"/>
      <c r="C18" s="23"/>
      <c r="D18" s="23"/>
      <c r="E18" s="23"/>
      <c r="F18" s="23"/>
      <c r="G18" s="37"/>
      <c r="H18" s="23"/>
      <c r="I18" s="33"/>
      <c r="J18" s="32"/>
      <c r="K18" s="32"/>
      <c r="L18" s="37"/>
      <c r="M18" s="32"/>
      <c r="N18" s="33"/>
      <c r="O18" s="32"/>
      <c r="P18" s="33"/>
      <c r="Q18" s="32"/>
      <c r="R18" s="37"/>
      <c r="S18" s="40"/>
      <c r="T18" s="38"/>
      <c r="U18" s="32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2"/>
      <c r="R19" s="37"/>
      <c r="S19" s="40"/>
      <c r="T19" s="38"/>
      <c r="U19" s="32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0.27</v>
      </c>
      <c r="F20" s="30"/>
      <c r="G20" s="41">
        <v>419724.66</v>
      </c>
      <c r="H20" s="23"/>
      <c r="I20" s="41">
        <v>420139</v>
      </c>
      <c r="J20" s="32"/>
      <c r="K20" s="32">
        <v>425705</v>
      </c>
      <c r="L20" s="41">
        <v>427034</v>
      </c>
      <c r="M20" s="32"/>
      <c r="N20" s="41">
        <v>414.71</v>
      </c>
      <c r="O20" s="32"/>
      <c r="P20" s="34"/>
      <c r="Q20" s="32"/>
      <c r="R20" s="41">
        <f>1118+608.62+414.71</f>
        <v>2141.33</v>
      </c>
      <c r="S20" s="40"/>
      <c r="T20" s="56">
        <v>0</v>
      </c>
      <c r="U20" s="32"/>
      <c r="V20" s="41">
        <v>7163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419724.66</v>
      </c>
      <c r="H21" s="23"/>
      <c r="I21" s="89">
        <f>SUM(I19:I20)</f>
        <v>420139</v>
      </c>
      <c r="J21" s="32"/>
      <c r="K21" s="32"/>
      <c r="L21" s="88">
        <f>SUM(L20:L20)</f>
        <v>427034</v>
      </c>
      <c r="M21" s="32"/>
      <c r="N21" s="89">
        <f>SUM(N19:N20)</f>
        <v>414.71</v>
      </c>
      <c r="O21" s="32"/>
      <c r="P21" s="89">
        <f>SUM(P19:P20)</f>
        <v>0</v>
      </c>
      <c r="Q21" s="32"/>
      <c r="R21" s="88">
        <f>SUM(R19:R20)</f>
        <v>2141.33</v>
      </c>
      <c r="S21" s="40"/>
      <c r="T21" s="90">
        <f>SUM(T19:T20)</f>
        <v>0</v>
      </c>
      <c r="U21" s="32"/>
      <c r="V21" s="88">
        <f>SUM(V19:V20)</f>
        <v>7163</v>
      </c>
    </row>
    <row r="22" spans="1:22">
      <c r="B22" s="23"/>
      <c r="C22" s="23"/>
      <c r="D22" s="23"/>
      <c r="E22" s="23"/>
      <c r="F22" s="23"/>
      <c r="G22" s="37"/>
      <c r="H22" s="23"/>
      <c r="I22" s="33"/>
      <c r="J22" s="32"/>
      <c r="K22" s="32"/>
      <c r="M22" s="32"/>
      <c r="N22" s="33"/>
      <c r="O22" s="32"/>
      <c r="P22" s="33"/>
      <c r="Q22" s="32"/>
      <c r="R22" s="37"/>
      <c r="S22" s="40"/>
      <c r="T22" s="38"/>
      <c r="U22" s="32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2"/>
      <c r="R23" s="37"/>
      <c r="S23" s="40"/>
      <c r="T23" s="38"/>
      <c r="U23" s="32"/>
      <c r="V23" s="37"/>
    </row>
    <row r="24" spans="1:22">
      <c r="B24" s="23"/>
      <c r="C24" s="23"/>
      <c r="D24" s="23"/>
      <c r="E24" s="23"/>
      <c r="F24" s="23"/>
      <c r="G24" s="37"/>
      <c r="H24" s="23"/>
      <c r="I24" s="33"/>
      <c r="J24" s="32"/>
      <c r="K24" s="32"/>
      <c r="L24" s="37"/>
      <c r="M24" s="32"/>
      <c r="N24" s="33"/>
      <c r="O24" s="32"/>
      <c r="P24" s="33"/>
      <c r="Q24" s="32"/>
      <c r="R24" s="37"/>
      <c r="S24" s="40"/>
      <c r="T24" s="38"/>
      <c r="U24" s="32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3"/>
      <c r="I25" s="33">
        <v>0</v>
      </c>
      <c r="J25" s="32"/>
      <c r="K25" s="32"/>
      <c r="L25" s="37">
        <v>1349821</v>
      </c>
      <c r="M25" s="32"/>
      <c r="N25" s="33"/>
      <c r="O25" s="32" t="s">
        <v>31</v>
      </c>
      <c r="P25" s="33"/>
      <c r="Q25" s="32"/>
      <c r="R25" s="37"/>
      <c r="S25" s="40"/>
      <c r="T25" s="38">
        <v>-18282</v>
      </c>
      <c r="U25" s="32"/>
      <c r="V25" s="37">
        <v>22724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30"/>
      <c r="I26" s="37">
        <v>0</v>
      </c>
      <c r="J26" s="32"/>
      <c r="K26" s="32"/>
      <c r="L26" s="37">
        <v>8559</v>
      </c>
      <c r="M26" s="32"/>
      <c r="N26" s="33"/>
      <c r="O26" s="32" t="s">
        <v>31</v>
      </c>
      <c r="P26" s="33"/>
      <c r="Q26" s="32"/>
      <c r="R26" s="37"/>
      <c r="S26" s="40"/>
      <c r="T26" s="38"/>
      <c r="U26" s="32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3"/>
      <c r="I27" s="37">
        <v>0</v>
      </c>
      <c r="J27" s="32"/>
      <c r="K27" s="32"/>
      <c r="L27" s="37">
        <v>5153</v>
      </c>
      <c r="M27" s="32"/>
      <c r="N27" s="20"/>
      <c r="O27" s="32"/>
      <c r="P27" s="33"/>
      <c r="Q27" s="32"/>
      <c r="R27" s="38">
        <v>0</v>
      </c>
      <c r="S27" s="93"/>
      <c r="T27" s="38">
        <v>0</v>
      </c>
      <c r="U27" s="32"/>
      <c r="V27" s="37">
        <v>82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4532663</v>
      </c>
      <c r="H28" s="23"/>
      <c r="I28" s="82">
        <v>4539560</v>
      </c>
      <c r="J28" s="32"/>
      <c r="K28" s="32"/>
      <c r="L28" s="37"/>
      <c r="M28" s="32"/>
      <c r="N28" s="38">
        <v>6897.18</v>
      </c>
      <c r="O28" s="40"/>
      <c r="P28" s="45"/>
      <c r="Q28" s="32"/>
      <c r="R28" s="38">
        <f>14620+8630+6897.18</f>
        <v>30147.18</v>
      </c>
      <c r="S28" s="93"/>
      <c r="T28" s="38"/>
      <c r="U28" s="32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-609929</v>
      </c>
      <c r="H29" s="23"/>
      <c r="I29" s="45">
        <v>-1357247</v>
      </c>
      <c r="J29" s="32"/>
      <c r="K29" s="32"/>
      <c r="L29" s="37"/>
      <c r="M29" s="32"/>
      <c r="N29" s="38"/>
      <c r="O29" s="40"/>
      <c r="P29" s="45">
        <v>-747318.35</v>
      </c>
      <c r="Q29" s="32"/>
      <c r="R29" s="38"/>
      <c r="S29" s="93"/>
      <c r="T29" s="38">
        <f>-14429.46-35002-470588.92-747318.35</f>
        <v>-1267338.73</v>
      </c>
      <c r="U29" s="32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0.79</v>
      </c>
      <c r="F30" s="30"/>
      <c r="G30" s="41">
        <v>4218423</v>
      </c>
      <c r="H30" s="23"/>
      <c r="I30" s="41">
        <v>3220954</v>
      </c>
      <c r="J30" s="32"/>
      <c r="K30" s="32"/>
      <c r="L30" s="41">
        <v>9189814</v>
      </c>
      <c r="M30" s="32"/>
      <c r="N30" s="41">
        <v>2467.36</v>
      </c>
      <c r="O30" s="32"/>
      <c r="P30" s="34"/>
      <c r="Q30" s="32"/>
      <c r="R30" s="41">
        <f>9492+4780.26+2467.36</f>
        <v>16739.62</v>
      </c>
      <c r="S30" s="40"/>
      <c r="T30" s="56">
        <v>0</v>
      </c>
      <c r="U30" s="32"/>
      <c r="V30" s="41">
        <v>134491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8141157</v>
      </c>
      <c r="H31" s="23"/>
      <c r="I31" s="89">
        <f>SUM(I25:I30)</f>
        <v>6403267</v>
      </c>
      <c r="J31" s="32"/>
      <c r="K31" s="32"/>
      <c r="L31" s="88">
        <f>SUM(L25:L30)</f>
        <v>10553347</v>
      </c>
      <c r="M31" s="32"/>
      <c r="N31" s="89">
        <f>SUM(N25:N30)</f>
        <v>9364.5400000000009</v>
      </c>
      <c r="O31" s="32"/>
      <c r="P31" s="91">
        <f>SUM(P25:P30)</f>
        <v>-747318.35</v>
      </c>
      <c r="Q31" s="32"/>
      <c r="R31" s="88">
        <f>SUM(R25:R30)</f>
        <v>46886.8</v>
      </c>
      <c r="S31" s="40"/>
      <c r="T31" s="90">
        <f>SUM(T25:T30)</f>
        <v>-1285620.73</v>
      </c>
      <c r="U31" s="32"/>
      <c r="V31" s="88">
        <f>SUM(V25:V30)</f>
        <v>157297</v>
      </c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M32" s="24"/>
      <c r="N32" s="23"/>
      <c r="O32" s="24"/>
      <c r="P32" s="23"/>
      <c r="Q32" s="24"/>
      <c r="R32" s="23"/>
      <c r="S32" s="24"/>
      <c r="T32" s="23"/>
      <c r="U32" s="24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94">
        <f>+G31+G21+G15+G8</f>
        <v>11371393.310000001</v>
      </c>
      <c r="H33" s="23"/>
      <c r="I33" s="94">
        <f>+I31+I21+I15+I8</f>
        <v>8242120.6500000004</v>
      </c>
      <c r="J33" s="24"/>
      <c r="K33" s="24"/>
      <c r="L33" s="94">
        <f>+L31+L21+L15+L8</f>
        <v>10735739</v>
      </c>
      <c r="M33" s="24"/>
      <c r="N33" s="94">
        <f>+N31+N21+N15+N8</f>
        <v>9842.35</v>
      </c>
      <c r="O33" s="24"/>
      <c r="P33" s="94">
        <f>+P31+P21+P15+P8</f>
        <v>-747318.35</v>
      </c>
      <c r="Q33" s="24"/>
      <c r="R33" s="94">
        <f>+R31+R21+R15+R8</f>
        <v>49497.23</v>
      </c>
      <c r="S33" s="24"/>
      <c r="T33" s="94">
        <f>+T31+T21+T15+T8</f>
        <v>-1285620.73</v>
      </c>
      <c r="U33" s="24"/>
      <c r="V33" s="94">
        <f>+V31+V21+V15+V8</f>
        <v>169261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/>
      <c r="D46" s="23"/>
      <c r="E46" s="25" t="s">
        <v>107</v>
      </c>
      <c r="F46" s="23"/>
      <c r="G46" s="29"/>
      <c r="H46" s="23"/>
      <c r="I46" s="23" t="s">
        <v>119</v>
      </c>
      <c r="J46" s="24"/>
      <c r="K46" s="24"/>
      <c r="L46" s="23"/>
      <c r="M46" s="24"/>
      <c r="N46" s="222" t="s">
        <v>120</v>
      </c>
      <c r="O46" s="26"/>
      <c r="P46" s="222" t="s">
        <v>121</v>
      </c>
      <c r="Q46" s="23"/>
      <c r="R46" s="23"/>
      <c r="S46" s="23"/>
      <c r="T46" s="23"/>
      <c r="U46" s="24"/>
      <c r="V46" s="23"/>
    </row>
    <row r="47" spans="2:22">
      <c r="B47" s="23" t="s">
        <v>108</v>
      </c>
      <c r="C47" s="23" t="s">
        <v>109</v>
      </c>
      <c r="D47" s="52">
        <v>2516822.2999999998</v>
      </c>
      <c r="E47" s="20">
        <v>6282.09</v>
      </c>
      <c r="F47" s="23"/>
      <c r="G47" s="29"/>
      <c r="H47" s="23"/>
      <c r="I47" s="23"/>
      <c r="J47" s="24"/>
      <c r="K47" s="24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2:22">
      <c r="B48" s="23"/>
      <c r="C48" s="23" t="s">
        <v>110</v>
      </c>
      <c r="D48" s="50">
        <v>2273104.39</v>
      </c>
      <c r="E48" s="20">
        <v>3499.27</v>
      </c>
      <c r="F48" s="23"/>
      <c r="G48" s="29"/>
      <c r="H48" s="23"/>
      <c r="I48" s="23"/>
      <c r="J48" s="24"/>
      <c r="K48" s="24"/>
      <c r="L48" s="23" t="s">
        <v>122</v>
      </c>
      <c r="M48" s="24"/>
      <c r="N48" s="20">
        <v>66404</v>
      </c>
      <c r="O48" s="65"/>
      <c r="P48" s="20"/>
      <c r="Q48" s="23"/>
      <c r="R48" s="23"/>
      <c r="S48" s="23"/>
      <c r="T48" s="23"/>
      <c r="U48" s="24"/>
      <c r="V48" s="23"/>
    </row>
    <row r="49" spans="2:22">
      <c r="B49" s="23"/>
      <c r="C49" s="23" t="s">
        <v>111</v>
      </c>
      <c r="D49" s="39">
        <v>4776603.66</v>
      </c>
      <c r="E49" s="20">
        <v>4584.13</v>
      </c>
      <c r="F49" s="23"/>
      <c r="G49" s="29"/>
      <c r="H49" s="23"/>
      <c r="I49" s="58"/>
      <c r="J49" s="24"/>
      <c r="K49" s="24"/>
      <c r="L49" s="23" t="s">
        <v>123</v>
      </c>
      <c r="M49" s="24"/>
      <c r="N49" s="20"/>
      <c r="O49" s="65"/>
      <c r="P49" s="20">
        <v>66404</v>
      </c>
      <c r="Q49" s="23"/>
      <c r="R49" s="23"/>
      <c r="S49" s="23"/>
      <c r="T49" s="23"/>
      <c r="U49" s="24"/>
      <c r="V49" s="23"/>
    </row>
    <row r="50" spans="2:22">
      <c r="E50" s="61"/>
      <c r="N50" s="61"/>
      <c r="O50" s="61"/>
      <c r="P50" s="61"/>
    </row>
    <row r="51" spans="2:22">
      <c r="B51" s="23" t="s">
        <v>112</v>
      </c>
      <c r="C51" s="23" t="s">
        <v>109</v>
      </c>
      <c r="D51" s="52">
        <v>4611788.82</v>
      </c>
      <c r="E51" s="61">
        <v>1138</v>
      </c>
      <c r="G51" s="51"/>
      <c r="L51" s="23"/>
      <c r="N51" s="61"/>
      <c r="O51" s="61"/>
      <c r="P51" s="61"/>
    </row>
    <row r="52" spans="2:22">
      <c r="C52" s="23" t="s">
        <v>110</v>
      </c>
      <c r="D52" s="53">
        <v>4590048.9800000004</v>
      </c>
      <c r="E52" s="38">
        <v>13482.09</v>
      </c>
      <c r="L52" s="23"/>
      <c r="N52" s="61"/>
      <c r="O52" s="61"/>
      <c r="P52" s="61"/>
    </row>
    <row r="53" spans="2:22">
      <c r="C53" s="23" t="s">
        <v>111</v>
      </c>
      <c r="D53" s="22">
        <v>4128089.72</v>
      </c>
      <c r="E53" s="61"/>
      <c r="I53" s="29"/>
      <c r="L53" s="29"/>
    </row>
    <row r="54" spans="2:22">
      <c r="I54" s="23" t="s">
        <v>124</v>
      </c>
      <c r="L54" s="29" t="s">
        <v>100</v>
      </c>
      <c r="N54" s="22">
        <v>3499.27</v>
      </c>
      <c r="S54" s="43"/>
    </row>
    <row r="55" spans="2:22">
      <c r="L55" s="29" t="s">
        <v>125</v>
      </c>
      <c r="P55" s="22">
        <v>149.69999999999999</v>
      </c>
      <c r="S55" s="43"/>
    </row>
    <row r="56" spans="2:22">
      <c r="L56" s="29" t="s">
        <v>126</v>
      </c>
      <c r="P56" s="22">
        <v>3349.57</v>
      </c>
      <c r="S56" s="43"/>
    </row>
    <row r="57" spans="2:22">
      <c r="S57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October 2008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V63"/>
  <sheetViews>
    <sheetView topLeftCell="D1" workbookViewId="0">
      <selection activeCell="N6" sqref="N6:T3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23"/>
    </row>
    <row r="2" spans="1:22" ht="12.75" thickBot="1">
      <c r="B2" s="35"/>
      <c r="C2" s="23"/>
      <c r="D2" s="426" t="s">
        <v>78</v>
      </c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9" t="s">
        <v>127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6" t="s">
        <v>81</v>
      </c>
      <c r="O5" s="426"/>
      <c r="P5" s="426"/>
      <c r="Q5" s="26"/>
      <c r="R5" s="429" t="s">
        <v>82</v>
      </c>
      <c r="S5" s="429"/>
      <c r="T5" s="429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139</v>
      </c>
      <c r="H6" s="102"/>
      <c r="I6" s="69" t="s">
        <v>140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103">
        <v>650283</v>
      </c>
      <c r="H8" s="102"/>
      <c r="I8" s="104">
        <v>480090</v>
      </c>
      <c r="J8" s="92"/>
      <c r="K8" s="92"/>
      <c r="L8" s="98">
        <v>846742</v>
      </c>
      <c r="M8" s="92"/>
      <c r="N8" s="38">
        <v>0</v>
      </c>
      <c r="O8" s="92"/>
      <c r="P8" s="38">
        <v>0</v>
      </c>
      <c r="Q8" s="85"/>
      <c r="R8" s="38">
        <v>0</v>
      </c>
      <c r="S8" s="85"/>
      <c r="T8" s="38">
        <v>0</v>
      </c>
      <c r="U8" s="92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102"/>
      <c r="I9" s="83"/>
      <c r="J9" s="92"/>
      <c r="K9" s="92"/>
      <c r="L9" s="85"/>
      <c r="M9" s="92"/>
      <c r="N9" s="85"/>
      <c r="O9" s="92"/>
      <c r="P9" s="85"/>
      <c r="Q9" s="85"/>
      <c r="R9" s="85"/>
      <c r="S9" s="85"/>
      <c r="T9" s="86"/>
      <c r="U9" s="92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9"/>
      <c r="I10" s="29"/>
      <c r="J10" s="92"/>
      <c r="K10" s="92"/>
      <c r="L10" s="29"/>
      <c r="M10" s="92"/>
      <c r="N10" s="29"/>
      <c r="O10" s="92"/>
      <c r="P10" s="29"/>
      <c r="Q10" s="92"/>
      <c r="R10" s="29"/>
      <c r="S10" s="92"/>
      <c r="T10" s="55"/>
      <c r="U10" s="92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0.09</v>
      </c>
      <c r="F11" s="30"/>
      <c r="G11" s="37">
        <v>100000</v>
      </c>
      <c r="H11" s="105"/>
      <c r="I11" s="37">
        <v>100000</v>
      </c>
      <c r="J11" s="40"/>
      <c r="K11" s="40"/>
      <c r="L11" s="37">
        <v>100000</v>
      </c>
      <c r="M11" s="40"/>
      <c r="N11" s="37">
        <v>8</v>
      </c>
      <c r="O11" s="40"/>
      <c r="P11" s="37"/>
      <c r="Q11" s="40"/>
      <c r="R11" s="37">
        <v>476</v>
      </c>
      <c r="S11" s="40"/>
      <c r="T11" s="38">
        <v>0</v>
      </c>
      <c r="U11" s="40"/>
      <c r="V11" s="37">
        <v>1840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0.09</v>
      </c>
      <c r="F12" s="30"/>
      <c r="G12" s="37">
        <v>481900.65</v>
      </c>
      <c r="H12" s="105"/>
      <c r="I12" s="37">
        <v>481900.65</v>
      </c>
      <c r="J12" s="40"/>
      <c r="K12" s="40"/>
      <c r="L12" s="37">
        <v>463077</v>
      </c>
      <c r="M12" s="40"/>
      <c r="N12" s="37"/>
      <c r="O12" s="40"/>
      <c r="P12" s="37"/>
      <c r="Q12" s="40"/>
      <c r="R12" s="37"/>
      <c r="S12" s="40"/>
      <c r="T12" s="38"/>
      <c r="U12" s="40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105"/>
      <c r="I13" s="37">
        <v>205356</v>
      </c>
      <c r="J13" s="40"/>
      <c r="K13" s="40"/>
      <c r="L13" s="37">
        <v>130409</v>
      </c>
      <c r="M13" s="40"/>
      <c r="N13" s="37"/>
      <c r="O13" s="40"/>
      <c r="P13" s="37"/>
      <c r="Q13" s="40"/>
      <c r="R13" s="37">
        <v>0</v>
      </c>
      <c r="S13" s="40"/>
      <c r="T13" s="38">
        <v>0</v>
      </c>
      <c r="U13" s="40"/>
      <c r="V13" s="37">
        <v>2644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105"/>
      <c r="I14" s="41">
        <v>-18825</v>
      </c>
      <c r="J14" s="40"/>
      <c r="K14" s="40"/>
      <c r="L14" s="41">
        <v>75223</v>
      </c>
      <c r="M14" s="40"/>
      <c r="N14" s="41"/>
      <c r="O14" s="40"/>
      <c r="P14" s="41"/>
      <c r="Q14" s="40"/>
      <c r="R14" s="41">
        <v>0</v>
      </c>
      <c r="S14" s="40"/>
      <c r="T14" s="56">
        <v>0</v>
      </c>
      <c r="U14" s="40"/>
      <c r="V14" s="41">
        <v>1302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105"/>
      <c r="I15" s="88">
        <f>SUM(I11:I14)</f>
        <v>768431.65</v>
      </c>
      <c r="J15" s="40"/>
      <c r="K15" s="40"/>
      <c r="L15" s="88">
        <f>SUM(L11:L14)</f>
        <v>768709</v>
      </c>
      <c r="M15" s="40"/>
      <c r="N15" s="88">
        <f>SUM(N11:N14)</f>
        <v>8</v>
      </c>
      <c r="O15" s="40"/>
      <c r="P15" s="88">
        <f>SUM(P11:P14)</f>
        <v>0</v>
      </c>
      <c r="Q15" s="40"/>
      <c r="R15" s="88">
        <f>SUM(R11:R14)</f>
        <v>476</v>
      </c>
      <c r="S15" s="40"/>
      <c r="T15" s="90">
        <f>SUM(T11:T14)</f>
        <v>0</v>
      </c>
      <c r="U15" s="40"/>
      <c r="V15" s="88">
        <f>SUM(V11:V14)</f>
        <v>5786</v>
      </c>
    </row>
    <row r="16" spans="1:22">
      <c r="B16" s="23"/>
      <c r="C16" s="23"/>
      <c r="D16" s="23"/>
      <c r="E16" s="23"/>
      <c r="F16" s="23"/>
      <c r="G16" s="37"/>
      <c r="H16" s="29"/>
      <c r="I16" s="37"/>
      <c r="J16" s="40"/>
      <c r="K16" s="40"/>
      <c r="M16" s="40"/>
      <c r="N16" s="37"/>
      <c r="O16" s="40"/>
      <c r="P16" s="37"/>
      <c r="Q16" s="40"/>
      <c r="R16" s="37"/>
      <c r="S16" s="40"/>
      <c r="T16" s="38"/>
      <c r="U16" s="40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9"/>
      <c r="I17" s="37"/>
      <c r="J17" s="40"/>
      <c r="K17" s="40"/>
      <c r="L17" s="37"/>
      <c r="M17" s="40"/>
      <c r="N17" s="37"/>
      <c r="O17" s="40"/>
      <c r="P17" s="37"/>
      <c r="Q17" s="40"/>
      <c r="R17" s="37"/>
      <c r="S17" s="40"/>
      <c r="T17" s="38"/>
      <c r="U17" s="40"/>
      <c r="V17" s="37"/>
    </row>
    <row r="18" spans="1:22">
      <c r="B18" s="23"/>
      <c r="C18" s="23"/>
      <c r="D18" s="23"/>
      <c r="E18" s="23"/>
      <c r="F18" s="23"/>
      <c r="G18" s="37"/>
      <c r="H18" s="29"/>
      <c r="I18" s="37"/>
      <c r="J18" s="40"/>
      <c r="K18" s="40"/>
      <c r="L18" s="37"/>
      <c r="M18" s="40"/>
      <c r="N18" s="37"/>
      <c r="O18" s="40"/>
      <c r="P18" s="37"/>
      <c r="Q18" s="40"/>
      <c r="R18" s="37"/>
      <c r="S18" s="40"/>
      <c r="T18" s="38"/>
      <c r="U18" s="40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9"/>
      <c r="I19" s="37"/>
      <c r="J19" s="40"/>
      <c r="K19" s="40"/>
      <c r="L19" s="37"/>
      <c r="M19" s="40"/>
      <c r="N19" s="37"/>
      <c r="O19" s="40"/>
      <c r="P19" s="37"/>
      <c r="Q19" s="40"/>
      <c r="R19" s="37"/>
      <c r="S19" s="40"/>
      <c r="T19" s="38"/>
      <c r="U19" s="40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0.01</v>
      </c>
      <c r="F20" s="30"/>
      <c r="G20" s="41">
        <v>420139</v>
      </c>
      <c r="H20" s="29"/>
      <c r="I20" s="41">
        <v>420190</v>
      </c>
      <c r="J20" s="40"/>
      <c r="K20" s="40">
        <v>425705</v>
      </c>
      <c r="L20" s="41">
        <v>410715</v>
      </c>
      <c r="M20" s="40"/>
      <c r="N20" s="41">
        <v>50</v>
      </c>
      <c r="O20" s="40"/>
      <c r="P20" s="41"/>
      <c r="Q20" s="40"/>
      <c r="R20" s="41">
        <v>2191</v>
      </c>
      <c r="S20" s="40"/>
      <c r="T20" s="56">
        <v>0</v>
      </c>
      <c r="U20" s="40"/>
      <c r="V20" s="41">
        <v>9047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420139</v>
      </c>
      <c r="H21" s="29"/>
      <c r="I21" s="88">
        <f>SUM(I19:I20)</f>
        <v>420190</v>
      </c>
      <c r="J21" s="40"/>
      <c r="K21" s="40"/>
      <c r="L21" s="88">
        <f>SUM(L20:L20)</f>
        <v>410715</v>
      </c>
      <c r="M21" s="40"/>
      <c r="N21" s="88">
        <f>SUM(N19:N20)</f>
        <v>50</v>
      </c>
      <c r="O21" s="40"/>
      <c r="P21" s="88">
        <f>SUM(P19:P20)</f>
        <v>0</v>
      </c>
      <c r="Q21" s="40"/>
      <c r="R21" s="88">
        <f>SUM(R19:R20)</f>
        <v>2191</v>
      </c>
      <c r="S21" s="40"/>
      <c r="T21" s="90">
        <f>SUM(T19:T20)</f>
        <v>0</v>
      </c>
      <c r="U21" s="40"/>
      <c r="V21" s="88">
        <f>SUM(V19:V20)</f>
        <v>9047</v>
      </c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B24" s="23"/>
      <c r="C24" s="23"/>
      <c r="D24" s="23"/>
      <c r="E24" s="23"/>
      <c r="F24" s="23"/>
      <c r="G24" s="37"/>
      <c r="H24" s="29"/>
      <c r="I24" s="37"/>
      <c r="J24" s="40"/>
      <c r="K24" s="40"/>
      <c r="L24" s="37"/>
      <c r="M24" s="40"/>
      <c r="N24" s="37"/>
      <c r="O24" s="40"/>
      <c r="P24" s="37"/>
      <c r="Q24" s="40"/>
      <c r="R24" s="37"/>
      <c r="S24" s="40"/>
      <c r="T24" s="38"/>
      <c r="U24" s="40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9"/>
      <c r="I25" s="37">
        <v>0</v>
      </c>
      <c r="J25" s="40"/>
      <c r="K25" s="40"/>
      <c r="L25" s="37">
        <v>1355521</v>
      </c>
      <c r="M25" s="40"/>
      <c r="N25" s="37"/>
      <c r="O25" s="40" t="s">
        <v>31</v>
      </c>
      <c r="P25" s="37"/>
      <c r="Q25" s="40"/>
      <c r="R25" s="37"/>
      <c r="S25" s="40"/>
      <c r="T25" s="38">
        <v>-18282</v>
      </c>
      <c r="U25" s="40"/>
      <c r="V25" s="37">
        <v>28424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97"/>
      <c r="I26" s="37">
        <v>0</v>
      </c>
      <c r="J26" s="40"/>
      <c r="K26" s="40"/>
      <c r="L26" s="37">
        <v>8559</v>
      </c>
      <c r="M26" s="40"/>
      <c r="N26" s="37"/>
      <c r="O26" s="40" t="s">
        <v>31</v>
      </c>
      <c r="P26" s="37"/>
      <c r="Q26" s="40"/>
      <c r="R26" s="37"/>
      <c r="S26" s="40"/>
      <c r="T26" s="38"/>
      <c r="U26" s="40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9"/>
      <c r="I27" s="37">
        <v>0</v>
      </c>
      <c r="J27" s="40"/>
      <c r="K27" s="40"/>
      <c r="L27" s="37">
        <v>5173</v>
      </c>
      <c r="M27" s="40"/>
      <c r="N27" s="38"/>
      <c r="O27" s="40"/>
      <c r="P27" s="37"/>
      <c r="Q27" s="40"/>
      <c r="R27" s="38">
        <v>0</v>
      </c>
      <c r="S27" s="93"/>
      <c r="T27" s="38">
        <v>0</v>
      </c>
      <c r="U27" s="40"/>
      <c r="V27" s="37">
        <v>101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4539560</v>
      </c>
      <c r="H28" s="29"/>
      <c r="I28" s="82">
        <v>4545763</v>
      </c>
      <c r="J28" s="40"/>
      <c r="K28" s="40"/>
      <c r="L28" s="37"/>
      <c r="M28" s="40"/>
      <c r="N28" s="38">
        <v>6202.35</v>
      </c>
      <c r="O28" s="40"/>
      <c r="P28" s="45"/>
      <c r="Q28" s="40"/>
      <c r="R28" s="38">
        <f>14620+8630+6897.18+6202.35</f>
        <v>36349.53</v>
      </c>
      <c r="S28" s="93"/>
      <c r="T28" s="38"/>
      <c r="U28" s="40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-1357247</v>
      </c>
      <c r="H29" s="29"/>
      <c r="I29" s="45">
        <v>-1624915</v>
      </c>
      <c r="J29" s="40"/>
      <c r="K29" s="40"/>
      <c r="L29" s="37"/>
      <c r="M29" s="40"/>
      <c r="N29" s="38"/>
      <c r="O29" s="40"/>
      <c r="P29" s="45">
        <v>-267667.65999999997</v>
      </c>
      <c r="Q29" s="40"/>
      <c r="R29" s="38"/>
      <c r="S29" s="93"/>
      <c r="T29" s="38">
        <f>-14429.46-35002-470588.92-747318.35-267667.66</f>
        <v>-1535006.39</v>
      </c>
      <c r="U29" s="40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0.09</v>
      </c>
      <c r="F30" s="30"/>
      <c r="G30" s="41">
        <v>3220954</v>
      </c>
      <c r="H30" s="29"/>
      <c r="I30" s="41">
        <v>2221040</v>
      </c>
      <c r="J30" s="40"/>
      <c r="K30" s="40"/>
      <c r="L30" s="41">
        <v>7189814</v>
      </c>
      <c r="M30" s="40"/>
      <c r="N30" s="41">
        <v>78.91</v>
      </c>
      <c r="O30" s="40"/>
      <c r="P30" s="41"/>
      <c r="Q30" s="40"/>
      <c r="R30" s="41">
        <f>9492+4780.26+2467.36+78.91</f>
        <v>16818.53</v>
      </c>
      <c r="S30" s="40"/>
      <c r="T30" s="56">
        <v>0</v>
      </c>
      <c r="U30" s="40"/>
      <c r="V30" s="41">
        <v>157186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6403267</v>
      </c>
      <c r="H31" s="29"/>
      <c r="I31" s="88">
        <f>SUM(I25:I30)</f>
        <v>5141888</v>
      </c>
      <c r="J31" s="40"/>
      <c r="K31" s="40"/>
      <c r="L31" s="88">
        <f>SUM(L25:L30)</f>
        <v>8559067</v>
      </c>
      <c r="M31" s="40"/>
      <c r="N31" s="88">
        <f>SUM(N25:N30)</f>
        <v>6281.26</v>
      </c>
      <c r="O31" s="40"/>
      <c r="P31" s="106">
        <f>SUM(P25:P30)</f>
        <v>-267667.65999999997</v>
      </c>
      <c r="Q31" s="40"/>
      <c r="R31" s="88">
        <f>SUM(R25:R30)</f>
        <v>53168.06</v>
      </c>
      <c r="S31" s="40"/>
      <c r="T31" s="90">
        <f>SUM(T25:T30)</f>
        <v>-1553288.39</v>
      </c>
      <c r="U31" s="40"/>
      <c r="V31" s="88">
        <f>SUM(V25:V30)</f>
        <v>185711</v>
      </c>
    </row>
    <row r="32" spans="1:22">
      <c r="B32" s="23"/>
      <c r="C32" s="23"/>
      <c r="D32" s="23"/>
      <c r="E32" s="23"/>
      <c r="F32" s="23"/>
      <c r="G32" s="29"/>
      <c r="H32" s="29"/>
      <c r="I32" s="29"/>
      <c r="J32" s="92"/>
      <c r="K32" s="92"/>
      <c r="M32" s="92"/>
      <c r="N32" s="29"/>
      <c r="O32" s="92"/>
      <c r="P32" s="29"/>
      <c r="Q32" s="92"/>
      <c r="R32" s="29"/>
      <c r="S32" s="92"/>
      <c r="T32" s="29"/>
      <c r="U32" s="92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107">
        <f>+G31+G21+G15+G8</f>
        <v>8242120.6500000004</v>
      </c>
      <c r="H33" s="29"/>
      <c r="I33" s="94">
        <f>+I31+I21+I15+I8</f>
        <v>6810599.6500000004</v>
      </c>
      <c r="J33" s="92"/>
      <c r="K33" s="92"/>
      <c r="L33" s="94">
        <f>+L31+L21+L15+L8</f>
        <v>10585233</v>
      </c>
      <c r="M33" s="92"/>
      <c r="N33" s="94">
        <f>+N31+N21+N15+N8</f>
        <v>6339.26</v>
      </c>
      <c r="O33" s="92"/>
      <c r="P33" s="94">
        <f>+P31+P21+P15+P8</f>
        <v>-267667.65999999997</v>
      </c>
      <c r="Q33" s="92"/>
      <c r="R33" s="94">
        <f>+R31+R21+R15+R8</f>
        <v>55835.06</v>
      </c>
      <c r="S33" s="92"/>
      <c r="T33" s="94">
        <f>+T31+T21+T15+T8</f>
        <v>-1553288.39</v>
      </c>
      <c r="U33" s="92"/>
      <c r="V33" s="94">
        <f>+V31+V21+V15+V8</f>
        <v>200544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L46" s="12">
        <v>100000</v>
      </c>
      <c r="S46" s="43"/>
    </row>
    <row r="47" spans="2:22">
      <c r="L47" s="12">
        <v>463077</v>
      </c>
    </row>
    <row r="48" spans="2:22" ht="12.75">
      <c r="I48" s="99">
        <v>846742</v>
      </c>
      <c r="L48" s="12">
        <v>130409</v>
      </c>
    </row>
    <row r="49" spans="9:12" ht="12.75">
      <c r="I49" s="100">
        <v>8559066</v>
      </c>
      <c r="L49" s="15">
        <v>75223</v>
      </c>
    </row>
    <row r="50" spans="9:12" ht="12.75">
      <c r="I50" s="100">
        <v>768709</v>
      </c>
      <c r="L50" s="12"/>
    </row>
    <row r="51" spans="9:12" ht="13.5" thickBot="1">
      <c r="I51" s="100">
        <v>410715</v>
      </c>
      <c r="L51" s="16">
        <f>SUM(L46:L49)</f>
        <v>768709</v>
      </c>
    </row>
    <row r="52" spans="9:12" ht="13.5" thickTop="1">
      <c r="I52" s="101" t="s">
        <v>141</v>
      </c>
      <c r="L52" s="12"/>
    </row>
    <row r="53" spans="9:12" ht="12.75">
      <c r="I53" s="100"/>
      <c r="L53" s="15">
        <v>410715</v>
      </c>
    </row>
    <row r="54" spans="9:12" ht="12.75">
      <c r="I54" s="100">
        <v>10585232</v>
      </c>
      <c r="L54" s="12"/>
    </row>
    <row r="55" spans="9:12" ht="12.75" thickBot="1">
      <c r="L55" s="16">
        <f>SUM(L52:L53)</f>
        <v>410715</v>
      </c>
    </row>
    <row r="56" spans="9:12" ht="12.75" thickTop="1">
      <c r="L56" s="12"/>
    </row>
    <row r="57" spans="9:12">
      <c r="L57" s="12">
        <v>1355521</v>
      </c>
    </row>
    <row r="58" spans="9:12">
      <c r="L58" s="12">
        <v>8559</v>
      </c>
    </row>
    <row r="59" spans="9:12">
      <c r="L59" s="12">
        <v>5173</v>
      </c>
    </row>
    <row r="60" spans="9:12">
      <c r="L60" s="15">
        <v>7189814</v>
      </c>
    </row>
    <row r="61" spans="9:12">
      <c r="L61" s="12"/>
    </row>
    <row r="62" spans="9:12" ht="12.75" thickBot="1">
      <c r="L62" s="16">
        <f>SUM(L57:L60)</f>
        <v>8559067</v>
      </c>
    </row>
    <row r="63" spans="9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November2008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V71"/>
  <sheetViews>
    <sheetView topLeftCell="D1" workbookViewId="0">
      <selection activeCell="R9" sqref="R9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23"/>
    </row>
    <row r="2" spans="1:22" ht="12.75" thickBot="1">
      <c r="B2" s="35"/>
      <c r="C2" s="23"/>
      <c r="D2" s="426" t="s">
        <v>78</v>
      </c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9" t="s">
        <v>127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6" t="s">
        <v>81</v>
      </c>
      <c r="O5" s="426"/>
      <c r="P5" s="426"/>
      <c r="Q5" s="26"/>
      <c r="R5" s="429" t="s">
        <v>82</v>
      </c>
      <c r="S5" s="429"/>
      <c r="T5" s="429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142</v>
      </c>
      <c r="H6" s="102"/>
      <c r="I6" s="69" t="s">
        <v>143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480090</v>
      </c>
      <c r="H9" s="102"/>
      <c r="I9" s="103">
        <v>961557</v>
      </c>
      <c r="J9" s="92"/>
      <c r="K9" s="92"/>
      <c r="L9" s="112">
        <v>-141155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56">
        <v>0</v>
      </c>
      <c r="H10" s="102"/>
      <c r="I10" s="111">
        <v>200000</v>
      </c>
      <c r="J10" s="92"/>
      <c r="K10" s="92"/>
      <c r="L10" s="72"/>
      <c r="M10" s="92"/>
      <c r="N10" s="72"/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480090</v>
      </c>
      <c r="H11" s="102"/>
      <c r="I11" s="103">
        <f>SUM(I9:I10)</f>
        <v>1161557</v>
      </c>
      <c r="J11" s="92"/>
      <c r="K11" s="92"/>
      <c r="L11" s="103">
        <f>SUM(L9:L10)</f>
        <v>-141155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2103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130798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75701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1780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769576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6916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420190</v>
      </c>
      <c r="H24" s="29"/>
      <c r="I24" s="41">
        <v>420197</v>
      </c>
      <c r="J24" s="40"/>
      <c r="K24" s="40">
        <v>425705</v>
      </c>
      <c r="L24" s="41">
        <v>412354</v>
      </c>
      <c r="M24" s="40"/>
      <c r="N24" s="41">
        <v>7.04</v>
      </c>
      <c r="O24" s="40"/>
      <c r="P24" s="41"/>
      <c r="Q24" s="40"/>
      <c r="R24" s="41">
        <v>2198.42</v>
      </c>
      <c r="S24" s="40"/>
      <c r="T24" s="56">
        <v>0</v>
      </c>
      <c r="U24" s="40"/>
      <c r="V24" s="41">
        <v>10686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420190</v>
      </c>
      <c r="H25" s="29"/>
      <c r="I25" s="116">
        <f>SUM(I23:I24)</f>
        <v>420197</v>
      </c>
      <c r="J25" s="40"/>
      <c r="K25" s="40"/>
      <c r="L25" s="116">
        <f>SUM(L24:L24)</f>
        <v>412354</v>
      </c>
      <c r="M25" s="40"/>
      <c r="N25" s="116">
        <f>SUM(N23:N24)</f>
        <v>7.04</v>
      </c>
      <c r="O25" s="40"/>
      <c r="P25" s="116">
        <f>SUM(P23:P24)</f>
        <v>0</v>
      </c>
      <c r="Q25" s="40"/>
      <c r="R25" s="116">
        <f>SUM(R23:R24)</f>
        <v>2198.42</v>
      </c>
      <c r="S25" s="40"/>
      <c r="T25" s="116">
        <f>SUM(T23:T24)</f>
        <v>0</v>
      </c>
      <c r="U25" s="40"/>
      <c r="V25" s="116">
        <f>SUM(V23:V24)</f>
        <v>10686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1361361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34264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5196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4545763</v>
      </c>
      <c r="H32" s="29"/>
      <c r="I32" s="82">
        <v>4615858</v>
      </c>
      <c r="J32" s="40"/>
      <c r="K32" s="40"/>
      <c r="L32" s="37"/>
      <c r="M32" s="40"/>
      <c r="N32" s="38">
        <v>70095.7</v>
      </c>
      <c r="O32" s="40"/>
      <c r="P32" s="45"/>
      <c r="Q32" s="40"/>
      <c r="R32" s="38">
        <f>14620+8630+6897.18+6202.35+70095.7</f>
        <v>106445.23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-1624915</v>
      </c>
      <c r="H33" s="29"/>
      <c r="I33" s="45">
        <v>-1535241</v>
      </c>
      <c r="J33" s="40"/>
      <c r="K33" s="40"/>
      <c r="L33" s="37"/>
      <c r="M33" s="40"/>
      <c r="N33" s="38"/>
      <c r="O33" s="40"/>
      <c r="P33" s="110">
        <v>89674.04</v>
      </c>
      <c r="Q33" s="40"/>
      <c r="R33" s="38"/>
      <c r="S33" s="93"/>
      <c r="T33" s="45">
        <f>-14429.46-35002-470588.92-747318.35-267667.66+89674.04</f>
        <v>-1445332.3499999999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>
        <v>-16.489999999999998</v>
      </c>
      <c r="F34" s="30"/>
      <c r="G34" s="45"/>
      <c r="H34" s="29"/>
      <c r="I34" s="45"/>
      <c r="J34" s="40"/>
      <c r="K34" s="40"/>
      <c r="L34" s="37"/>
      <c r="M34" s="40"/>
      <c r="N34" s="119">
        <v>-26354.76</v>
      </c>
      <c r="O34" s="40"/>
      <c r="P34" s="45"/>
      <c r="Q34" s="40"/>
      <c r="R34" s="119">
        <v>-26354.76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2221040</v>
      </c>
      <c r="H35" s="29"/>
      <c r="I35" s="41">
        <v>966459</v>
      </c>
      <c r="J35" s="40"/>
      <c r="K35" s="40"/>
      <c r="L35" s="41">
        <v>6732089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176217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5141888</v>
      </c>
      <c r="H36" s="29"/>
      <c r="I36" s="116">
        <f>SUM(I29:I35)</f>
        <v>4047076</v>
      </c>
      <c r="J36" s="40"/>
      <c r="K36" s="40"/>
      <c r="L36" s="116">
        <f>SUM(L29:L35)</f>
        <v>8107205</v>
      </c>
      <c r="M36" s="40"/>
      <c r="N36" s="116">
        <f>SUM(N29:N35)</f>
        <v>43740.94</v>
      </c>
      <c r="O36" s="40"/>
      <c r="P36" s="116">
        <f>SUM(P29:P35)</f>
        <v>89674.04</v>
      </c>
      <c r="Q36" s="40"/>
      <c r="R36" s="116">
        <f>SUM(R29:R35)</f>
        <v>96909</v>
      </c>
      <c r="S36" s="40"/>
      <c r="T36" s="116">
        <f>SUM(T29:T35)</f>
        <v>-1463614.3499999999</v>
      </c>
      <c r="U36" s="40"/>
      <c r="V36" s="116">
        <f>SUM(V29:V35)</f>
        <v>210604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6810599.6500000004</v>
      </c>
      <c r="H38" s="29"/>
      <c r="I38" s="107">
        <f>+I36+I25+I19+I11</f>
        <v>6397261.6500000004</v>
      </c>
      <c r="J38" s="92"/>
      <c r="K38" s="92"/>
      <c r="L38" s="107">
        <f>+L36+L25+L19+L11</f>
        <v>9147980</v>
      </c>
      <c r="M38" s="92"/>
      <c r="N38" s="107">
        <f>+N36+N25+N19+N11</f>
        <v>43747.98</v>
      </c>
      <c r="O38" s="92"/>
      <c r="P38" s="107">
        <f>+P36+P25+P19+P11</f>
        <v>89674.04</v>
      </c>
      <c r="Q38" s="92"/>
      <c r="R38" s="107">
        <f>+R36+R25+R19+R11</f>
        <v>99583.42</v>
      </c>
      <c r="S38" s="92"/>
      <c r="T38" s="107">
        <f>+T36+T25+T19+T11</f>
        <v>-1463614.3499999999</v>
      </c>
      <c r="U38" s="92"/>
      <c r="V38" s="107">
        <f>+V36+V25+V19+V11</f>
        <v>228206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29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2">
      <c r="L65" s="12">
        <v>1361361</v>
      </c>
    </row>
    <row r="66" spans="12:12">
      <c r="L66" s="12">
        <v>8559</v>
      </c>
    </row>
    <row r="67" spans="12:12">
      <c r="L67" s="12">
        <v>5196</v>
      </c>
    </row>
    <row r="68" spans="12:12">
      <c r="L68" s="15">
        <v>6732089</v>
      </c>
    </row>
    <row r="69" spans="12:12">
      <c r="L69" s="12"/>
    </row>
    <row r="70" spans="12:12" ht="12.75" thickBot="1">
      <c r="L70" s="16">
        <f>SUM(L65:L68)</f>
        <v>8107205</v>
      </c>
    </row>
    <row r="71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December 2008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V99"/>
  <sheetViews>
    <sheetView topLeftCell="C1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23"/>
    </row>
    <row r="2" spans="1:22" ht="12.75" thickBot="1">
      <c r="B2" s="35"/>
      <c r="C2" s="23"/>
      <c r="D2" s="426" t="s">
        <v>78</v>
      </c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9" t="s">
        <v>127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6" t="s">
        <v>81</v>
      </c>
      <c r="O5" s="426"/>
      <c r="P5" s="426"/>
      <c r="Q5" s="26"/>
      <c r="R5" s="429" t="s">
        <v>82</v>
      </c>
      <c r="S5" s="429"/>
      <c r="T5" s="429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152</v>
      </c>
      <c r="H6" s="102"/>
      <c r="I6" s="69" t="s">
        <v>153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961557</v>
      </c>
      <c r="H9" s="102"/>
      <c r="I9" s="103">
        <v>1719772</v>
      </c>
      <c r="J9" s="92"/>
      <c r="K9" s="92"/>
      <c r="L9" s="112">
        <v>1514601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111">
        <v>200000</v>
      </c>
      <c r="H10" s="102"/>
      <c r="I10" s="111">
        <v>2200504</v>
      </c>
      <c r="J10" s="92"/>
      <c r="K10" s="92"/>
      <c r="L10" s="72"/>
      <c r="M10" s="92"/>
      <c r="N10" s="56">
        <f>165.6+345.11</f>
        <v>510.71000000000004</v>
      </c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1161557</v>
      </c>
      <c r="H11" s="102"/>
      <c r="I11" s="103">
        <f>SUM(I9:I10)</f>
        <v>3920276</v>
      </c>
      <c r="J11" s="92"/>
      <c r="K11" s="92"/>
      <c r="L11" s="103">
        <f>SUM(L9:L10)</f>
        <v>1514601</v>
      </c>
      <c r="M11" s="92"/>
      <c r="N11" s="120">
        <f>SUM(N9:N10)</f>
        <v>510.71000000000004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2405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131298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3533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75901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1980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770276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7918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420197</v>
      </c>
      <c r="H24" s="29"/>
      <c r="I24" s="41">
        <v>420199</v>
      </c>
      <c r="J24" s="40"/>
      <c r="K24" s="40">
        <v>425705</v>
      </c>
      <c r="L24" s="41">
        <v>413967</v>
      </c>
      <c r="M24" s="40"/>
      <c r="N24" s="41">
        <v>2</v>
      </c>
      <c r="O24" s="40"/>
      <c r="P24" s="41"/>
      <c r="Q24" s="40"/>
      <c r="R24" s="41">
        <v>2200</v>
      </c>
      <c r="S24" s="40"/>
      <c r="T24" s="56">
        <v>0</v>
      </c>
      <c r="U24" s="40"/>
      <c r="V24" s="41">
        <v>12299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420197</v>
      </c>
      <c r="H25" s="29"/>
      <c r="I25" s="116">
        <f>SUM(I23:I24)</f>
        <v>420199</v>
      </c>
      <c r="J25" s="40"/>
      <c r="K25" s="40"/>
      <c r="L25" s="116">
        <f>SUM(L24:L24)</f>
        <v>413967</v>
      </c>
      <c r="M25" s="40"/>
      <c r="N25" s="116">
        <f>SUM(N23:N24)</f>
        <v>2</v>
      </c>
      <c r="O25" s="40"/>
      <c r="P25" s="116">
        <f>SUM(P23:P24)</f>
        <v>0</v>
      </c>
      <c r="Q25" s="40"/>
      <c r="R25" s="116">
        <f>SUM(R23:R24)</f>
        <v>2200</v>
      </c>
      <c r="S25" s="40"/>
      <c r="T25" s="116">
        <f>SUM(T23:T24)</f>
        <v>0</v>
      </c>
      <c r="U25" s="40"/>
      <c r="V25" s="116">
        <f>SUM(V23:V24)</f>
        <v>12299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1367061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39964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5216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4615858</v>
      </c>
      <c r="H32" s="29"/>
      <c r="I32" s="82">
        <v>4631461</v>
      </c>
      <c r="J32" s="40"/>
      <c r="K32" s="40"/>
      <c r="L32" s="37"/>
      <c r="M32" s="40"/>
      <c r="N32" s="38">
        <v>15603</v>
      </c>
      <c r="O32" s="40"/>
      <c r="P32" s="45"/>
      <c r="Q32" s="40"/>
      <c r="R32" s="38">
        <f>14620+8630+6897.18+6202.35+70095.7+15603</f>
        <v>122048.23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-1535241</v>
      </c>
      <c r="H33" s="29"/>
      <c r="I33" s="45">
        <v>-1738551</v>
      </c>
      <c r="J33" s="40"/>
      <c r="K33" s="40"/>
      <c r="L33" s="37"/>
      <c r="M33" s="40"/>
      <c r="N33" s="38"/>
      <c r="O33" s="40"/>
      <c r="P33" s="45">
        <v>-203310</v>
      </c>
      <c r="Q33" s="40"/>
      <c r="R33" s="38"/>
      <c r="S33" s="93"/>
      <c r="T33" s="45">
        <f>-14429.46-35002-470588.92-747318.35-267667.66+89674.04-203310</f>
        <v>-1648642.3499999999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-5074.24</v>
      </c>
      <c r="O34" s="40"/>
      <c r="P34" s="45"/>
      <c r="Q34" s="40"/>
      <c r="R34" s="119">
        <f>-26354.76-5074.24</f>
        <v>-31429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966459</v>
      </c>
      <c r="H35" s="29"/>
      <c r="I35" s="41">
        <v>628109</v>
      </c>
      <c r="J35" s="40"/>
      <c r="K35" s="40"/>
      <c r="L35" s="41">
        <v>6752484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196311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4047076</v>
      </c>
      <c r="H36" s="29"/>
      <c r="I36" s="116">
        <f>SUM(I29:I35)</f>
        <v>3521019</v>
      </c>
      <c r="J36" s="40"/>
      <c r="K36" s="40"/>
      <c r="L36" s="116">
        <f>SUM(L29:L35)</f>
        <v>8133320</v>
      </c>
      <c r="M36" s="40"/>
      <c r="N36" s="116">
        <f>SUM(N29:N35)</f>
        <v>10528.76</v>
      </c>
      <c r="O36" s="40"/>
      <c r="P36" s="116">
        <f>SUM(P29:P35)</f>
        <v>-203310</v>
      </c>
      <c r="Q36" s="40"/>
      <c r="R36" s="116">
        <f>SUM(R29:R35)</f>
        <v>107437.75999999999</v>
      </c>
      <c r="S36" s="40"/>
      <c r="T36" s="116">
        <f>SUM(T29:T35)</f>
        <v>-1666924.3499999999</v>
      </c>
      <c r="U36" s="40"/>
      <c r="V36" s="116">
        <f>SUM(V29:V35)</f>
        <v>236418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6397261.6500000004</v>
      </c>
      <c r="H38" s="29"/>
      <c r="I38" s="107">
        <f>+I36+I25+I19+I11</f>
        <v>8629925.6500000004</v>
      </c>
      <c r="J38" s="92"/>
      <c r="K38" s="92"/>
      <c r="L38" s="107">
        <f>+L36+L25+L19+L11</f>
        <v>10832164</v>
      </c>
      <c r="M38" s="92"/>
      <c r="N38" s="107">
        <f>+N36+N25+N19+N11</f>
        <v>11041.470000000001</v>
      </c>
      <c r="O38" s="92"/>
      <c r="P38" s="107">
        <f>+P36+P25+P19+P11</f>
        <v>-203310</v>
      </c>
      <c r="Q38" s="92"/>
      <c r="R38" s="107">
        <f>+R36+R25+R19+R11</f>
        <v>110113.76</v>
      </c>
      <c r="S38" s="92"/>
      <c r="T38" s="107">
        <f>+T36+T25+T19+T11</f>
        <v>-1666924.3499999999</v>
      </c>
      <c r="U38" s="92"/>
      <c r="V38" s="107">
        <f>+V36+V25+V19+V11</f>
        <v>256635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8">
      <c r="L65" s="12">
        <v>1361361</v>
      </c>
    </row>
    <row r="66" spans="12:18">
      <c r="L66" s="12">
        <v>8559</v>
      </c>
    </row>
    <row r="67" spans="12:18">
      <c r="L67" s="12">
        <v>5196</v>
      </c>
    </row>
    <row r="68" spans="12:18">
      <c r="L68" s="15">
        <v>6732089</v>
      </c>
    </row>
    <row r="69" spans="12:18">
      <c r="L69" s="12"/>
    </row>
    <row r="70" spans="12:18" ht="12.75" thickBot="1">
      <c r="L70" s="16">
        <f>SUM(L65:L68)</f>
        <v>8107205</v>
      </c>
    </row>
    <row r="71" spans="12:18" ht="12.75" thickTop="1"/>
    <row r="73" spans="12:18">
      <c r="L73" s="12">
        <v>100000</v>
      </c>
    </row>
    <row r="74" spans="12:18">
      <c r="L74" s="12">
        <v>463077</v>
      </c>
    </row>
    <row r="75" spans="12:18">
      <c r="L75" s="12">
        <v>124832</v>
      </c>
    </row>
    <row r="76" spans="12:18">
      <c r="L76" s="15">
        <v>72376</v>
      </c>
    </row>
    <row r="77" spans="12:18">
      <c r="L77" s="12"/>
      <c r="R77" s="122">
        <v>38359</v>
      </c>
    </row>
    <row r="78" spans="12:18" ht="12.75" thickBot="1">
      <c r="L78" s="16">
        <f>SUM(L73:L76)</f>
        <v>760285</v>
      </c>
    </row>
    <row r="79" spans="12:18" ht="12.75" thickTop="1">
      <c r="L79"/>
      <c r="R79" s="121">
        <v>1514601</v>
      </c>
    </row>
    <row r="80" spans="12:18">
      <c r="L80" s="12"/>
      <c r="R80" s="60">
        <v>8133318</v>
      </c>
    </row>
    <row r="81" spans="12:18">
      <c r="L81" s="12"/>
      <c r="R81" s="60">
        <v>770276</v>
      </c>
    </row>
    <row r="82" spans="12:18">
      <c r="L82" s="12"/>
      <c r="R82" s="60">
        <v>413967</v>
      </c>
    </row>
    <row r="83" spans="12:18">
      <c r="L83" s="12"/>
      <c r="R83" s="22" t="s">
        <v>141</v>
      </c>
    </row>
    <row r="84" spans="12:18">
      <c r="L84" s="12"/>
    </row>
    <row r="85" spans="12:18">
      <c r="L85" s="15">
        <v>416412</v>
      </c>
      <c r="R85" s="60">
        <v>10832162</v>
      </c>
    </row>
    <row r="86" spans="12:18">
      <c r="L86" s="12"/>
    </row>
    <row r="87" spans="12:18" ht="12.75" thickBot="1">
      <c r="L87" s="16">
        <f>SUM(L85:L85)</f>
        <v>416412</v>
      </c>
    </row>
    <row r="88" spans="12:18" ht="12.75" thickTop="1">
      <c r="L88"/>
    </row>
    <row r="89" spans="12:18">
      <c r="L89" s="12"/>
    </row>
    <row r="90" spans="12:18">
      <c r="L90" s="12"/>
    </row>
    <row r="91" spans="12:18">
      <c r="L91" s="12"/>
    </row>
    <row r="92" spans="12:18">
      <c r="L92" s="12"/>
    </row>
    <row r="93" spans="12:18">
      <c r="L93" s="12">
        <v>1295529</v>
      </c>
    </row>
    <row r="94" spans="12:18">
      <c r="L94" s="12">
        <v>8624</v>
      </c>
    </row>
    <row r="95" spans="12:18">
      <c r="L95" s="12">
        <v>4977</v>
      </c>
    </row>
    <row r="96" spans="12:18">
      <c r="L96" s="15">
        <v>8374104</v>
      </c>
    </row>
    <row r="97" spans="12:12">
      <c r="L97" s="12"/>
    </row>
    <row r="98" spans="12:12" ht="12.75" thickBot="1">
      <c r="L98" s="16">
        <f>SUM(L93:L96)</f>
        <v>9683234</v>
      </c>
    </row>
    <row r="9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January 2009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V89"/>
  <sheetViews>
    <sheetView topLeftCell="A4" workbookViewId="0">
      <selection activeCell="I23" sqref="I2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23"/>
    </row>
    <row r="2" spans="1:22" ht="12.75" thickBot="1">
      <c r="B2" s="35"/>
      <c r="C2" s="23"/>
      <c r="D2" s="426" t="s">
        <v>78</v>
      </c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9" t="s">
        <v>127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6" t="s">
        <v>81</v>
      </c>
      <c r="O5" s="426"/>
      <c r="P5" s="426"/>
      <c r="Q5" s="26"/>
      <c r="R5" s="429" t="s">
        <v>82</v>
      </c>
      <c r="S5" s="429"/>
      <c r="T5" s="429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154</v>
      </c>
      <c r="H6" s="102"/>
      <c r="I6" s="69" t="s">
        <v>155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1719772</v>
      </c>
      <c r="H9" s="102"/>
      <c r="I9" s="103">
        <v>1219546</v>
      </c>
      <c r="J9" s="92"/>
      <c r="K9" s="92"/>
      <c r="L9" s="112">
        <v>1250812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</v>
      </c>
      <c r="F10" s="25"/>
      <c r="G10" s="111">
        <v>2200504</v>
      </c>
      <c r="H10" s="102"/>
      <c r="I10" s="111">
        <v>2202607</v>
      </c>
      <c r="J10" s="92"/>
      <c r="K10" s="92"/>
      <c r="L10" s="72"/>
      <c r="M10" s="92"/>
      <c r="N10" s="56">
        <v>2110.0700000000002</v>
      </c>
      <c r="O10" s="92"/>
      <c r="P10" s="72"/>
      <c r="Q10" s="42"/>
      <c r="R10" s="123">
        <f>511+2110</f>
        <v>2621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3920276</v>
      </c>
      <c r="H11" s="102"/>
      <c r="I11" s="103">
        <f>SUM(I9:I10)</f>
        <v>3422153</v>
      </c>
      <c r="J11" s="92"/>
      <c r="K11" s="92"/>
      <c r="L11" s="103">
        <f>SUM(L9:L10)</f>
        <v>1250812</v>
      </c>
      <c r="M11" s="92"/>
      <c r="N11" s="120">
        <f>SUM(N9:N10)</f>
        <v>2110.0700000000002</v>
      </c>
      <c r="O11" s="92"/>
      <c r="P11" s="120">
        <f>SUM(P9:P10)</f>
        <v>0</v>
      </c>
      <c r="Q11" s="85"/>
      <c r="R11" s="120">
        <f>SUM(R9:R10)</f>
        <v>2621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2594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76101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2180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770976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8807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420199</v>
      </c>
      <c r="H24" s="29"/>
      <c r="I24" s="41">
        <v>420216</v>
      </c>
      <c r="J24" s="40"/>
      <c r="K24" s="40">
        <v>425705</v>
      </c>
      <c r="L24" s="41">
        <v>415400</v>
      </c>
      <c r="M24" s="40"/>
      <c r="N24" s="41">
        <v>17.82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13731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420199</v>
      </c>
      <c r="H25" s="29"/>
      <c r="I25" s="116">
        <f>SUM(I23:I24)</f>
        <v>420216</v>
      </c>
      <c r="J25" s="40"/>
      <c r="K25" s="40"/>
      <c r="L25" s="116">
        <f>SUM(L24:L24)</f>
        <v>415400</v>
      </c>
      <c r="M25" s="40"/>
      <c r="N25" s="116">
        <f>SUM(N23:N24)</f>
        <v>17.82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13731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1372761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45664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5236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163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4631461</v>
      </c>
      <c r="H32" s="29"/>
      <c r="I32" s="82">
        <v>4637616</v>
      </c>
      <c r="J32" s="40"/>
      <c r="K32" s="40"/>
      <c r="L32" s="37"/>
      <c r="M32" s="40"/>
      <c r="N32" s="38">
        <v>6154.99</v>
      </c>
      <c r="O32" s="40"/>
      <c r="P32" s="45"/>
      <c r="Q32" s="40"/>
      <c r="R32" s="38">
        <f>14620+8630+6897.18+6202.35+70095.7+15603+6155</f>
        <v>128203.23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-1738551</v>
      </c>
      <c r="H33" s="29"/>
      <c r="I33" s="45">
        <v>-1975723</v>
      </c>
      <c r="J33" s="40"/>
      <c r="K33" s="40"/>
      <c r="L33" s="37"/>
      <c r="M33" s="40"/>
      <c r="N33" s="38"/>
      <c r="O33" s="40"/>
      <c r="P33" s="45">
        <v>-237172.07</v>
      </c>
      <c r="Q33" s="40"/>
      <c r="R33" s="38"/>
      <c r="S33" s="93"/>
      <c r="T33" s="45">
        <f>-14429.46-35002-470588.92-747318.35-267667.66+89674.04-203310-237172</f>
        <v>-1885814.3499999999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-3517.91</v>
      </c>
      <c r="O34" s="40"/>
      <c r="P34" s="45"/>
      <c r="Q34" s="40"/>
      <c r="R34" s="119">
        <f>-26354.76-5074.24-3518</f>
        <v>-34947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628109</v>
      </c>
      <c r="H35" s="29"/>
      <c r="I35" s="41">
        <v>496407</v>
      </c>
      <c r="J35" s="40"/>
      <c r="K35" s="40"/>
      <c r="L35" s="41">
        <v>7417624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211270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3521019</v>
      </c>
      <c r="H36" s="29"/>
      <c r="I36" s="116">
        <f>SUM(I29:I35)</f>
        <v>3158300</v>
      </c>
      <c r="J36" s="40"/>
      <c r="K36" s="40"/>
      <c r="L36" s="116">
        <f>SUM(L29:L35)</f>
        <v>8804180</v>
      </c>
      <c r="M36" s="40"/>
      <c r="N36" s="116">
        <f>SUM(N29:N35)</f>
        <v>2637.08</v>
      </c>
      <c r="O36" s="40"/>
      <c r="P36" s="116">
        <f>SUM(P29:P35)</f>
        <v>-237172.07</v>
      </c>
      <c r="Q36" s="40"/>
      <c r="R36" s="116">
        <f>SUM(R29:R35)</f>
        <v>110074.76</v>
      </c>
      <c r="S36" s="40"/>
      <c r="T36" s="116">
        <f>SUM(T29:T35)</f>
        <v>-1904096.3499999999</v>
      </c>
      <c r="U36" s="40"/>
      <c r="V36" s="116">
        <f>SUM(V29:V35)</f>
        <v>257097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8629925.6500000004</v>
      </c>
      <c r="H38" s="29"/>
      <c r="I38" s="107">
        <f>+I36+I25+I19+I11</f>
        <v>7769100.6500000004</v>
      </c>
      <c r="J38" s="92"/>
      <c r="K38" s="92"/>
      <c r="L38" s="107">
        <f>+L36+L25+L19+L11</f>
        <v>11241368</v>
      </c>
      <c r="M38" s="92"/>
      <c r="N38" s="107">
        <f>+N36+N25+N19+N11</f>
        <v>4764.97</v>
      </c>
      <c r="O38" s="92"/>
      <c r="P38" s="107">
        <f>+P36+P25+P19+P11</f>
        <v>-237172.07</v>
      </c>
      <c r="Q38" s="92"/>
      <c r="R38" s="107">
        <f>+R36+R25+R19+R11</f>
        <v>115389.75999999999</v>
      </c>
      <c r="S38" s="92"/>
      <c r="T38" s="107">
        <f>+T36+T25+T19+T11</f>
        <v>-1904096.3499999999</v>
      </c>
      <c r="U38" s="92"/>
      <c r="V38" s="107">
        <f>+V36+V25+V19+V11</f>
        <v>279635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S51" s="43"/>
    </row>
    <row r="52" spans="2:22" ht="12.75">
      <c r="I52" s="100">
        <v>8804178</v>
      </c>
      <c r="L52" s="12">
        <v>463077</v>
      </c>
    </row>
    <row r="53" spans="2:22" ht="12.75">
      <c r="I53" s="100">
        <v>770976</v>
      </c>
      <c r="L53" s="12">
        <v>131798</v>
      </c>
    </row>
    <row r="54" spans="2:22" ht="12.75">
      <c r="I54" s="100">
        <v>415400</v>
      </c>
      <c r="L54" s="15">
        <v>76101</v>
      </c>
    </row>
    <row r="55" spans="2:22" ht="12.75">
      <c r="I55" s="101" t="s">
        <v>141</v>
      </c>
      <c r="L55" s="12"/>
    </row>
    <row r="56" spans="2:22" ht="13.5" thickBot="1">
      <c r="I56" s="100"/>
      <c r="L56" s="16">
        <f>SUM(L51:L54)</f>
        <v>770976</v>
      </c>
    </row>
    <row r="57" spans="2:22" ht="13.5" thickTop="1">
      <c r="I57" s="100">
        <v>11241366</v>
      </c>
      <c r="L57" s="12"/>
    </row>
    <row r="58" spans="2:22">
      <c r="L58" s="15">
        <v>415400</v>
      </c>
    </row>
    <row r="59" spans="2:22">
      <c r="L59" s="12"/>
    </row>
    <row r="60" spans="2:22" ht="12.75" thickBot="1">
      <c r="L60" s="16">
        <f>SUM(L57:L58)</f>
        <v>415400</v>
      </c>
    </row>
    <row r="61" spans="2:22" ht="12.75" thickTop="1">
      <c r="L61" s="12">
        <v>1372761</v>
      </c>
    </row>
    <row r="62" spans="2:22">
      <c r="L62" s="12">
        <v>8559</v>
      </c>
    </row>
    <row r="63" spans="2:22">
      <c r="L63" s="12">
        <v>5236</v>
      </c>
    </row>
    <row r="64" spans="2:22">
      <c r="L64" s="15">
        <v>7417624</v>
      </c>
    </row>
    <row r="65" spans="12:18">
      <c r="L65" s="12"/>
    </row>
    <row r="66" spans="12:18" ht="12.75" thickBot="1">
      <c r="L66" s="16">
        <f>SUM(L61:L64)</f>
        <v>8804180</v>
      </c>
    </row>
    <row r="67" spans="12:18" ht="12.75" thickTop="1">
      <c r="L67" s="12"/>
      <c r="R67" s="122"/>
    </row>
    <row r="68" spans="12:18" ht="12.75" thickBot="1">
      <c r="L68" s="16"/>
    </row>
    <row r="69" spans="12:18" ht="12.75" thickTop="1">
      <c r="L69"/>
      <c r="R69" s="121"/>
    </row>
    <row r="70" spans="12:18">
      <c r="L70" s="12"/>
      <c r="R70" s="60"/>
    </row>
    <row r="71" spans="12:18">
      <c r="L71" s="12"/>
      <c r="R71" s="60"/>
    </row>
    <row r="72" spans="12:18">
      <c r="L72" s="12"/>
      <c r="R72" s="60"/>
    </row>
    <row r="73" spans="12:18">
      <c r="L73" s="12"/>
    </row>
    <row r="74" spans="12:18">
      <c r="L74" s="12"/>
    </row>
    <row r="75" spans="12:18">
      <c r="L75" s="15"/>
      <c r="R75" s="60"/>
    </row>
    <row r="76" spans="12:18">
      <c r="L76" s="12"/>
    </row>
    <row r="77" spans="12:18" ht="12.75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February 2009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V89"/>
  <sheetViews>
    <sheetView topLeftCell="C4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23"/>
    </row>
    <row r="2" spans="1:22" ht="12.75" thickBot="1">
      <c r="B2" s="35"/>
      <c r="C2" s="23"/>
      <c r="D2" s="426" t="s">
        <v>78</v>
      </c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9" t="s">
        <v>127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6" t="s">
        <v>81</v>
      </c>
      <c r="O5" s="426"/>
      <c r="P5" s="426"/>
      <c r="Q5" s="26"/>
      <c r="R5" s="429" t="s">
        <v>82</v>
      </c>
      <c r="S5" s="429"/>
      <c r="T5" s="429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156</v>
      </c>
      <c r="H6" s="102"/>
      <c r="I6" s="69" t="s">
        <v>157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1219546</v>
      </c>
      <c r="H9" s="102"/>
      <c r="I9" s="103">
        <v>1079743</v>
      </c>
      <c r="J9" s="92"/>
      <c r="K9" s="92"/>
      <c r="L9" s="112">
        <v>1125765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2202607</v>
      </c>
      <c r="H10" s="102"/>
      <c r="I10" s="111">
        <v>1704831</v>
      </c>
      <c r="J10" s="92"/>
      <c r="K10" s="92"/>
      <c r="L10" s="72"/>
      <c r="M10" s="92"/>
      <c r="N10" s="56">
        <v>2231.13</v>
      </c>
      <c r="O10" s="92"/>
      <c r="P10" s="72"/>
      <c r="Q10" s="42"/>
      <c r="R10" s="123">
        <f>511+2110+2231.13</f>
        <v>4852.13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3422153</v>
      </c>
      <c r="H11" s="102"/>
      <c r="I11" s="103">
        <f>SUM(I9:I10)</f>
        <v>2784574</v>
      </c>
      <c r="J11" s="92"/>
      <c r="K11" s="92"/>
      <c r="L11" s="103">
        <f>SUM(L9:L10)</f>
        <v>1125765</v>
      </c>
      <c r="M11" s="92"/>
      <c r="N11" s="120">
        <f>SUM(N9:N10)</f>
        <v>2231.13</v>
      </c>
      <c r="O11" s="92"/>
      <c r="P11" s="120">
        <f>SUM(P9:P10)</f>
        <v>0</v>
      </c>
      <c r="Q11" s="85"/>
      <c r="R11" s="120">
        <f>SUM(R9:R10)</f>
        <v>4852.13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2710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132080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76408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2486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771565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9511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420216</v>
      </c>
      <c r="J24" s="40"/>
      <c r="K24" s="40">
        <v>425705</v>
      </c>
      <c r="L24" s="41">
        <v>416470</v>
      </c>
      <c r="M24" s="40"/>
      <c r="N24" s="41">
        <v>0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14801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420216</v>
      </c>
      <c r="J25" s="40"/>
      <c r="K25" s="40"/>
      <c r="L25" s="116">
        <f>SUM(L24:L24)</f>
        <v>416470</v>
      </c>
      <c r="M25" s="40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14801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1378817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51720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5241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103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4637616</v>
      </c>
      <c r="H32" s="29"/>
      <c r="I32" s="82">
        <v>4646399</v>
      </c>
      <c r="J32" s="40"/>
      <c r="K32" s="40"/>
      <c r="L32" s="37"/>
      <c r="M32" s="40"/>
      <c r="N32" s="38">
        <v>8782.6299999999992</v>
      </c>
      <c r="O32" s="40"/>
      <c r="P32" s="45"/>
      <c r="Q32" s="40"/>
      <c r="R32" s="38">
        <f>14620+8630+6897.18+6202.35+70095.7+15603+6155+8782.63</f>
        <v>136985.85999999999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-1975723</v>
      </c>
      <c r="H33" s="29"/>
      <c r="I33" s="45">
        <v>-1794834</v>
      </c>
      <c r="J33" s="40"/>
      <c r="K33" s="40"/>
      <c r="L33" s="37"/>
      <c r="M33" s="40"/>
      <c r="N33" s="38"/>
      <c r="O33" s="40"/>
      <c r="P33" s="45">
        <v>180888.58</v>
      </c>
      <c r="Q33" s="40"/>
      <c r="R33" s="38"/>
      <c r="S33" s="93"/>
      <c r="T33" s="45">
        <f>-14429.46-35002-470588.92-747318.35-267667.66+89674.04-203310-237172+180888.58</f>
        <v>-1704925.7699999998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-6372.13</v>
      </c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496407</v>
      </c>
      <c r="H35" s="29"/>
      <c r="I35" s="41">
        <v>415689</v>
      </c>
      <c r="J35" s="40"/>
      <c r="K35" s="40"/>
      <c r="L35" s="41">
        <v>6426235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219764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3158300</v>
      </c>
      <c r="H36" s="29"/>
      <c r="I36" s="116">
        <f>SUM(I29:I35)</f>
        <v>3267254</v>
      </c>
      <c r="J36" s="40"/>
      <c r="K36" s="40"/>
      <c r="L36" s="116">
        <f>SUM(L29:L35)</f>
        <v>7818787</v>
      </c>
      <c r="M36" s="40"/>
      <c r="N36" s="116">
        <f>SUM(N29:N35)</f>
        <v>2410.4999999999991</v>
      </c>
      <c r="O36" s="40"/>
      <c r="P36" s="116">
        <f>SUM(P29:P35)</f>
        <v>180888.58</v>
      </c>
      <c r="Q36" s="40"/>
      <c r="R36" s="116">
        <f>SUM(R29:R35)</f>
        <v>112485.25999999998</v>
      </c>
      <c r="S36" s="40"/>
      <c r="T36" s="116">
        <f>SUM(T29:T35)</f>
        <v>-1723207.7699999998</v>
      </c>
      <c r="U36" s="40"/>
      <c r="V36" s="116">
        <f>SUM(V29:V35)</f>
        <v>271587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7769100.6500000004</v>
      </c>
      <c r="H38" s="29"/>
      <c r="I38" s="107">
        <f>+I36+I25+I19+I11</f>
        <v>7240475.6500000004</v>
      </c>
      <c r="J38" s="92"/>
      <c r="K38" s="92"/>
      <c r="L38" s="107">
        <f>+L36+L25+L19+L11</f>
        <v>10132587</v>
      </c>
      <c r="M38" s="92"/>
      <c r="N38" s="107">
        <f>+N36+N25+N19+N11</f>
        <v>4641.6299999999992</v>
      </c>
      <c r="O38" s="92"/>
      <c r="P38" s="107">
        <f>+P36+P25+P19+P11</f>
        <v>180888.58</v>
      </c>
      <c r="Q38" s="92"/>
      <c r="R38" s="107">
        <f>+R36+R25+R19+R11</f>
        <v>120031.38999999998</v>
      </c>
      <c r="S38" s="92"/>
      <c r="T38" s="107">
        <f>+T36+T25+T19+T11</f>
        <v>-1723207.7699999998</v>
      </c>
      <c r="U38" s="92"/>
      <c r="V38" s="107">
        <f>+V36+V25+V19+V11</f>
        <v>295899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>
        <f>+R35+R34+R10</f>
        <v>-19648.469999999998</v>
      </c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N51" s="12">
        <v>100000</v>
      </c>
      <c r="S51" s="43"/>
    </row>
    <row r="52" spans="2:22" ht="12.75">
      <c r="I52" s="100">
        <v>8804178</v>
      </c>
      <c r="L52" s="12">
        <v>463077</v>
      </c>
      <c r="N52" s="12">
        <v>463077</v>
      </c>
    </row>
    <row r="53" spans="2:22" ht="12.75">
      <c r="I53" s="100">
        <v>770976</v>
      </c>
      <c r="L53" s="12">
        <v>131798</v>
      </c>
      <c r="N53" s="12">
        <v>132079.79999999999</v>
      </c>
    </row>
    <row r="54" spans="2:22" ht="12.75">
      <c r="I54" s="100">
        <v>415400</v>
      </c>
      <c r="L54" s="15">
        <v>76101</v>
      </c>
      <c r="N54" s="15">
        <v>76407.61</v>
      </c>
    </row>
    <row r="55" spans="2:22" ht="12.75">
      <c r="I55" s="101" t="s">
        <v>141</v>
      </c>
      <c r="L55" s="12"/>
      <c r="N55" s="12"/>
    </row>
    <row r="56" spans="2:22" ht="13.5" thickBot="1">
      <c r="I56" s="100"/>
      <c r="L56" s="16">
        <f>SUM(L51:L54)</f>
        <v>770976</v>
      </c>
      <c r="N56" s="16">
        <f>SUM(N51:N54)</f>
        <v>771564.41</v>
      </c>
    </row>
    <row r="57" spans="2:22" ht="13.5" thickTop="1">
      <c r="I57" s="100">
        <v>11241366</v>
      </c>
      <c r="L57" s="12"/>
      <c r="N57" s="12"/>
    </row>
    <row r="58" spans="2:22">
      <c r="L58" s="15">
        <v>415400</v>
      </c>
      <c r="N58" s="12"/>
    </row>
    <row r="59" spans="2:22">
      <c r="L59" s="12"/>
      <c r="N59" s="12"/>
    </row>
    <row r="60" spans="2:22" ht="12.75" thickBot="1">
      <c r="L60" s="16">
        <f>SUM(L57:L58)</f>
        <v>415400</v>
      </c>
      <c r="N60" s="12"/>
    </row>
    <row r="61" spans="2:22" ht="12.75" thickTop="1">
      <c r="G61" s="43">
        <v>2785237</v>
      </c>
      <c r="L61" s="12">
        <v>1372761</v>
      </c>
      <c r="N61" s="12"/>
    </row>
    <row r="62" spans="2:22">
      <c r="G62" s="43">
        <v>1704831</v>
      </c>
      <c r="L62" s="12">
        <v>8559</v>
      </c>
      <c r="N62" s="12"/>
    </row>
    <row r="63" spans="2:22">
      <c r="G63" s="43">
        <f>+G61-G62</f>
        <v>1080406</v>
      </c>
      <c r="L63" s="12">
        <v>5236</v>
      </c>
      <c r="N63" s="15">
        <v>416469.83</v>
      </c>
    </row>
    <row r="64" spans="2:22">
      <c r="L64" s="15">
        <v>7417624</v>
      </c>
      <c r="N64" s="12"/>
    </row>
    <row r="65" spans="12:18" ht="12.75" thickBot="1">
      <c r="L65" s="12"/>
      <c r="N65" s="16">
        <f>SUM(N62:N63)</f>
        <v>416469.83</v>
      </c>
    </row>
    <row r="66" spans="12:18" ht="13.5" thickTop="1" thickBot="1">
      <c r="L66" s="16">
        <f>SUM(L61:L64)</f>
        <v>8804180</v>
      </c>
      <c r="N66" s="12"/>
    </row>
    <row r="67" spans="12:18" ht="12.75" thickTop="1">
      <c r="L67" s="12"/>
      <c r="N67" s="12"/>
      <c r="R67" s="122"/>
    </row>
    <row r="68" spans="12:18" ht="12.75" thickBot="1">
      <c r="L68" s="16"/>
      <c r="N68" s="12"/>
    </row>
    <row r="69" spans="12:18" ht="12.75" thickTop="1">
      <c r="L69"/>
      <c r="N69" s="12"/>
      <c r="R69" s="121"/>
    </row>
    <row r="70" spans="12:18">
      <c r="L70" s="12"/>
      <c r="N70" s="12"/>
      <c r="R70" s="60"/>
    </row>
    <row r="71" spans="12:18">
      <c r="L71" s="12"/>
      <c r="N71" s="12">
        <v>1378817</v>
      </c>
      <c r="R71" s="60"/>
    </row>
    <row r="72" spans="12:18">
      <c r="L72" s="12"/>
      <c r="N72" s="12">
        <v>8493.61</v>
      </c>
      <c r="R72" s="60"/>
    </row>
    <row r="73" spans="12:18">
      <c r="L73" s="12"/>
      <c r="N73" s="12">
        <v>5240.79</v>
      </c>
    </row>
    <row r="74" spans="12:18">
      <c r="L74" s="12"/>
      <c r="N74" s="15">
        <v>6426235.3899999997</v>
      </c>
    </row>
    <row r="75" spans="12:18">
      <c r="L75" s="15"/>
      <c r="N75" s="12"/>
      <c r="R75" s="60"/>
    </row>
    <row r="76" spans="12:18" ht="12.75" thickBot="1">
      <c r="L76" s="12"/>
      <c r="N76" s="16">
        <f>SUM(N71:N74)</f>
        <v>7818786.79</v>
      </c>
    </row>
    <row r="77" spans="12:18" ht="13.5" thickTop="1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March 2009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V50"/>
  <sheetViews>
    <sheetView topLeftCell="D1" workbookViewId="0">
      <selection activeCell="L44" sqref="L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23"/>
    </row>
    <row r="2" spans="1:22" ht="12.75" thickBot="1">
      <c r="B2" s="35"/>
      <c r="C2" s="23"/>
      <c r="D2" s="426" t="s">
        <v>78</v>
      </c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9" t="s">
        <v>127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6" t="s">
        <v>81</v>
      </c>
      <c r="O5" s="426"/>
      <c r="P5" s="426"/>
      <c r="Q5" s="26"/>
      <c r="R5" s="429" t="s">
        <v>82</v>
      </c>
      <c r="S5" s="429"/>
      <c r="T5" s="429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158</v>
      </c>
      <c r="H6" s="102"/>
      <c r="I6" s="69" t="s">
        <v>159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1079743</v>
      </c>
      <c r="H9" s="102"/>
      <c r="I9" s="103">
        <v>1164830</v>
      </c>
      <c r="J9" s="92"/>
      <c r="K9" s="92"/>
      <c r="L9" s="112">
        <v>980075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1704831</v>
      </c>
      <c r="H10" s="102"/>
      <c r="I10" s="111">
        <v>1206122</v>
      </c>
      <c r="J10" s="92"/>
      <c r="K10" s="92"/>
      <c r="L10" s="72"/>
      <c r="M10" s="92"/>
      <c r="N10" s="56">
        <v>1298.17</v>
      </c>
      <c r="O10" s="92"/>
      <c r="P10" s="72"/>
      <c r="Q10" s="42"/>
      <c r="R10" s="123">
        <f>511+2110+2231.13+1298.17</f>
        <v>6150.3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2784574</v>
      </c>
      <c r="H11" s="102"/>
      <c r="I11" s="103">
        <f>SUM(I9:I10)</f>
        <v>2370952</v>
      </c>
      <c r="J11" s="92"/>
      <c r="K11" s="92"/>
      <c r="L11" s="103">
        <f>SUM(L9:L10)</f>
        <v>980075</v>
      </c>
      <c r="M11" s="92"/>
      <c r="N11" s="120">
        <f>SUM(N9:N10)</f>
        <v>1298.17</v>
      </c>
      <c r="O11" s="92"/>
      <c r="P11" s="120">
        <f>SUM(P9:P10)</f>
        <v>0</v>
      </c>
      <c r="Q11" s="85"/>
      <c r="R11" s="120">
        <f>SUM(R9:R10)</f>
        <v>6150.3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2820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132580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4815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76608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2686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772265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10321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420295</v>
      </c>
      <c r="J24" s="40"/>
      <c r="K24" s="40">
        <v>425705</v>
      </c>
      <c r="L24" s="41">
        <v>416988</v>
      </c>
      <c r="M24" s="40"/>
      <c r="N24" s="41">
        <v>79.010000000000005</v>
      </c>
      <c r="O24" s="40"/>
      <c r="P24" s="41"/>
      <c r="Q24" s="40"/>
      <c r="R24" s="41">
        <f>2218+79.01</f>
        <v>2297.0100000000002</v>
      </c>
      <c r="S24" s="40"/>
      <c r="T24" s="56">
        <v>0</v>
      </c>
      <c r="U24" s="40"/>
      <c r="V24" s="41">
        <v>15535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420295</v>
      </c>
      <c r="J25" s="40"/>
      <c r="K25" s="40"/>
      <c r="L25" s="116">
        <f>SUM(L24:L24)</f>
        <v>416988</v>
      </c>
      <c r="M25" s="40"/>
      <c r="N25" s="116">
        <f>SUM(N23:N24)</f>
        <v>79.010000000000005</v>
      </c>
      <c r="O25" s="40"/>
      <c r="P25" s="116">
        <f>SUM(P23:P24)</f>
        <v>0</v>
      </c>
      <c r="Q25" s="40"/>
      <c r="R25" s="116">
        <f>SUM(R23:R24)</f>
        <v>2297.0100000000002</v>
      </c>
      <c r="S25" s="40"/>
      <c r="T25" s="116">
        <f>SUM(T23:T24)</f>
        <v>0</v>
      </c>
      <c r="U25" s="40"/>
      <c r="V25" s="116">
        <f>SUM(V23:V24)</f>
        <v>15535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1384517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57420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5261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4646399</v>
      </c>
      <c r="H32" s="29"/>
      <c r="I32" s="82">
        <v>4652966</v>
      </c>
      <c r="J32" s="40"/>
      <c r="K32" s="40"/>
      <c r="L32" s="37"/>
      <c r="M32" s="40"/>
      <c r="N32" s="38">
        <v>6566.84</v>
      </c>
      <c r="O32" s="40"/>
      <c r="P32" s="45"/>
      <c r="Q32" s="40"/>
      <c r="R32" s="38">
        <f>14620+8630+6897.18+6202.35+70095.7+15603+6155+8782.63+6566.84</f>
        <v>143552.69999999998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-1794834</v>
      </c>
      <c r="H33" s="29"/>
      <c r="I33" s="45">
        <v>-1527286</v>
      </c>
      <c r="J33" s="40"/>
      <c r="K33" s="40"/>
      <c r="L33" s="37"/>
      <c r="M33" s="40"/>
      <c r="N33" s="38"/>
      <c r="O33" s="40"/>
      <c r="P33" s="45">
        <v>267549</v>
      </c>
      <c r="Q33" s="40"/>
      <c r="R33" s="38"/>
      <c r="S33" s="93"/>
      <c r="T33" s="45">
        <f>-14429.46-35002-470588.92-747318.35-267667.66+89674.04-203310-237172+180888.58+267549</f>
        <v>-1437376.7699999998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415689</v>
      </c>
      <c r="H35" s="29"/>
      <c r="I35" s="41">
        <v>355821</v>
      </c>
      <c r="J35" s="40"/>
      <c r="K35" s="40"/>
      <c r="L35" s="41">
        <v>5933339</v>
      </c>
      <c r="M35" s="40"/>
      <c r="N35" s="109">
        <v>9351.1200000000008</v>
      </c>
      <c r="O35" s="40"/>
      <c r="P35" s="41"/>
      <c r="Q35" s="40"/>
      <c r="R35" s="41">
        <f>9492+4780.26+2467.36+78.91+9351.12</f>
        <v>26169.65</v>
      </c>
      <c r="S35" s="40"/>
      <c r="T35" s="56">
        <v>0</v>
      </c>
      <c r="U35" s="40"/>
      <c r="V35" s="41">
        <v>226757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3267254</v>
      </c>
      <c r="H36" s="29"/>
      <c r="I36" s="116">
        <f>SUM(I29:I35)</f>
        <v>3481501</v>
      </c>
      <c r="J36" s="40"/>
      <c r="K36" s="40"/>
      <c r="L36" s="116">
        <f>SUM(L29:L35)</f>
        <v>7331611</v>
      </c>
      <c r="M36" s="40"/>
      <c r="N36" s="116">
        <f>SUM(N29:N35)</f>
        <v>15917.960000000001</v>
      </c>
      <c r="O36" s="40"/>
      <c r="P36" s="116">
        <f>SUM(P29:P35)</f>
        <v>267549</v>
      </c>
      <c r="Q36" s="40"/>
      <c r="R36" s="116">
        <f>SUM(R29:R35)</f>
        <v>128403.21999999997</v>
      </c>
      <c r="S36" s="40"/>
      <c r="T36" s="116">
        <f>SUM(T29:T35)</f>
        <v>-1455658.7699999998</v>
      </c>
      <c r="U36" s="40"/>
      <c r="V36" s="116">
        <f>SUM(V29:V35)</f>
        <v>284300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7240475.6500000004</v>
      </c>
      <c r="H38" s="29"/>
      <c r="I38" s="107">
        <f>+I36+I25+I19+I11</f>
        <v>7041179.6500000004</v>
      </c>
      <c r="J38" s="92"/>
      <c r="K38" s="92"/>
      <c r="L38" s="107">
        <f>+L36+L25+L19+L11</f>
        <v>9500939</v>
      </c>
      <c r="M38" s="92"/>
      <c r="N38" s="107">
        <f>+N36+N25+N19+N11</f>
        <v>17295.14</v>
      </c>
      <c r="O38" s="92"/>
      <c r="P38" s="107">
        <f>+P36+P25+P19+P11</f>
        <v>267549</v>
      </c>
      <c r="Q38" s="92"/>
      <c r="R38" s="107">
        <f>+R36+R25+R19+R11</f>
        <v>137326.52999999997</v>
      </c>
      <c r="S38" s="92"/>
      <c r="T38" s="107">
        <f>+T36+T25+T19+T11</f>
        <v>-1455658.7699999998</v>
      </c>
      <c r="U38" s="92"/>
      <c r="V38" s="107">
        <f>+V36+V25+V19+V11</f>
        <v>310156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April 2009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V57"/>
  <sheetViews>
    <sheetView topLeftCell="C1"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23"/>
    </row>
    <row r="2" spans="1:22" ht="12.75" thickBot="1">
      <c r="B2" s="35"/>
      <c r="C2" s="23"/>
      <c r="D2" s="426" t="s">
        <v>78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426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9" t="s">
        <v>127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6" t="s">
        <v>81</v>
      </c>
      <c r="O5" s="426"/>
      <c r="P5" s="426"/>
      <c r="Q5" s="26"/>
      <c r="R5" s="429" t="s">
        <v>82</v>
      </c>
      <c r="S5" s="429"/>
      <c r="T5" s="429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160</v>
      </c>
      <c r="H6" s="102"/>
      <c r="I6" s="69" t="s">
        <v>161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1164830</v>
      </c>
      <c r="H9" s="102"/>
      <c r="I9" s="103">
        <v>1398098</v>
      </c>
      <c r="J9" s="92"/>
      <c r="K9" s="92"/>
      <c r="L9" s="112">
        <v>1106476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1206122</v>
      </c>
      <c r="H10" s="102"/>
      <c r="I10" s="111">
        <v>1207120</v>
      </c>
      <c r="J10" s="92"/>
      <c r="K10" s="92"/>
      <c r="L10" s="72"/>
      <c r="M10" s="92"/>
      <c r="N10" s="56">
        <v>1004.55</v>
      </c>
      <c r="O10" s="92"/>
      <c r="P10" s="72"/>
      <c r="Q10" s="42"/>
      <c r="R10" s="123">
        <f>511+2110+2231.13+1298.17+1004.55</f>
        <v>7154.85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2370952</v>
      </c>
      <c r="H11" s="102"/>
      <c r="I11" s="103">
        <f>SUM(I9:I10)</f>
        <v>2605218</v>
      </c>
      <c r="J11" s="92"/>
      <c r="K11" s="92"/>
      <c r="L11" s="103">
        <f>SUM(L9:L10)</f>
        <v>1106476</v>
      </c>
      <c r="M11" s="92"/>
      <c r="N11" s="120">
        <f>SUM(N9:N10)</f>
        <v>1004.55</v>
      </c>
      <c r="O11" s="92"/>
      <c r="P11" s="120">
        <f>SUM(P9:P10)</f>
        <v>0</v>
      </c>
      <c r="Q11" s="85"/>
      <c r="R11" s="120">
        <f>SUM(R9:R10)</f>
        <v>7154.85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2975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133080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76808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2886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772965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11176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420295</v>
      </c>
      <c r="H24" s="29"/>
      <c r="I24" s="41">
        <v>420301</v>
      </c>
      <c r="J24" s="40"/>
      <c r="K24" s="40">
        <v>425705</v>
      </c>
      <c r="L24" s="41">
        <v>417480</v>
      </c>
      <c r="M24" s="129"/>
      <c r="N24" s="41">
        <v>5.31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16027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420295</v>
      </c>
      <c r="H25" s="29"/>
      <c r="I25" s="116">
        <f>SUM(I23:I24)</f>
        <v>420301</v>
      </c>
      <c r="J25" s="40"/>
      <c r="K25" s="40"/>
      <c r="L25" s="116">
        <f>SUM(L24:L24)</f>
        <v>417480</v>
      </c>
      <c r="M25" s="129"/>
      <c r="N25" s="116">
        <f>SUM(N23:N24)</f>
        <v>5.31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16027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1390217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63120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5281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4652966</v>
      </c>
      <c r="H32" s="29"/>
      <c r="I32" s="82">
        <v>4659583</v>
      </c>
      <c r="J32" s="40"/>
      <c r="K32" s="40"/>
      <c r="L32" s="37"/>
      <c r="M32" s="129"/>
      <c r="N32" s="38">
        <v>6616.95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-1527286</v>
      </c>
      <c r="H33" s="29"/>
      <c r="I33" s="45">
        <v>-1315143</v>
      </c>
      <c r="J33" s="40"/>
      <c r="K33" s="40"/>
      <c r="L33" s="37"/>
      <c r="M33" s="129"/>
      <c r="N33" s="38"/>
      <c r="O33" s="40"/>
      <c r="P33" s="45">
        <v>212143</v>
      </c>
      <c r="Q33" s="40"/>
      <c r="R33" s="38"/>
      <c r="S33" s="93"/>
      <c r="T33" s="45">
        <f>-14429.46-35002-470588.92-747318.35-267667.66+89674.04-203310-237172+180888.58+267549+212143</f>
        <v>-1225233.7699999998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355821</v>
      </c>
      <c r="H35" s="29"/>
      <c r="I35" s="41">
        <v>293556</v>
      </c>
      <c r="J35" s="40"/>
      <c r="K35" s="40"/>
      <c r="L35" s="41">
        <v>5943739</v>
      </c>
      <c r="M35" s="129"/>
      <c r="N35" s="109">
        <v>12086.41</v>
      </c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237002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3481501</v>
      </c>
      <c r="H36" s="29"/>
      <c r="I36" s="116">
        <f>SUM(I29:I35)</f>
        <v>3637996</v>
      </c>
      <c r="J36" s="40"/>
      <c r="K36" s="40"/>
      <c r="L36" s="116">
        <f>SUM(L29:L35)</f>
        <v>7347731</v>
      </c>
      <c r="M36" s="129"/>
      <c r="N36" s="116">
        <f>SUM(N29:N35)</f>
        <v>18703.36</v>
      </c>
      <c r="O36" s="40"/>
      <c r="P36" s="116">
        <f>SUM(P29:P35)</f>
        <v>212143</v>
      </c>
      <c r="Q36" s="40"/>
      <c r="R36" s="116">
        <f>SUM(R29:R35)</f>
        <v>136306.57999999999</v>
      </c>
      <c r="S36" s="40"/>
      <c r="T36" s="116">
        <f>SUM(T29:T35)</f>
        <v>-1243515.7699999998</v>
      </c>
      <c r="U36" s="40"/>
      <c r="V36" s="116">
        <f>SUM(V29:V35)</f>
        <v>300265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7041179.6500000004</v>
      </c>
      <c r="H38" s="29"/>
      <c r="I38" s="107">
        <f>+I36+I25+I19+I11</f>
        <v>7431946.6500000004</v>
      </c>
      <c r="J38" s="92"/>
      <c r="K38" s="92"/>
      <c r="L38" s="107">
        <f>+L36+L25+L19+L11</f>
        <v>9644652</v>
      </c>
      <c r="M38" s="129"/>
      <c r="N38" s="107">
        <f>+N36+N25+N19+N11</f>
        <v>19713.22</v>
      </c>
      <c r="O38" s="92"/>
      <c r="P38" s="107">
        <f>+P36+P25+P19+P11</f>
        <v>212143</v>
      </c>
      <c r="Q38" s="92"/>
      <c r="R38" s="107">
        <f>+R36+R25+R19+R11</f>
        <v>146239.75</v>
      </c>
      <c r="S38" s="92"/>
      <c r="T38" s="107">
        <f>+T36+T25+T19+T11</f>
        <v>-1243515.7699999998</v>
      </c>
      <c r="U38" s="92"/>
      <c r="V38" s="107">
        <f>+V36+V25+V19+V11</f>
        <v>327468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May 2009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V57"/>
  <sheetViews>
    <sheetView topLeftCell="D7" workbookViewId="0">
      <selection activeCell="C40" sqref="C4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23"/>
    </row>
    <row r="2" spans="1:22" ht="12.75" thickBot="1">
      <c r="B2" s="35"/>
      <c r="C2" s="23"/>
      <c r="D2" s="426" t="s">
        <v>78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426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9" t="s">
        <v>127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6" t="s">
        <v>81</v>
      </c>
      <c r="O5" s="426"/>
      <c r="P5" s="426"/>
      <c r="Q5" s="26"/>
      <c r="R5" s="429" t="s">
        <v>82</v>
      </c>
      <c r="S5" s="429"/>
      <c r="T5" s="429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03">
        <v>642485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1850656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82">
        <v>4674782</v>
      </c>
      <c r="J32" s="40"/>
      <c r="K32" s="40"/>
      <c r="L32" s="37"/>
      <c r="M32" s="129"/>
      <c r="N32" s="38">
        <v>15198.69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-1324311</v>
      </c>
      <c r="J33" s="40"/>
      <c r="K33" s="40"/>
      <c r="L33" s="37"/>
      <c r="M33" s="129"/>
      <c r="N33" s="38"/>
      <c r="O33" s="40"/>
      <c r="P33" s="45">
        <v>-9166.67</v>
      </c>
      <c r="Q33" s="40"/>
      <c r="R33" s="38"/>
      <c r="S33" s="93"/>
      <c r="T33" s="45">
        <f>-14429.46-35002-470588.92-747318.35-267667.66+89674.04-203310-237172+180888.58+267549+212143-9166.67</f>
        <v>-1234400.4399999997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41">
        <v>-49999</v>
      </c>
      <c r="J35" s="40"/>
      <c r="K35" s="40"/>
      <c r="L35" s="41">
        <v>5453746</v>
      </c>
      <c r="M35" s="129"/>
      <c r="N35" s="109"/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3300472</v>
      </c>
      <c r="J36" s="40"/>
      <c r="K36" s="40"/>
      <c r="L36" s="116">
        <f>SUM(L29:L35)</f>
        <v>6891535</v>
      </c>
      <c r="M36" s="129"/>
      <c r="N36" s="116">
        <f>SUM(N29:N35)</f>
        <v>15198.69</v>
      </c>
      <c r="O36" s="40"/>
      <c r="P36" s="116">
        <f>SUM(P29:P35)</f>
        <v>-9166.67</v>
      </c>
      <c r="Q36" s="40"/>
      <c r="R36" s="116">
        <f>SUM(R29:R35)</f>
        <v>136306.57999999999</v>
      </c>
      <c r="S36" s="40"/>
      <c r="T36" s="116">
        <f>SUM(T29:T35)</f>
        <v>-1252682.4399999997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6339860.6500000004</v>
      </c>
      <c r="J38" s="92"/>
      <c r="K38" s="92"/>
      <c r="L38" s="107">
        <f>+L36+L25+L19+L11</f>
        <v>8818504</v>
      </c>
      <c r="M38" s="129"/>
      <c r="N38" s="107">
        <f>+N36+N25+N19+N11</f>
        <v>16256.98</v>
      </c>
      <c r="O38" s="92"/>
      <c r="P38" s="107">
        <f>+P36+P25+P19+P11</f>
        <v>-9166.67</v>
      </c>
      <c r="Q38" s="92"/>
      <c r="R38" s="107">
        <f>+R36+R25+R19+R11</f>
        <v>147298.03999999998</v>
      </c>
      <c r="S38" s="92"/>
      <c r="T38" s="107">
        <f>+T36+T25+T19+T11</f>
        <v>-1252682.4399999997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Pre-Audit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indexed="13"/>
    <pageSetUpPr fitToPage="1"/>
  </sheetPr>
  <dimension ref="A1:V57"/>
  <sheetViews>
    <sheetView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23"/>
    </row>
    <row r="2" spans="1:22" ht="12.75" thickBot="1">
      <c r="B2" s="35"/>
      <c r="C2" s="23"/>
      <c r="D2" s="426" t="s">
        <v>78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426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9" t="s">
        <v>127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6" t="s">
        <v>81</v>
      </c>
      <c r="O5" s="426"/>
      <c r="P5" s="426"/>
      <c r="Q5" s="26"/>
      <c r="R5" s="429" t="s">
        <v>82</v>
      </c>
      <c r="S5" s="429"/>
      <c r="T5" s="429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30">
        <v>621455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1829626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43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131">
        <v>4674782</v>
      </c>
      <c r="J32" s="40"/>
      <c r="K32" s="40"/>
      <c r="L32" s="37"/>
      <c r="M32" s="129"/>
      <c r="N32" s="38">
        <v>15198.69</v>
      </c>
      <c r="O32" s="40"/>
      <c r="P32" s="45">
        <f>-9166.67</f>
        <v>-9166.67</v>
      </c>
      <c r="Q32" s="40"/>
      <c r="R32" s="38">
        <f>14620+8630+6897.18+6202.35+70095.7+15603+6155+8782.63+6566.84+6616.95+15199</f>
        <v>165368.65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-1324310</v>
      </c>
      <c r="J33" s="40"/>
      <c r="K33" s="40"/>
      <c r="L33" s="37"/>
      <c r="M33" s="129"/>
      <c r="N33" s="132">
        <v>-443657</v>
      </c>
      <c r="O33" s="133"/>
      <c r="P33" s="134">
        <v>443657</v>
      </c>
      <c r="Q33" s="40"/>
      <c r="R33" s="38">
        <v>-443657</v>
      </c>
      <c r="S33" s="93"/>
      <c r="T33" s="45">
        <f>-14429.46-35002-470588.92-747318.35-267667.66+89674.04-203310-237172+180888.58+267549+212143-9166.67+443657</f>
        <v>-790743.43999999971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38">
        <f>26355-6473-26355</f>
        <v>-6473</v>
      </c>
      <c r="O34" s="40"/>
      <c r="P34" s="45">
        <f>6473</f>
        <v>6473</v>
      </c>
      <c r="Q34" s="40"/>
      <c r="R34" s="119">
        <f>-26354.76-5074.24-3518-6372.13-6473</f>
        <v>-47792.13</v>
      </c>
      <c r="S34" s="93"/>
      <c r="T34" s="38">
        <v>6473</v>
      </c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135">
        <v>-36254</v>
      </c>
      <c r="J35" s="40"/>
      <c r="K35" s="40"/>
      <c r="L35" s="41">
        <v>5453746</v>
      </c>
      <c r="M35" s="129"/>
      <c r="N35" s="109"/>
      <c r="O35" s="40"/>
      <c r="P35" s="135">
        <v>13746</v>
      </c>
      <c r="Q35" s="40"/>
      <c r="R35" s="41">
        <f>9492+4780.26+2467.36+78.91+9351.12+1286.41</f>
        <v>27456.06</v>
      </c>
      <c r="S35" s="40"/>
      <c r="T35" s="56">
        <v>13746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3314218</v>
      </c>
      <c r="J36" s="40"/>
      <c r="K36" s="40"/>
      <c r="L36" s="116">
        <f>SUM(L29:L35)</f>
        <v>6891535</v>
      </c>
      <c r="M36" s="129"/>
      <c r="N36" s="116">
        <f>SUM(N29:N35)</f>
        <v>-434931.31</v>
      </c>
      <c r="O36" s="40"/>
      <c r="P36" s="116">
        <f>SUM(P29:P35)</f>
        <v>454709.33</v>
      </c>
      <c r="Q36" s="40"/>
      <c r="R36" s="116">
        <f>SUM(R29:R35)</f>
        <v>-298624.42</v>
      </c>
      <c r="S36" s="40"/>
      <c r="T36" s="116">
        <f>SUM(T29:T35)</f>
        <v>-788806.43999999971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6332576.6500000004</v>
      </c>
      <c r="J38" s="92"/>
      <c r="K38" s="92"/>
      <c r="L38" s="107">
        <f>+L36+L25+L19+L11</f>
        <v>8818504</v>
      </c>
      <c r="M38" s="129"/>
      <c r="N38" s="107">
        <f>+N36+N25+N19+N11</f>
        <v>-433873.02</v>
      </c>
      <c r="O38" s="92"/>
      <c r="P38" s="107">
        <f>+P36+P25+P19+P11</f>
        <v>454709.33</v>
      </c>
      <c r="Q38" s="92"/>
      <c r="R38" s="107">
        <f>+R36+R25+R19+R11</f>
        <v>-287632.95999999996</v>
      </c>
      <c r="S38" s="92"/>
      <c r="T38" s="107">
        <f>+T36+T25+T19+T11</f>
        <v>-788806.43999999971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126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Post-Audit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T50"/>
  <sheetViews>
    <sheetView topLeftCell="A2" workbookViewId="0">
      <pane xSplit="2" ySplit="7" topLeftCell="C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37563</v>
      </c>
      <c r="I7" s="4"/>
      <c r="J7" s="18">
        <v>37528</v>
      </c>
      <c r="K7" s="4"/>
      <c r="L7" s="18">
        <v>37192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1751</v>
      </c>
      <c r="Q11" s="13"/>
      <c r="R11" s="12">
        <v>1202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123107</v>
      </c>
      <c r="I14" s="13"/>
      <c r="J14" s="12">
        <v>122322</v>
      </c>
      <c r="K14" s="13"/>
      <c r="L14" s="12">
        <v>124596</v>
      </c>
      <c r="M14" s="13"/>
      <c r="N14" s="12">
        <v>784</v>
      </c>
      <c r="O14" s="13"/>
      <c r="P14" s="12">
        <v>1984</v>
      </c>
      <c r="Q14" s="13"/>
      <c r="R14" s="12">
        <v>1576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71494.31</v>
      </c>
      <c r="I15" s="13"/>
      <c r="J15" s="15">
        <v>71054</v>
      </c>
      <c r="K15" s="13"/>
      <c r="L15" s="15">
        <v>68349</v>
      </c>
      <c r="M15" s="13"/>
      <c r="N15" s="15">
        <v>441</v>
      </c>
      <c r="O15" s="13"/>
      <c r="P15" s="15">
        <v>1041</v>
      </c>
      <c r="Q15" s="13"/>
      <c r="R15" s="15">
        <v>579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757678.31</v>
      </c>
      <c r="I17" s="13"/>
      <c r="J17" s="16">
        <f>SUM(J11:J15)</f>
        <v>756453</v>
      </c>
      <c r="K17" s="13"/>
      <c r="L17" s="16">
        <f>SUM(L11:L15)</f>
        <v>756022</v>
      </c>
      <c r="M17" s="13"/>
      <c r="N17" s="16">
        <f>SUM(N11:N15)</f>
        <v>1657</v>
      </c>
      <c r="O17" s="13"/>
      <c r="P17" s="16">
        <f>SUM(P11:P15)</f>
        <v>4776</v>
      </c>
      <c r="Q17" s="13"/>
      <c r="R17" s="16">
        <f>SUM(R11:R15)</f>
        <v>3357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453262</v>
      </c>
      <c r="I24" s="13"/>
      <c r="J24" s="15">
        <v>451621</v>
      </c>
      <c r="K24" s="15">
        <v>425705</v>
      </c>
      <c r="L24" s="15">
        <v>436027</v>
      </c>
      <c r="M24" s="13"/>
      <c r="N24" s="15">
        <v>2173</v>
      </c>
      <c r="O24" s="13"/>
      <c r="P24" s="15">
        <v>7937</v>
      </c>
      <c r="Q24" s="13"/>
      <c r="R24" s="15">
        <v>4496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453262</v>
      </c>
      <c r="I26" s="13"/>
      <c r="J26" s="16">
        <f>SUM(J23:J24)</f>
        <v>451621</v>
      </c>
      <c r="K26" s="13"/>
      <c r="L26" s="16">
        <f>SUM(L23:L24)</f>
        <v>436027</v>
      </c>
      <c r="M26" s="13"/>
      <c r="N26" s="16">
        <f>SUM(N23:N24)</f>
        <v>2173</v>
      </c>
      <c r="O26" s="13"/>
      <c r="P26" s="16">
        <f>SUM(P23:P24)</f>
        <v>7937</v>
      </c>
      <c r="Q26" s="13"/>
      <c r="R26" s="16">
        <f>SUM(R23:R24)</f>
        <v>4496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4.53</v>
      </c>
      <c r="G32" s="7"/>
      <c r="H32" s="12">
        <v>1279066</v>
      </c>
      <c r="I32" s="13"/>
      <c r="J32" s="12">
        <v>1273625</v>
      </c>
      <c r="K32" s="13"/>
      <c r="L32" s="12">
        <v>1279054</v>
      </c>
      <c r="M32" s="13"/>
      <c r="N32" s="12">
        <v>5442</v>
      </c>
      <c r="O32" s="13" t="s">
        <v>31</v>
      </c>
      <c r="P32" s="12">
        <v>21631</v>
      </c>
      <c r="Q32" s="13"/>
      <c r="R32" s="12">
        <v>17713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4917</v>
      </c>
      <c r="I34" s="13"/>
      <c r="J34" s="12">
        <v>4897</v>
      </c>
      <c r="K34" s="13"/>
      <c r="L34" s="12">
        <v>4718</v>
      </c>
      <c r="M34" s="13"/>
      <c r="N34" s="12">
        <v>20</v>
      </c>
      <c r="O34" s="13"/>
      <c r="P34" s="12">
        <v>76</v>
      </c>
      <c r="Q34" s="13"/>
      <c r="R34" s="12">
        <v>48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7275892</v>
      </c>
      <c r="I35" s="13"/>
      <c r="J35" s="15">
        <v>8239134</v>
      </c>
      <c r="K35" s="13"/>
      <c r="L35" s="15">
        <v>6927446</v>
      </c>
      <c r="M35" s="13"/>
      <c r="N35" s="15">
        <v>36325</v>
      </c>
      <c r="O35" s="13"/>
      <c r="P35" s="15">
        <v>137744</v>
      </c>
      <c r="Q35" s="13"/>
      <c r="R35" s="15">
        <v>81437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8568499</v>
      </c>
      <c r="I37" s="13"/>
      <c r="J37" s="16">
        <f>SUM(J32:J35)</f>
        <v>9526280</v>
      </c>
      <c r="K37" s="13"/>
      <c r="L37" s="16">
        <f>SUM(L32:L35)</f>
        <v>8219906</v>
      </c>
      <c r="M37" s="13"/>
      <c r="N37" s="16">
        <f>SUM(N32:N35)</f>
        <v>41787</v>
      </c>
      <c r="O37" s="13"/>
      <c r="P37" s="16">
        <f>SUM(P32:P35)</f>
        <v>159451</v>
      </c>
      <c r="Q37" s="13"/>
      <c r="R37" s="16">
        <f>SUM(R32:R35)</f>
        <v>99198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X49"/>
  <sheetViews>
    <sheetView topLeftCell="C1" workbookViewId="0">
      <selection activeCell="I9" sqref="I9:I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8.140625" style="22" bestFit="1" customWidth="1"/>
    <col min="25" max="16384" width="11.42578125" style="22"/>
  </cols>
  <sheetData>
    <row r="1" spans="1:24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4" ht="12.75" thickBot="1">
      <c r="B2" s="35"/>
      <c r="C2" s="23"/>
      <c r="D2" s="426" t="s">
        <v>165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9" t="s">
        <v>127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6" t="s">
        <v>81</v>
      </c>
      <c r="O5" s="426"/>
      <c r="P5" s="426"/>
      <c r="Q5" s="26"/>
      <c r="R5" s="429" t="s">
        <v>82</v>
      </c>
      <c r="S5" s="429"/>
      <c r="T5" s="429"/>
      <c r="U5" s="26"/>
      <c r="V5" s="432" t="s">
        <v>166</v>
      </c>
      <c r="W5" s="432"/>
      <c r="X5" s="432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167</v>
      </c>
      <c r="H6" s="102"/>
      <c r="I6" s="69" t="s">
        <v>168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621455</v>
      </c>
      <c r="H9" s="102"/>
      <c r="I9" s="103">
        <v>687481</v>
      </c>
      <c r="J9" s="92"/>
      <c r="K9" s="92"/>
      <c r="L9" s="112">
        <v>657829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1208171</v>
      </c>
      <c r="H10" s="102"/>
      <c r="I10" s="111">
        <v>608795</v>
      </c>
      <c r="J10" s="92"/>
      <c r="K10" s="92"/>
      <c r="L10" s="72"/>
      <c r="M10" s="92"/>
      <c r="N10" s="56">
        <v>631</v>
      </c>
      <c r="O10" s="92"/>
      <c r="P10" s="72"/>
      <c r="Q10" s="42"/>
      <c r="R10" s="123">
        <v>631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1829626</v>
      </c>
      <c r="H11" s="102"/>
      <c r="I11" s="103">
        <f>SUM(I9:I10)</f>
        <v>1296276</v>
      </c>
      <c r="J11" s="92"/>
      <c r="K11" s="92"/>
      <c r="L11" s="103">
        <f>SUM(L9:L10)</f>
        <v>657829</v>
      </c>
      <c r="M11" s="92"/>
      <c r="N11" s="120">
        <f>SUM(N9:N10)</f>
        <v>631</v>
      </c>
      <c r="O11" s="92"/>
      <c r="P11" s="120">
        <f>SUM(P9:P10)</f>
        <v>0</v>
      </c>
      <c r="Q11" s="85"/>
      <c r="R11" s="120">
        <f>SUM(R9:R10)</f>
        <v>631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422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206315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500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-19784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200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1122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418536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1653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418536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1653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5651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20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4674782</v>
      </c>
      <c r="H31" s="29"/>
      <c r="I31" s="82">
        <v>4682405</v>
      </c>
      <c r="J31" s="40"/>
      <c r="K31" s="40"/>
      <c r="L31" s="37">
        <v>4509413</v>
      </c>
      <c r="M31" s="129"/>
      <c r="N31" s="38">
        <v>7623</v>
      </c>
      <c r="O31" s="40"/>
      <c r="P31" s="45">
        <v>249208.95999999999</v>
      </c>
      <c r="Q31" s="40"/>
      <c r="R31" s="38">
        <v>7623</v>
      </c>
      <c r="S31" s="93"/>
      <c r="T31" s="38">
        <v>249209</v>
      </c>
      <c r="U31" s="93"/>
      <c r="V31" s="38">
        <v>0</v>
      </c>
      <c r="W31" s="93"/>
      <c r="X31" s="38">
        <v>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-1324310</v>
      </c>
      <c r="H32" s="29"/>
      <c r="I32" s="45">
        <v>-1075101</v>
      </c>
      <c r="J32" s="40"/>
      <c r="K32" s="40"/>
      <c r="L32" s="45">
        <v>-71627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-36254</v>
      </c>
      <c r="H34" s="29"/>
      <c r="I34" s="41">
        <v>-21197</v>
      </c>
      <c r="J34" s="40"/>
      <c r="K34" s="40"/>
      <c r="L34" s="41">
        <v>1960028</v>
      </c>
      <c r="M34" s="129"/>
      <c r="N34" s="109"/>
      <c r="O34" s="40"/>
      <c r="P34" s="41">
        <v>15056.76</v>
      </c>
      <c r="Q34" s="40"/>
      <c r="R34" s="41">
        <v>0</v>
      </c>
      <c r="S34" s="40"/>
      <c r="T34" s="56">
        <v>15057</v>
      </c>
      <c r="U34" s="93"/>
      <c r="V34" s="41">
        <v>32090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3314218</v>
      </c>
      <c r="H35" s="29"/>
      <c r="I35" s="116">
        <f>SUM(I29:I34)</f>
        <v>3586107</v>
      </c>
      <c r="J35" s="40"/>
      <c r="K35" s="40"/>
      <c r="L35" s="116">
        <f>SUM(L29:L34)</f>
        <v>6397814</v>
      </c>
      <c r="M35" s="129"/>
      <c r="N35" s="116">
        <f>SUM(N29:N34)</f>
        <v>7623</v>
      </c>
      <c r="O35" s="40"/>
      <c r="P35" s="116">
        <f>SUM(P29:P34)</f>
        <v>264265.71999999997</v>
      </c>
      <c r="Q35" s="40"/>
      <c r="R35" s="116">
        <f>SUM(R29:R34)</f>
        <v>7623</v>
      </c>
      <c r="S35" s="40"/>
      <c r="T35" s="116">
        <f>SUM(T29:T34)</f>
        <v>264266</v>
      </c>
      <c r="U35" s="120"/>
      <c r="V35" s="116">
        <f>SUM(V29:V34)</f>
        <v>37761</v>
      </c>
      <c r="W35" s="40"/>
      <c r="X35" s="116">
        <f>SUM(X29:X34)</f>
        <v>0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6332576.6500000004</v>
      </c>
      <c r="H37" s="29"/>
      <c r="I37" s="107">
        <f>+I35+I25+I19+I11</f>
        <v>6071115.6500000004</v>
      </c>
      <c r="J37" s="92"/>
      <c r="K37" s="92"/>
      <c r="L37" s="107">
        <f>+L35+L25+L19+L11</f>
        <v>8242611</v>
      </c>
      <c r="M37" s="129"/>
      <c r="N37" s="107">
        <f>+N35+N25+N19+N11</f>
        <v>8254</v>
      </c>
      <c r="O37" s="92"/>
      <c r="P37" s="107">
        <f>+P35+P25+P19+P11</f>
        <v>264265.71999999997</v>
      </c>
      <c r="Q37" s="92"/>
      <c r="R37" s="107">
        <f>+R35+R25+R19+R11</f>
        <v>8254</v>
      </c>
      <c r="S37" s="92"/>
      <c r="T37" s="107">
        <f>+T35+T25+T19+T11</f>
        <v>264266</v>
      </c>
      <c r="U37" s="120"/>
      <c r="V37" s="107">
        <f>+V35+V25+V19+V11</f>
        <v>40536</v>
      </c>
      <c r="W37" s="92"/>
      <c r="X37" s="107">
        <f>+X35+X25+X19+X11</f>
        <v>0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9" orientation="landscape" r:id="rId1"/>
  <headerFooter alignWithMargins="0">
    <oddFooter xml:space="preserve">&amp;CInvestment Report - July 2009 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X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9.140625" style="22" bestFit="1" customWidth="1"/>
    <col min="25" max="16384" width="11.42578125" style="22"/>
  </cols>
  <sheetData>
    <row r="1" spans="1:24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4" ht="12.75" thickBot="1">
      <c r="B2" s="35"/>
      <c r="C2" s="23"/>
      <c r="D2" s="426" t="s">
        <v>165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9" t="s">
        <v>127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6" t="s">
        <v>81</v>
      </c>
      <c r="O5" s="426"/>
      <c r="P5" s="426"/>
      <c r="Q5" s="26"/>
      <c r="R5" s="429" t="s">
        <v>82</v>
      </c>
      <c r="S5" s="429"/>
      <c r="T5" s="429"/>
      <c r="U5" s="26"/>
      <c r="V5" s="432" t="s">
        <v>166</v>
      </c>
      <c r="W5" s="432"/>
      <c r="X5" s="432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169</v>
      </c>
      <c r="H6" s="102"/>
      <c r="I6" s="69" t="s">
        <v>170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687481</v>
      </c>
      <c r="H9" s="102"/>
      <c r="I9" s="103">
        <v>1794145</v>
      </c>
      <c r="J9" s="92"/>
      <c r="K9" s="92"/>
      <c r="L9" s="112">
        <v>1381448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608795</v>
      </c>
      <c r="H10" s="102"/>
      <c r="I10" s="111">
        <v>108942</v>
      </c>
      <c r="J10" s="92"/>
      <c r="K10" s="92"/>
      <c r="L10" s="72"/>
      <c r="M10" s="92"/>
      <c r="N10" s="56">
        <v>154.21</v>
      </c>
      <c r="O10" s="92"/>
      <c r="P10" s="72"/>
      <c r="Q10" s="42"/>
      <c r="R10" s="123">
        <f>631+154.21</f>
        <v>785.21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1296276</v>
      </c>
      <c r="H11" s="102"/>
      <c r="I11" s="103">
        <f>SUM(I9:I10)</f>
        <v>1903087</v>
      </c>
      <c r="J11" s="92"/>
      <c r="K11" s="92"/>
      <c r="L11" s="103">
        <f>SUM(L9:L10)</f>
        <v>1381448</v>
      </c>
      <c r="M11" s="92"/>
      <c r="N11" s="120">
        <f>SUM(N9:N10)</f>
        <v>154.21</v>
      </c>
      <c r="O11" s="92"/>
      <c r="P11" s="120">
        <f>SUM(P9:P10)</f>
        <v>0</v>
      </c>
      <c r="Q11" s="85"/>
      <c r="R11" s="120">
        <f>SUM(R9:R10)</f>
        <v>785.21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290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290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419116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419116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4682405</v>
      </c>
      <c r="H31" s="29"/>
      <c r="I31" s="82">
        <v>4189682</v>
      </c>
      <c r="J31" s="40"/>
      <c r="K31" s="40"/>
      <c r="L31" s="37">
        <v>4524033</v>
      </c>
      <c r="M31" s="129"/>
      <c r="N31" s="38">
        <v>7277</v>
      </c>
      <c r="O31" s="40"/>
      <c r="P31" s="45">
        <v>97084.26</v>
      </c>
      <c r="Q31" s="40"/>
      <c r="R31" s="38">
        <f>7623+7277</f>
        <v>14900</v>
      </c>
      <c r="S31" s="93"/>
      <c r="T31" s="38">
        <f>249209+97084</f>
        <v>346293</v>
      </c>
      <c r="U31" s="93"/>
      <c r="V31" s="38">
        <v>14620</v>
      </c>
      <c r="W31" s="93"/>
      <c r="X31" s="38">
        <v>-49431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-1075101</v>
      </c>
      <c r="H32" s="29"/>
      <c r="I32" s="45">
        <v>-978017</v>
      </c>
      <c r="J32" s="40"/>
      <c r="K32" s="40"/>
      <c r="L32" s="45">
        <v>-139340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-21197</v>
      </c>
      <c r="H34" s="29"/>
      <c r="I34" s="45">
        <v>-76661</v>
      </c>
      <c r="J34" s="40"/>
      <c r="K34" s="40"/>
      <c r="L34" s="41">
        <v>1713527</v>
      </c>
      <c r="M34" s="129"/>
      <c r="N34" s="109"/>
      <c r="O34" s="40"/>
      <c r="P34" s="41">
        <v>11196.28</v>
      </c>
      <c r="Q34" s="40"/>
      <c r="R34" s="41">
        <v>0</v>
      </c>
      <c r="S34" s="40"/>
      <c r="T34" s="56">
        <f>15057+11196.28</f>
        <v>26253.279999999999</v>
      </c>
      <c r="U34" s="93"/>
      <c r="V34" s="41">
        <v>9492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3586107</v>
      </c>
      <c r="H35" s="29"/>
      <c r="I35" s="116">
        <f>SUM(I29:I34)</f>
        <v>3135004</v>
      </c>
      <c r="J35" s="40"/>
      <c r="K35" s="40"/>
      <c r="L35" s="116">
        <f>SUM(L29:L34)</f>
        <v>6098220</v>
      </c>
      <c r="M35" s="129"/>
      <c r="N35" s="116">
        <f>SUM(N29:N34)</f>
        <v>7277</v>
      </c>
      <c r="O35" s="40"/>
      <c r="P35" s="116">
        <f>SUM(P29:P34)</f>
        <v>108280.54</v>
      </c>
      <c r="Q35" s="40"/>
      <c r="R35" s="116">
        <f>SUM(R29:R34)</f>
        <v>14900</v>
      </c>
      <c r="S35" s="40"/>
      <c r="T35" s="116">
        <f>SUM(T29:T34)</f>
        <v>372546.28</v>
      </c>
      <c r="U35" s="120"/>
      <c r="V35" s="116">
        <f>SUM(V29:V34)</f>
        <v>24112</v>
      </c>
      <c r="W35" s="40"/>
      <c r="X35" s="116">
        <f>SUM(X29:X34)</f>
        <v>-67713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6071115.6500000004</v>
      </c>
      <c r="H37" s="29"/>
      <c r="I37" s="107">
        <f>+I35+I25+I19+I11</f>
        <v>6226823.6500000004</v>
      </c>
      <c r="J37" s="92"/>
      <c r="K37" s="92"/>
      <c r="L37" s="107">
        <f>+L35+L25+L19+L11</f>
        <v>8667216</v>
      </c>
      <c r="M37" s="129"/>
      <c r="N37" s="107">
        <f>+N35+N25+N19+N11</f>
        <v>7431.21</v>
      </c>
      <c r="O37" s="92"/>
      <c r="P37" s="107">
        <f>+P35+P25+P19+P11</f>
        <v>108280.54</v>
      </c>
      <c r="Q37" s="92"/>
      <c r="R37" s="107">
        <f>+R35+R25+R19+R11</f>
        <v>15685.21</v>
      </c>
      <c r="S37" s="92"/>
      <c r="T37" s="107">
        <f>+T35+T25+T19+T11</f>
        <v>372546.28</v>
      </c>
      <c r="U37" s="120"/>
      <c r="V37" s="107">
        <f>+V35+V25+V19+V11</f>
        <v>25520</v>
      </c>
      <c r="W37" s="92"/>
      <c r="X37" s="107">
        <f>+X35+X25+X19+X11</f>
        <v>-67713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8" orientation="landscape" r:id="rId1"/>
  <headerFooter alignWithMargins="0">
    <oddFooter xml:space="preserve">&amp;CInvestment Report - August 2009 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X49"/>
  <sheetViews>
    <sheetView topLeftCell="E1" workbookViewId="0">
      <selection activeCell="I49" sqref="I49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4" ht="12.75" thickBot="1">
      <c r="B2" s="35"/>
      <c r="C2" s="23"/>
      <c r="D2" s="426" t="s">
        <v>165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9" t="s">
        <v>127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6" t="s">
        <v>81</v>
      </c>
      <c r="O5" s="426"/>
      <c r="P5" s="426"/>
      <c r="Q5" s="26"/>
      <c r="R5" s="429" t="s">
        <v>82</v>
      </c>
      <c r="S5" s="429"/>
      <c r="T5" s="429"/>
      <c r="U5" s="26"/>
      <c r="V5" s="432" t="s">
        <v>166</v>
      </c>
      <c r="W5" s="432"/>
      <c r="X5" s="432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171</v>
      </c>
      <c r="H6" s="102"/>
      <c r="I6" s="69" t="s">
        <v>172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1794145</v>
      </c>
      <c r="H9" s="102"/>
      <c r="I9" s="103">
        <v>4610976</v>
      </c>
      <c r="J9" s="92"/>
      <c r="K9" s="92"/>
      <c r="L9" s="112">
        <v>2042080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108942</v>
      </c>
      <c r="H10" s="102"/>
      <c r="I10" s="111">
        <v>1264540</v>
      </c>
      <c r="J10" s="92"/>
      <c r="K10" s="92"/>
      <c r="L10" s="72"/>
      <c r="M10" s="92"/>
      <c r="N10" s="56">
        <v>2041</v>
      </c>
      <c r="O10" s="92"/>
      <c r="P10" s="72"/>
      <c r="Q10" s="42"/>
      <c r="R10" s="123">
        <f>631+154.21+2041</f>
        <v>2826.21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1903087</v>
      </c>
      <c r="H11" s="102"/>
      <c r="I11" s="103">
        <f>SUM(I9:I10)</f>
        <v>5875516</v>
      </c>
      <c r="J11" s="92"/>
      <c r="K11" s="92"/>
      <c r="L11" s="103">
        <f>SUM(L9:L10)</f>
        <v>2042080</v>
      </c>
      <c r="M11" s="92"/>
      <c r="N11" s="120">
        <f>SUM(N9:N10)</f>
        <v>2041</v>
      </c>
      <c r="O11" s="92"/>
      <c r="P11" s="120">
        <f>SUM(P9:P10)</f>
        <v>0</v>
      </c>
      <c r="Q11" s="85"/>
      <c r="R11" s="120">
        <f>SUM(R9:R10)</f>
        <v>2826.21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406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406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419725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1727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419725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1727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4189682</v>
      </c>
      <c r="H31" s="29"/>
      <c r="I31" s="82">
        <v>4698701</v>
      </c>
      <c r="J31" s="40"/>
      <c r="K31" s="40"/>
      <c r="L31" s="37">
        <v>4532663</v>
      </c>
      <c r="M31" s="129"/>
      <c r="N31" s="38">
        <v>9019</v>
      </c>
      <c r="O31" s="40"/>
      <c r="P31" s="45">
        <v>160047.47</v>
      </c>
      <c r="Q31" s="40"/>
      <c r="R31" s="38">
        <f>7623+7277+9019</f>
        <v>23919</v>
      </c>
      <c r="S31" s="93"/>
      <c r="T31" s="38">
        <f>249209+97084+160047.47</f>
        <v>506340.47</v>
      </c>
      <c r="U31" s="93"/>
      <c r="V31" s="38">
        <v>23250</v>
      </c>
      <c r="W31" s="93"/>
      <c r="X31" s="38">
        <v>-520020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-978017</v>
      </c>
      <c r="H32" s="29"/>
      <c r="I32" s="45">
        <v>-817969</v>
      </c>
      <c r="J32" s="40"/>
      <c r="K32" s="40"/>
      <c r="L32" s="45">
        <v>-609929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5">
        <v>-76661</v>
      </c>
      <c r="H34" s="29"/>
      <c r="I34" s="45">
        <v>-157296</v>
      </c>
      <c r="J34" s="40"/>
      <c r="K34" s="40"/>
      <c r="L34" s="41">
        <v>4218423</v>
      </c>
      <c r="M34" s="129"/>
      <c r="N34" s="109"/>
      <c r="O34" s="40"/>
      <c r="P34" s="41">
        <v>6535.42</v>
      </c>
      <c r="Q34" s="40"/>
      <c r="R34" s="41">
        <v>0</v>
      </c>
      <c r="S34" s="40"/>
      <c r="T34" s="56">
        <f>15057+11196.28+6535.42</f>
        <v>32788.699999999997</v>
      </c>
      <c r="U34" s="93"/>
      <c r="V34" s="41">
        <v>14272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3135004</v>
      </c>
      <c r="H35" s="29"/>
      <c r="I35" s="116">
        <f>SUM(I29:I34)</f>
        <v>3723436</v>
      </c>
      <c r="J35" s="40"/>
      <c r="K35" s="40"/>
      <c r="L35" s="116">
        <f>SUM(L29:L34)</f>
        <v>8141157</v>
      </c>
      <c r="M35" s="129"/>
      <c r="N35" s="116">
        <f>SUM(N29:N34)</f>
        <v>9019</v>
      </c>
      <c r="O35" s="40"/>
      <c r="P35" s="116">
        <f>SUM(P29:P34)</f>
        <v>166582.89000000001</v>
      </c>
      <c r="Q35" s="40"/>
      <c r="R35" s="116">
        <f>SUM(R29:R34)</f>
        <v>23919</v>
      </c>
      <c r="S35" s="40"/>
      <c r="T35" s="116">
        <f>SUM(T29:T34)</f>
        <v>539129.16999999993</v>
      </c>
      <c r="U35" s="120"/>
      <c r="V35" s="116">
        <f>SUM(V29:V34)</f>
        <v>37522</v>
      </c>
      <c r="W35" s="40"/>
      <c r="X35" s="116">
        <f>SUM(X29:X34)</f>
        <v>-538302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6226823.6500000004</v>
      </c>
      <c r="H37" s="29"/>
      <c r="I37" s="107">
        <f>+I35+I25+I19+I11</f>
        <v>10787684.65</v>
      </c>
      <c r="J37" s="92"/>
      <c r="K37" s="92"/>
      <c r="L37" s="107">
        <f>+L35+L25+L19+L11</f>
        <v>11371394</v>
      </c>
      <c r="M37" s="129"/>
      <c r="N37" s="107">
        <f>+N35+N25+N19+N11</f>
        <v>11060</v>
      </c>
      <c r="O37" s="92"/>
      <c r="P37" s="107">
        <f>+P35+P25+P19+P11</f>
        <v>166582.89000000001</v>
      </c>
      <c r="Q37" s="92"/>
      <c r="R37" s="107">
        <f>+R35+R25+R19+R11</f>
        <v>26745.21</v>
      </c>
      <c r="S37" s="92"/>
      <c r="T37" s="107">
        <f>+T35+T25+T19+T11</f>
        <v>539129.16999999993</v>
      </c>
      <c r="U37" s="120"/>
      <c r="V37" s="107">
        <f>+V35+V25+V19+V11</f>
        <v>39655</v>
      </c>
      <c r="W37" s="92"/>
      <c r="X37" s="107">
        <f>+X35+X25+X19+X11</f>
        <v>-538302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7" orientation="landscape" r:id="rId1"/>
  <headerFooter alignWithMargins="0">
    <oddFooter xml:space="preserve">&amp;CInvestment Report - September 2009 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A49"/>
  <sheetViews>
    <sheetView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7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7" ht="12.75" thickBot="1">
      <c r="B2" s="35"/>
      <c r="C2" s="23"/>
      <c r="D2" s="426" t="s">
        <v>165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7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7" ht="12.75" thickBot="1">
      <c r="B4" s="23"/>
      <c r="C4" s="23"/>
      <c r="D4" s="23"/>
      <c r="E4" s="23"/>
      <c r="F4" s="23"/>
      <c r="G4" s="429" t="s">
        <v>127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7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6" t="s">
        <v>81</v>
      </c>
      <c r="O5" s="426"/>
      <c r="P5" s="426"/>
      <c r="Q5" s="26"/>
      <c r="R5" s="429" t="s">
        <v>82</v>
      </c>
      <c r="S5" s="429"/>
      <c r="T5" s="429"/>
      <c r="U5" s="26"/>
      <c r="V5" s="432" t="s">
        <v>166</v>
      </c>
      <c r="W5" s="432"/>
      <c r="X5" s="432"/>
    </row>
    <row r="6" spans="1:27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173</v>
      </c>
      <c r="H6" s="102"/>
      <c r="I6" s="69" t="s">
        <v>174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Z6" s="77" t="s">
        <v>12</v>
      </c>
      <c r="AA6" s="78" t="s">
        <v>86</v>
      </c>
    </row>
    <row r="7" spans="1:27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Z7" s="85"/>
      <c r="AA7" s="86"/>
    </row>
    <row r="8" spans="1:27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Z8" s="38">
        <v>0</v>
      </c>
      <c r="AA8" s="38">
        <v>0</v>
      </c>
    </row>
    <row r="9" spans="1:27">
      <c r="A9" s="66"/>
      <c r="B9" s="23" t="s">
        <v>144</v>
      </c>
      <c r="C9" s="23"/>
      <c r="D9" s="23"/>
      <c r="E9" s="25"/>
      <c r="F9" s="103"/>
      <c r="G9" s="103">
        <v>1264540</v>
      </c>
      <c r="H9" s="102"/>
      <c r="I9" s="103">
        <v>322823</v>
      </c>
      <c r="J9" s="92"/>
      <c r="K9" s="92"/>
      <c r="L9" s="112">
        <v>650283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Z9" s="85"/>
      <c r="AA9" s="86"/>
    </row>
    <row r="10" spans="1:27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4610976</v>
      </c>
      <c r="H10" s="102"/>
      <c r="I10" s="111">
        <v>3613326</v>
      </c>
      <c r="J10" s="92"/>
      <c r="K10" s="92"/>
      <c r="L10" s="72"/>
      <c r="M10" s="92"/>
      <c r="N10" s="56">
        <v>2356.54</v>
      </c>
      <c r="O10" s="92"/>
      <c r="P10" s="72"/>
      <c r="Q10" s="42"/>
      <c r="R10" s="123">
        <f>631+154.21+2041+2356.54</f>
        <v>5182.75</v>
      </c>
      <c r="S10" s="42"/>
      <c r="T10" s="108"/>
      <c r="U10" s="86"/>
      <c r="V10" s="123"/>
      <c r="W10" s="42"/>
      <c r="X10" s="108"/>
      <c r="Z10" s="29"/>
      <c r="AA10" s="55"/>
    </row>
    <row r="11" spans="1:27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5875516</v>
      </c>
      <c r="H11" s="102"/>
      <c r="I11" s="103">
        <f>SUM(I9:I10)</f>
        <v>3936149</v>
      </c>
      <c r="J11" s="92"/>
      <c r="K11" s="92"/>
      <c r="L11" s="103">
        <f>SUM(L9:L10)</f>
        <v>650283</v>
      </c>
      <c r="M11" s="92"/>
      <c r="N11" s="120">
        <f>SUM(N9:N10)</f>
        <v>2356.54</v>
      </c>
      <c r="O11" s="92"/>
      <c r="P11" s="120">
        <f>SUM(P9:P10)</f>
        <v>0</v>
      </c>
      <c r="Q11" s="85"/>
      <c r="R11" s="120">
        <f>SUM(R9:R10)</f>
        <v>5182.75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  <c r="Z11" s="37">
        <f>290+116+63.1</f>
        <v>469.1</v>
      </c>
      <c r="AA11" s="38">
        <v>0</v>
      </c>
    </row>
    <row r="12" spans="1:27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Z12" s="37"/>
      <c r="AA12" s="38"/>
    </row>
    <row r="13" spans="1:27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Z13" s="37">
        <v>0</v>
      </c>
      <c r="AA13" s="38">
        <v>0</v>
      </c>
    </row>
    <row r="14" spans="1:27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Z14" s="41">
        <v>0</v>
      </c>
      <c r="AA14" s="56">
        <v>0</v>
      </c>
    </row>
    <row r="15" spans="1:27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469</v>
      </c>
      <c r="W15" s="40"/>
      <c r="X15" s="113">
        <v>0</v>
      </c>
      <c r="Z15" s="88">
        <f>SUM(Z11:Z14)</f>
        <v>469.1</v>
      </c>
      <c r="AA15" s="90">
        <f>SUM(AA11:AA14)</f>
        <v>0</v>
      </c>
    </row>
    <row r="16" spans="1:27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Z16" s="37"/>
      <c r="AA16" s="38"/>
    </row>
    <row r="17" spans="1:27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Z17" s="37"/>
      <c r="AA17" s="38"/>
    </row>
    <row r="18" spans="1:27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Z18" s="37"/>
      <c r="AA18" s="38"/>
    </row>
    <row r="19" spans="1:27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469</v>
      </c>
      <c r="W19" s="118"/>
      <c r="X19" s="116">
        <f>SUM(X15:X18)</f>
        <v>0</v>
      </c>
      <c r="Z19" s="37"/>
      <c r="AA19" s="38"/>
    </row>
    <row r="20" spans="1:27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Z20" s="41">
        <f>1118+608.62+414.71</f>
        <v>2141.33</v>
      </c>
      <c r="AA20" s="56">
        <v>0</v>
      </c>
    </row>
    <row r="21" spans="1:27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Z21" s="88">
        <f>SUM(Z19:Z20)</f>
        <v>2141.33</v>
      </c>
      <c r="AA21" s="90">
        <f>SUM(AA19:AA20)</f>
        <v>0</v>
      </c>
    </row>
    <row r="22" spans="1:27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Z22" s="37"/>
      <c r="AA22" s="38"/>
    </row>
    <row r="23" spans="1:27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Z23" s="37"/>
      <c r="AA23" s="38"/>
    </row>
    <row r="24" spans="1:27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420139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2141</v>
      </c>
      <c r="W24" s="40"/>
      <c r="X24" s="56">
        <v>0</v>
      </c>
      <c r="Z24" s="37"/>
      <c r="AA24" s="38"/>
    </row>
    <row r="25" spans="1:27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420139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2141</v>
      </c>
      <c r="W25" s="40"/>
      <c r="X25" s="116">
        <f>SUM(X23:X24)</f>
        <v>0</v>
      </c>
      <c r="Z25" s="37"/>
      <c r="AA25" s="38">
        <v>-18282</v>
      </c>
    </row>
    <row r="26" spans="1:27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Z26" s="37"/>
      <c r="AA26" s="38"/>
    </row>
    <row r="27" spans="1:27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Z27" s="38">
        <v>0</v>
      </c>
      <c r="AA27" s="38">
        <v>0</v>
      </c>
    </row>
    <row r="28" spans="1:27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Z28" s="38">
        <f>14620+8630+6897.18</f>
        <v>30147.18</v>
      </c>
      <c r="AA28" s="38"/>
    </row>
    <row r="29" spans="1:27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  <c r="Z29" s="38"/>
      <c r="AA29" s="38">
        <f>-14429.46-35002-470588.92-747318.35</f>
        <v>-1267338.73</v>
      </c>
    </row>
    <row r="30" spans="1:27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Z30" s="41">
        <f>9492+4780.26+2467.36</f>
        <v>16739.62</v>
      </c>
      <c r="AA30" s="56">
        <v>0</v>
      </c>
    </row>
    <row r="31" spans="1:27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4698701</v>
      </c>
      <c r="H31" s="29"/>
      <c r="I31" s="82">
        <v>4704757</v>
      </c>
      <c r="J31" s="40"/>
      <c r="K31" s="40"/>
      <c r="L31" s="37">
        <v>4539560</v>
      </c>
      <c r="M31" s="129"/>
      <c r="N31" s="38">
        <v>6056.28</v>
      </c>
      <c r="O31" s="40"/>
      <c r="P31" s="45">
        <v>-69232.960000000006</v>
      </c>
      <c r="Q31" s="40"/>
      <c r="R31" s="38">
        <f>7623+7277+9019+6056.28</f>
        <v>29975.279999999999</v>
      </c>
      <c r="S31" s="93"/>
      <c r="T31" s="38">
        <f>249209+97084+160047.47-69232.96</f>
        <v>437107.50999999995</v>
      </c>
      <c r="U31" s="93"/>
      <c r="V31" s="38">
        <v>30147</v>
      </c>
      <c r="W31" s="93"/>
      <c r="X31" s="38">
        <v>-1267339</v>
      </c>
      <c r="Z31" s="88">
        <f>SUM(Z25:Z30)</f>
        <v>46886.8</v>
      </c>
      <c r="AA31" s="90">
        <f>SUM(AA25:AA30)</f>
        <v>-1285620.73</v>
      </c>
    </row>
    <row r="32" spans="1:27">
      <c r="A32" s="29" t="s">
        <v>98</v>
      </c>
      <c r="B32" s="29" t="s">
        <v>117</v>
      </c>
      <c r="C32" s="29"/>
      <c r="D32" s="29"/>
      <c r="E32" s="30"/>
      <c r="F32" s="138"/>
      <c r="G32" s="45">
        <v>-817969</v>
      </c>
      <c r="H32" s="29"/>
      <c r="I32" s="45">
        <v>-887202</v>
      </c>
      <c r="J32" s="40"/>
      <c r="K32" s="40"/>
      <c r="L32" s="45">
        <v>-1357247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  <c r="Z32" s="23"/>
      <c r="AA32" s="23"/>
    </row>
    <row r="33" spans="1:27" ht="12.75" thickBot="1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  <c r="Z33" s="94">
        <f>+Z31+Z21+Z15+Z8</f>
        <v>49497.23</v>
      </c>
      <c r="AA33" s="94">
        <f>+AA31+AA21+AA15+AA8</f>
        <v>-1285620.73</v>
      </c>
    </row>
    <row r="34" spans="1:27" ht="12.75" thickTop="1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-157296</v>
      </c>
      <c r="H34" s="29"/>
      <c r="I34" s="45">
        <v>-160253</v>
      </c>
      <c r="J34" s="40"/>
      <c r="K34" s="40"/>
      <c r="L34" s="41">
        <v>3220954</v>
      </c>
      <c r="M34" s="129"/>
      <c r="N34" s="109"/>
      <c r="O34" s="40"/>
      <c r="P34" s="41">
        <v>-2957.56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16740</v>
      </c>
      <c r="W34" s="40"/>
      <c r="X34" s="56">
        <v>0</v>
      </c>
    </row>
    <row r="35" spans="1:27">
      <c r="B35" s="28" t="s">
        <v>137</v>
      </c>
      <c r="C35" s="23"/>
      <c r="D35" s="23"/>
      <c r="E35" s="23"/>
      <c r="F35" s="32"/>
      <c r="G35" s="116">
        <f>SUM(G29:G34)</f>
        <v>3723436</v>
      </c>
      <c r="H35" s="29"/>
      <c r="I35" s="116">
        <f>SUM(I29:I34)</f>
        <v>3657302</v>
      </c>
      <c r="J35" s="40"/>
      <c r="K35" s="40"/>
      <c r="L35" s="116">
        <f>SUM(L29:L34)</f>
        <v>6403267</v>
      </c>
      <c r="M35" s="129"/>
      <c r="N35" s="116">
        <f>SUM(N29:N34)</f>
        <v>6056.28</v>
      </c>
      <c r="O35" s="40"/>
      <c r="P35" s="116">
        <f>SUM(P29:P34)</f>
        <v>-72190.52</v>
      </c>
      <c r="Q35" s="40"/>
      <c r="R35" s="116">
        <f>SUM(R29:R34)</f>
        <v>29975.279999999999</v>
      </c>
      <c r="S35" s="40"/>
      <c r="T35" s="116">
        <f>SUM(T29:T34)</f>
        <v>466938.64999999997</v>
      </c>
      <c r="U35" s="120"/>
      <c r="V35" s="116">
        <f>SUM(V29:V34)</f>
        <v>46887</v>
      </c>
      <c r="W35" s="40"/>
      <c r="X35" s="116">
        <f>SUM(X29:X34)</f>
        <v>-1285621</v>
      </c>
    </row>
    <row r="36" spans="1:27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7" ht="12.75" thickBot="1">
      <c r="B37" s="28" t="s">
        <v>138</v>
      </c>
      <c r="C37" s="23"/>
      <c r="D37" s="23"/>
      <c r="E37" s="23"/>
      <c r="F37" s="139"/>
      <c r="G37" s="107">
        <f>+G35+G25+G19+G11</f>
        <v>10787684.65</v>
      </c>
      <c r="H37" s="29"/>
      <c r="I37" s="107">
        <f>+I35+I25+I19+I11</f>
        <v>8782183.6500000004</v>
      </c>
      <c r="J37" s="92"/>
      <c r="K37" s="92"/>
      <c r="L37" s="107">
        <f>+L35+L25+L19+L11</f>
        <v>8242121</v>
      </c>
      <c r="M37" s="129"/>
      <c r="N37" s="107">
        <f>+N35+N25+N19+N11</f>
        <v>8412.82</v>
      </c>
      <c r="O37" s="92"/>
      <c r="P37" s="107">
        <f>+P35+P25+P19+P11</f>
        <v>-72190.52</v>
      </c>
      <c r="Q37" s="92"/>
      <c r="R37" s="107">
        <f>+R35+R25+R19+R11</f>
        <v>35158.03</v>
      </c>
      <c r="S37" s="92"/>
      <c r="T37" s="107">
        <f>+T35+T25+T19+T11</f>
        <v>466938.64999999997</v>
      </c>
      <c r="U37" s="120"/>
      <c r="V37" s="107">
        <f>+V35+V25+V19+V11</f>
        <v>49497</v>
      </c>
      <c r="W37" s="92"/>
      <c r="X37" s="107">
        <f>+X35+X25+X19+X11</f>
        <v>-1285621</v>
      </c>
    </row>
    <row r="38" spans="1:27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7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7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7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7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7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7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7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7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7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7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3" orientation="landscape" r:id="rId1"/>
  <headerFooter alignWithMargins="0">
    <oddFooter xml:space="preserve">&amp;CInvestment Report - October 2009 
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X77"/>
  <sheetViews>
    <sheetView topLeftCell="E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6.140625" style="22" customWidth="1"/>
    <col min="25" max="16384" width="11.42578125" style="22"/>
  </cols>
  <sheetData>
    <row r="1" spans="1:24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4" ht="12.75" thickBot="1">
      <c r="B2" s="35"/>
      <c r="C2" s="23"/>
      <c r="D2" s="426" t="s">
        <v>165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9" t="s">
        <v>127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6" t="s">
        <v>81</v>
      </c>
      <c r="O5" s="426"/>
      <c r="P5" s="426"/>
      <c r="Q5" s="26"/>
      <c r="R5" s="429" t="s">
        <v>82</v>
      </c>
      <c r="S5" s="429"/>
      <c r="T5" s="429"/>
      <c r="U5" s="26"/>
      <c r="V5" s="432" t="s">
        <v>166</v>
      </c>
      <c r="W5" s="432"/>
      <c r="X5" s="432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175</v>
      </c>
      <c r="H6" s="102"/>
      <c r="I6" s="69" t="s">
        <v>176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322823</v>
      </c>
      <c r="H9" s="102"/>
      <c r="I9" s="103">
        <v>328188</v>
      </c>
      <c r="J9" s="92"/>
      <c r="K9" s="92"/>
      <c r="L9" s="112">
        <v>480090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3613326</v>
      </c>
      <c r="H10" s="102"/>
      <c r="I10" s="111">
        <v>3113326</v>
      </c>
      <c r="J10" s="92"/>
      <c r="K10" s="92"/>
      <c r="L10" s="72"/>
      <c r="M10" s="92"/>
      <c r="N10" s="56">
        <v>1745</v>
      </c>
      <c r="O10" s="92"/>
      <c r="P10" s="72"/>
      <c r="Q10" s="42"/>
      <c r="R10" s="123">
        <f>631+154.21+2041+2356.54+1745</f>
        <v>6927.75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3936149</v>
      </c>
      <c r="H11" s="102"/>
      <c r="I11" s="103">
        <f>SUM(I9:I10)</f>
        <v>3441514</v>
      </c>
      <c r="J11" s="92"/>
      <c r="K11" s="92"/>
      <c r="L11" s="103">
        <f>SUM(L9:L10)</f>
        <v>480090</v>
      </c>
      <c r="M11" s="92"/>
      <c r="N11" s="120">
        <f>SUM(N9:N10)</f>
        <v>1745</v>
      </c>
      <c r="O11" s="92"/>
      <c r="P11" s="120">
        <f>SUM(P9:P10)</f>
        <v>0</v>
      </c>
      <c r="Q11" s="85"/>
      <c r="R11" s="120">
        <f>SUM(R9:R10)</f>
        <v>6927.75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420190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2191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420190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2191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4704757</v>
      </c>
      <c r="H31" s="29"/>
      <c r="I31" s="82">
        <v>4810879</v>
      </c>
      <c r="J31" s="40"/>
      <c r="K31" s="40"/>
      <c r="L31" s="37">
        <v>4545763</v>
      </c>
      <c r="M31" s="129"/>
      <c r="N31" s="38">
        <v>6121</v>
      </c>
      <c r="O31" s="40"/>
      <c r="P31" s="45">
        <v>145865.57999999999</v>
      </c>
      <c r="Q31" s="40"/>
      <c r="R31" s="38">
        <f>7623+7277+9019+6056.28+6121</f>
        <v>36096.28</v>
      </c>
      <c r="S31" s="93"/>
      <c r="T31" s="38">
        <f>249209+97084+160047.47-69232.96+145865.58</f>
        <v>582973.09</v>
      </c>
      <c r="U31" s="93"/>
      <c r="V31" s="38">
        <v>36350</v>
      </c>
      <c r="W31" s="93"/>
      <c r="X31" s="38">
        <v>-1535006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-887202</v>
      </c>
      <c r="H32" s="29"/>
      <c r="I32" s="45">
        <v>-741337</v>
      </c>
      <c r="J32" s="40"/>
      <c r="K32" s="40"/>
      <c r="L32" s="45">
        <v>-1624915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-160253</v>
      </c>
      <c r="H34" s="29"/>
      <c r="I34" s="45">
        <v>-232041</v>
      </c>
      <c r="J34" s="40"/>
      <c r="K34" s="40"/>
      <c r="L34" s="41">
        <v>2221040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3657302</v>
      </c>
      <c r="H35" s="29"/>
      <c r="I35" s="116">
        <f>SUM(I29:I34)</f>
        <v>3837501</v>
      </c>
      <c r="J35" s="40"/>
      <c r="K35" s="40"/>
      <c r="L35" s="116">
        <f>SUM(L29:L34)</f>
        <v>5141888</v>
      </c>
      <c r="M35" s="129"/>
      <c r="N35" s="116">
        <f>SUM(N29:N34)</f>
        <v>6121</v>
      </c>
      <c r="O35" s="40"/>
      <c r="P35" s="116">
        <f>SUM(P29:P34)</f>
        <v>145865.57999999999</v>
      </c>
      <c r="Q35" s="40"/>
      <c r="R35" s="116">
        <f>SUM(R29:R34)</f>
        <v>36096.28</v>
      </c>
      <c r="S35" s="40"/>
      <c r="T35" s="116">
        <f>SUM(T29:T34)</f>
        <v>612804.23</v>
      </c>
      <c r="U35" s="120"/>
      <c r="V35" s="116">
        <f>SUM(V29:V34)</f>
        <v>53169</v>
      </c>
      <c r="W35" s="40"/>
      <c r="X35" s="116">
        <f>SUM(X29:X34)</f>
        <v>-1553288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8782183.6500000004</v>
      </c>
      <c r="H37" s="29"/>
      <c r="I37" s="107">
        <f>+I35+I25+I19+I11</f>
        <v>8467747.6500000004</v>
      </c>
      <c r="J37" s="92"/>
      <c r="K37" s="92"/>
      <c r="L37" s="107">
        <f>+L35+L25+L19+L11</f>
        <v>6810600</v>
      </c>
      <c r="M37" s="129"/>
      <c r="N37" s="107">
        <f>+N35+N25+N19+N11</f>
        <v>7866</v>
      </c>
      <c r="O37" s="92"/>
      <c r="P37" s="107">
        <f>+P35+P25+P19+P11</f>
        <v>145865.57999999999</v>
      </c>
      <c r="Q37" s="92"/>
      <c r="R37" s="107">
        <f>+R35+R25+R19+R11</f>
        <v>43024.03</v>
      </c>
      <c r="S37" s="92"/>
      <c r="T37" s="107">
        <f>+T35+T25+T19+T11</f>
        <v>612804.23</v>
      </c>
      <c r="U37" s="120"/>
      <c r="V37" s="107">
        <f>+V35+V25+V19+V11</f>
        <v>55836</v>
      </c>
      <c r="W37" s="92"/>
      <c r="X37" s="107">
        <f>+X35+X25+X19+X11</f>
        <v>-1553288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4">
        <v>480090</v>
      </c>
    </row>
    <row r="52" spans="2:23">
      <c r="L52" s="83"/>
    </row>
    <row r="53" spans="2:23">
      <c r="L53" s="29"/>
    </row>
    <row r="54" spans="2:23">
      <c r="L54" s="37">
        <v>100000</v>
      </c>
    </row>
    <row r="55" spans="2:23">
      <c r="L55" s="37">
        <v>481900.65</v>
      </c>
    </row>
    <row r="56" spans="2:23">
      <c r="L56" s="37">
        <v>205356</v>
      </c>
    </row>
    <row r="57" spans="2:23">
      <c r="L57" s="41">
        <v>-18825</v>
      </c>
    </row>
    <row r="58" spans="2:23">
      <c r="L58" s="88">
        <f>SUM(L54:L57)</f>
        <v>768431.65</v>
      </c>
    </row>
    <row r="59" spans="2:23">
      <c r="L59" s="37"/>
    </row>
    <row r="60" spans="2:23">
      <c r="L60" s="37"/>
    </row>
    <row r="61" spans="2:23">
      <c r="L61" s="37"/>
    </row>
    <row r="62" spans="2:23">
      <c r="L62" s="37"/>
    </row>
    <row r="63" spans="2:23">
      <c r="L63" s="41">
        <v>420190</v>
      </c>
    </row>
    <row r="64" spans="2:23">
      <c r="L64" s="88">
        <f>SUM(L62:L63)</f>
        <v>420190</v>
      </c>
    </row>
    <row r="65" spans="12:12">
      <c r="L65" s="37"/>
    </row>
    <row r="66" spans="12:12">
      <c r="L66" s="37"/>
    </row>
    <row r="67" spans="12:12">
      <c r="L67" s="37"/>
    </row>
    <row r="68" spans="12:12">
      <c r="L68" s="37">
        <v>0</v>
      </c>
    </row>
    <row r="69" spans="12:12">
      <c r="L69" s="37">
        <v>0</v>
      </c>
    </row>
    <row r="70" spans="12:12">
      <c r="L70" s="37">
        <v>0</v>
      </c>
    </row>
    <row r="71" spans="12:12">
      <c r="L71" s="82">
        <v>4545763</v>
      </c>
    </row>
    <row r="72" spans="12:12">
      <c r="L72" s="45">
        <v>-1624915</v>
      </c>
    </row>
    <row r="73" spans="12:12">
      <c r="L73" s="41">
        <v>2221040</v>
      </c>
    </row>
    <row r="74" spans="12:12">
      <c r="L74" s="88">
        <f>SUM(L68:L73)</f>
        <v>5141888</v>
      </c>
    </row>
    <row r="75" spans="12:12">
      <c r="L75" s="29"/>
    </row>
    <row r="76" spans="12:12" ht="12.75" thickBot="1">
      <c r="L76" s="94">
        <f>+L74+L64+L58+L51</f>
        <v>6810599.6500000004</v>
      </c>
    </row>
    <row r="77" spans="12:12" ht="12.75" thickTop="1"/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1" orientation="landscape" r:id="rId1"/>
  <headerFooter alignWithMargins="0">
    <oddFooter xml:space="preserve">&amp;CInvestment Report - November 2009 
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X81"/>
  <sheetViews>
    <sheetView topLeftCell="A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4" ht="12.75" thickBot="1">
      <c r="B2" s="35"/>
      <c r="C2" s="23"/>
      <c r="D2" s="426" t="s">
        <v>165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9" t="s">
        <v>127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6" t="s">
        <v>81</v>
      </c>
      <c r="O5" s="426"/>
      <c r="P5" s="426"/>
      <c r="Q5" s="26"/>
      <c r="R5" s="429" t="s">
        <v>82</v>
      </c>
      <c r="S5" s="429"/>
      <c r="T5" s="429"/>
      <c r="U5" s="26"/>
      <c r="V5" s="432" t="s">
        <v>166</v>
      </c>
      <c r="W5" s="432"/>
      <c r="X5" s="432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177</v>
      </c>
      <c r="H6" s="102"/>
      <c r="I6" s="80" t="s">
        <v>178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328188</v>
      </c>
      <c r="H9" s="102"/>
      <c r="I9" s="103">
        <v>381606</v>
      </c>
      <c r="J9" s="92"/>
      <c r="K9" s="92"/>
      <c r="L9" s="112">
        <v>961557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3113326</v>
      </c>
      <c r="H10" s="102"/>
      <c r="I10" s="111">
        <v>2116261</v>
      </c>
      <c r="J10" s="92"/>
      <c r="K10" s="92"/>
      <c r="L10" s="140">
        <v>200000</v>
      </c>
      <c r="M10" s="92"/>
      <c r="N10" s="56">
        <v>1203.6300000000001</v>
      </c>
      <c r="O10" s="92"/>
      <c r="P10" s="72"/>
      <c r="Q10" s="42"/>
      <c r="R10" s="123">
        <f>631+154.21+2041+2356.54+1745+1203.63</f>
        <v>8131.38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3441514</v>
      </c>
      <c r="H11" s="102"/>
      <c r="I11" s="103">
        <f>SUM(I9:I10)</f>
        <v>2497867</v>
      </c>
      <c r="J11" s="92"/>
      <c r="K11" s="92"/>
      <c r="L11" s="103">
        <f>SUM(L9:L10)</f>
        <v>1161557</v>
      </c>
      <c r="M11" s="92"/>
      <c r="N11" s="120">
        <f>SUM(N9:N10)</f>
        <v>1203.6300000000001</v>
      </c>
      <c r="O11" s="92"/>
      <c r="P11" s="120">
        <f>SUM(P9:P10)</f>
        <v>0</v>
      </c>
      <c r="Q11" s="85"/>
      <c r="R11" s="120">
        <f>SUM(R9:R10)</f>
        <v>8131.38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413735</v>
      </c>
      <c r="J24" s="40"/>
      <c r="K24" s="40">
        <v>425705</v>
      </c>
      <c r="L24" s="41">
        <v>420197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413735</v>
      </c>
      <c r="J25" s="40"/>
      <c r="K25" s="40"/>
      <c r="L25" s="116">
        <f>SUM(L24:L24)</f>
        <v>420197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4810879</v>
      </c>
      <c r="H31" s="29"/>
      <c r="I31" s="82">
        <v>4835619</v>
      </c>
      <c r="J31" s="40"/>
      <c r="K31" s="40"/>
      <c r="L31" s="37">
        <v>4615858</v>
      </c>
      <c r="M31" s="129"/>
      <c r="N31" s="38">
        <v>24740.94</v>
      </c>
      <c r="O31" s="40"/>
      <c r="P31" s="45"/>
      <c r="Q31" s="40"/>
      <c r="R31" s="38">
        <f>7623+7277+9019+6056.28+6121+24740.94</f>
        <v>60837.22</v>
      </c>
      <c r="S31" s="93"/>
      <c r="T31" s="38"/>
      <c r="U31" s="93"/>
      <c r="V31" s="38">
        <v>106445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-741337</v>
      </c>
      <c r="H32" s="29"/>
      <c r="I32" s="45">
        <v>-668334</v>
      </c>
      <c r="J32" s="40"/>
      <c r="K32" s="40"/>
      <c r="L32" s="45">
        <v>-1535241</v>
      </c>
      <c r="M32" s="129"/>
      <c r="N32" s="38"/>
      <c r="O32" s="40"/>
      <c r="P32" s="45">
        <v>73002.34</v>
      </c>
      <c r="Q32" s="40"/>
      <c r="R32" s="38"/>
      <c r="S32" s="93"/>
      <c r="T32" s="38">
        <f>249209+97084+160047.47-69232.96+145865.58+73002.34</f>
        <v>655975.42999999993</v>
      </c>
      <c r="U32" s="119"/>
      <c r="V32" s="38"/>
      <c r="W32" s="93"/>
      <c r="X32" s="38">
        <v>-1445332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-26355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-232041</v>
      </c>
      <c r="J34" s="40"/>
      <c r="K34" s="40"/>
      <c r="L34" s="41">
        <v>966459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3837501</v>
      </c>
      <c r="H35" s="29"/>
      <c r="I35" s="116">
        <f>SUM(I29:I34)</f>
        <v>3935244</v>
      </c>
      <c r="J35" s="40"/>
      <c r="K35" s="40"/>
      <c r="L35" s="116">
        <f>SUM(L29:L34)</f>
        <v>4047076</v>
      </c>
      <c r="M35" s="129"/>
      <c r="N35" s="116">
        <f>SUM(N29:N34)</f>
        <v>24740.94</v>
      </c>
      <c r="O35" s="40"/>
      <c r="P35" s="116">
        <f>SUM(P29:P34)</f>
        <v>73002.34</v>
      </c>
      <c r="Q35" s="40"/>
      <c r="R35" s="116">
        <f>SUM(R29:R34)</f>
        <v>60837.22</v>
      </c>
      <c r="S35" s="40"/>
      <c r="T35" s="116">
        <f>SUM(T29:T34)</f>
        <v>685806.57</v>
      </c>
      <c r="U35" s="120"/>
      <c r="V35" s="116">
        <f>SUM(V29:V34)</f>
        <v>96909</v>
      </c>
      <c r="W35" s="40"/>
      <c r="X35" s="116">
        <f>SUM(X29:X34)</f>
        <v>-1463614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8467747.6500000004</v>
      </c>
      <c r="H37" s="29"/>
      <c r="I37" s="107">
        <f>+I35+I25+I19+I11</f>
        <v>7615277.6500000004</v>
      </c>
      <c r="J37" s="92"/>
      <c r="K37" s="92"/>
      <c r="L37" s="107">
        <f>+L35+L25+L19+L11</f>
        <v>6397262</v>
      </c>
      <c r="M37" s="129"/>
      <c r="N37" s="107">
        <f>+N35+N25+N19+N11</f>
        <v>25944.57</v>
      </c>
      <c r="O37" s="92"/>
      <c r="P37" s="107">
        <f>+P35+P25+P19+P11</f>
        <v>73002.34</v>
      </c>
      <c r="Q37" s="92"/>
      <c r="R37" s="107">
        <f>+R35+R25+R19+R11</f>
        <v>68968.600000000006</v>
      </c>
      <c r="S37" s="92"/>
      <c r="T37" s="107">
        <f>+T35+T25+T19+T11</f>
        <v>685806.57</v>
      </c>
      <c r="U37" s="120"/>
      <c r="V37" s="107">
        <f>+V35+V25+V19+V11</f>
        <v>99583</v>
      </c>
      <c r="W37" s="92"/>
      <c r="X37" s="107">
        <f>+X35+X25+X19+X11</f>
        <v>-1463614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>
        <f>+G32-I32</f>
        <v>-73003</v>
      </c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/>
    </row>
    <row r="52" spans="2:23">
      <c r="L52" s="111"/>
    </row>
    <row r="53" spans="2:23">
      <c r="L53" s="103"/>
    </row>
    <row r="54" spans="2:23">
      <c r="L54" s="103"/>
    </row>
    <row r="55" spans="2:23">
      <c r="L55" s="83"/>
    </row>
    <row r="56" spans="2:23">
      <c r="L56" s="29"/>
    </row>
    <row r="57" spans="2:23">
      <c r="L57" s="115"/>
    </row>
    <row r="58" spans="2:23">
      <c r="L58" s="37"/>
    </row>
    <row r="59" spans="2:23">
      <c r="L59" s="37"/>
    </row>
    <row r="60" spans="2:23">
      <c r="L60" s="41"/>
    </row>
    <row r="61" spans="2:23">
      <c r="L61" s="116"/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/>
    </row>
    <row r="67" spans="12:12">
      <c r="L67" s="116"/>
    </row>
    <row r="68" spans="12:12">
      <c r="L68" s="37"/>
    </row>
    <row r="69" spans="12:12">
      <c r="L69" s="37"/>
    </row>
    <row r="70" spans="12:12">
      <c r="L70" s="37"/>
    </row>
    <row r="71" spans="12:12">
      <c r="L71" s="115"/>
    </row>
    <row r="72" spans="12:12">
      <c r="L72" s="37"/>
    </row>
    <row r="73" spans="12:12">
      <c r="L73" s="37"/>
    </row>
    <row r="74" spans="12:12">
      <c r="L74" s="82"/>
    </row>
    <row r="75" spans="12:12">
      <c r="L75" s="45"/>
    </row>
    <row r="76" spans="12:12">
      <c r="L76" s="45"/>
    </row>
    <row r="77" spans="12:12">
      <c r="L77" s="41"/>
    </row>
    <row r="78" spans="12:12">
      <c r="L78" s="116"/>
    </row>
    <row r="79" spans="12:12">
      <c r="L79" s="29"/>
    </row>
    <row r="80" spans="12:12" ht="12.75" thickBot="1">
      <c r="L80" s="107"/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December 2009 
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Z81"/>
  <sheetViews>
    <sheetView workbookViewId="0">
      <selection activeCell="C41" sqref="C41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6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6" ht="12.75" thickBot="1">
      <c r="B2" s="35"/>
      <c r="C2" s="23"/>
      <c r="D2" s="426" t="s">
        <v>165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29" t="s">
        <v>127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6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6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179</v>
      </c>
      <c r="H6" s="102"/>
      <c r="I6" s="80" t="s">
        <v>180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6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6">
      <c r="A9" s="66"/>
      <c r="B9" s="23" t="s">
        <v>144</v>
      </c>
      <c r="C9" s="23"/>
      <c r="D9" s="23"/>
      <c r="E9" s="25"/>
      <c r="F9" s="103"/>
      <c r="G9" s="103">
        <v>381606</v>
      </c>
      <c r="H9" s="102"/>
      <c r="I9" s="103">
        <v>1498862</v>
      </c>
      <c r="J9" s="92"/>
      <c r="K9" s="92"/>
      <c r="L9" s="112">
        <v>1719772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6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2116261</v>
      </c>
      <c r="H10" s="102"/>
      <c r="I10" s="111">
        <v>2116963</v>
      </c>
      <c r="J10" s="92"/>
      <c r="K10" s="92"/>
      <c r="L10" s="140">
        <v>2200504</v>
      </c>
      <c r="M10" s="92"/>
      <c r="N10" s="56">
        <v>709.46</v>
      </c>
      <c r="O10" s="92"/>
      <c r="P10" s="72"/>
      <c r="Q10" s="42"/>
      <c r="R10" s="123">
        <f>631+154.21+2041+2356.54+1745+1203.63+709.46</f>
        <v>8840.84</v>
      </c>
      <c r="S10" s="42"/>
      <c r="T10" s="108"/>
      <c r="U10" s="86"/>
      <c r="V10" s="123"/>
      <c r="W10" s="42"/>
      <c r="X10" s="108"/>
      <c r="Z10" s="143"/>
    </row>
    <row r="11" spans="1:26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2497867</v>
      </c>
      <c r="H11" s="102"/>
      <c r="I11" s="103">
        <f>SUM(I9:I10)</f>
        <v>3615825</v>
      </c>
      <c r="J11" s="92"/>
      <c r="K11" s="92"/>
      <c r="L11" s="103">
        <f>SUM(L9:L10)</f>
        <v>3920276</v>
      </c>
      <c r="M11" s="92"/>
      <c r="N11" s="120">
        <f>SUM(N9:N10)</f>
        <v>709.46</v>
      </c>
      <c r="O11" s="92"/>
      <c r="P11" s="120">
        <f>SUM(P9:P10)</f>
        <v>0</v>
      </c>
      <c r="Q11" s="85"/>
      <c r="R11" s="120">
        <f>SUM(R9:R10)</f>
        <v>8840.84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6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6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6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6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6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420199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2200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420199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2200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4835619</v>
      </c>
      <c r="H31" s="29"/>
      <c r="I31" s="82">
        <v>4846544</v>
      </c>
      <c r="J31" s="40"/>
      <c r="K31" s="40"/>
      <c r="L31" s="37">
        <v>4631461</v>
      </c>
      <c r="M31" s="129"/>
      <c r="N31" s="38">
        <v>10925.13</v>
      </c>
      <c r="O31" s="40"/>
      <c r="P31" s="45"/>
      <c r="Q31" s="40"/>
      <c r="R31" s="38">
        <f>7623+7277+9019+6056.28+6121+24740.94+10925.13</f>
        <v>71762.350000000006</v>
      </c>
      <c r="S31" s="93"/>
      <c r="T31" s="38"/>
      <c r="U31" s="93"/>
      <c r="V31" s="38">
        <v>122048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-668334</v>
      </c>
      <c r="H32" s="29"/>
      <c r="I32" s="45">
        <v>-800511</v>
      </c>
      <c r="J32" s="40"/>
      <c r="K32" s="40"/>
      <c r="L32" s="45">
        <v>-1738551</v>
      </c>
      <c r="M32" s="129"/>
      <c r="N32" s="38"/>
      <c r="O32" s="40"/>
      <c r="P32" s="45">
        <v>-132176.87</v>
      </c>
      <c r="Q32" s="40"/>
      <c r="R32" s="38"/>
      <c r="S32" s="93"/>
      <c r="T32" s="38">
        <f>249209+97084+160047.47-69232.96+145865.58+73002.34-132176.87</f>
        <v>523798.55999999994</v>
      </c>
      <c r="U32" s="119"/>
      <c r="V32" s="38"/>
      <c r="W32" s="93"/>
      <c r="X32" s="38">
        <v>-1648642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-31429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-563077</v>
      </c>
      <c r="J34" s="40"/>
      <c r="K34" s="40"/>
      <c r="L34" s="41">
        <v>628109</v>
      </c>
      <c r="M34" s="129"/>
      <c r="N34" s="109"/>
      <c r="O34" s="40"/>
      <c r="P34" s="41">
        <v>2326.92</v>
      </c>
      <c r="Q34" s="40"/>
      <c r="R34" s="41">
        <v>0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3935244</v>
      </c>
      <c r="H35" s="29"/>
      <c r="I35" s="116">
        <f>SUM(I29:I34)</f>
        <v>3482956</v>
      </c>
      <c r="J35" s="40"/>
      <c r="K35" s="40"/>
      <c r="L35" s="116">
        <f>SUM(L29:L34)</f>
        <v>3521019</v>
      </c>
      <c r="M35" s="129"/>
      <c r="N35" s="116">
        <f>SUM(N29:N34)</f>
        <v>10925.13</v>
      </c>
      <c r="O35" s="40"/>
      <c r="P35" s="116">
        <f>SUM(P29:P34)</f>
        <v>-129849.95</v>
      </c>
      <c r="Q35" s="40"/>
      <c r="R35" s="116">
        <f>SUM(R29:R34)</f>
        <v>71762.350000000006</v>
      </c>
      <c r="S35" s="40"/>
      <c r="T35" s="116">
        <f>SUM(T29:T34)</f>
        <v>555956.61999999988</v>
      </c>
      <c r="U35" s="120"/>
      <c r="V35" s="116">
        <f>SUM(V29:V34)</f>
        <v>107438</v>
      </c>
      <c r="W35" s="40"/>
      <c r="X35" s="116">
        <f>SUM(X29:X34)</f>
        <v>-1666924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7615277.6500000004</v>
      </c>
      <c r="H37" s="29"/>
      <c r="I37" s="107">
        <f>+I35+I25+I19+I11</f>
        <v>8280947.6500000004</v>
      </c>
      <c r="J37" s="92"/>
      <c r="K37" s="92"/>
      <c r="L37" s="107">
        <f>+L35+L25+L19+L11</f>
        <v>8629926</v>
      </c>
      <c r="M37" s="129"/>
      <c r="N37" s="107">
        <f>+N35+N25+N19+N11</f>
        <v>11634.59</v>
      </c>
      <c r="O37" s="92"/>
      <c r="P37" s="107">
        <f>+P35+P25+P19+P11</f>
        <v>-129849.95</v>
      </c>
      <c r="Q37" s="92"/>
      <c r="R37" s="107">
        <f>+R35+R25+R19+R11</f>
        <v>80603.19</v>
      </c>
      <c r="S37" s="92"/>
      <c r="T37" s="107">
        <f>+T35+T25+T19+T11</f>
        <v>555956.61999999988</v>
      </c>
      <c r="U37" s="120"/>
      <c r="V37" s="107">
        <f>+V35+V25+V19+V11</f>
        <v>110114</v>
      </c>
      <c r="W37" s="92"/>
      <c r="X37" s="107">
        <f>+X35+X25+X19+X11</f>
        <v>-1666924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1719772</v>
      </c>
    </row>
    <row r="52" spans="2:23">
      <c r="L52" s="111">
        <v>2200504</v>
      </c>
    </row>
    <row r="53" spans="2:23">
      <c r="L53" s="103">
        <f>SUM(L51:L52)</f>
        <v>3920276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420199</v>
      </c>
    </row>
    <row r="67" spans="12:12">
      <c r="L67" s="116">
        <f>SUM(L65:L66)</f>
        <v>420199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4631461</v>
      </c>
    </row>
    <row r="75" spans="12:12">
      <c r="L75" s="45">
        <v>-1738551</v>
      </c>
    </row>
    <row r="76" spans="12:12">
      <c r="L76" s="45"/>
    </row>
    <row r="77" spans="12:12">
      <c r="L77" s="41">
        <v>628109</v>
      </c>
    </row>
    <row r="78" spans="12:12">
      <c r="L78" s="116">
        <f>SUM(L71:L77)</f>
        <v>3521019</v>
      </c>
    </row>
    <row r="79" spans="12:12">
      <c r="L79" s="29"/>
    </row>
    <row r="80" spans="12:12" ht="12.75" thickBot="1">
      <c r="L80" s="107">
        <f>+L78+L67+L61+L53</f>
        <v>8629925.6500000004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January 2010 
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Y81"/>
  <sheetViews>
    <sheetView topLeftCell="E1" workbookViewId="0">
      <selection activeCell="R10" sqref="R10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26" t="s">
        <v>165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9" t="s">
        <v>127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182</v>
      </c>
      <c r="H6" s="102"/>
      <c r="I6" s="80" t="s">
        <v>183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1498862</v>
      </c>
      <c r="H9" s="102"/>
      <c r="I9" s="103">
        <v>218392</v>
      </c>
      <c r="J9" s="92"/>
      <c r="K9" s="92"/>
      <c r="L9" s="112">
        <v>1219546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2116963</v>
      </c>
      <c r="H10" s="102"/>
      <c r="I10" s="111">
        <v>3618188</v>
      </c>
      <c r="J10" s="92"/>
      <c r="K10" s="92"/>
      <c r="L10" s="140">
        <v>2202607</v>
      </c>
      <c r="M10" s="92"/>
      <c r="N10" s="56">
        <v>1232.22</v>
      </c>
      <c r="O10" s="92"/>
      <c r="P10" s="72"/>
      <c r="Q10" s="42"/>
      <c r="R10" s="123">
        <f>631+154.21+2041+2356.54+1745+1203.63+709.46+1232.22</f>
        <v>10073.06</v>
      </c>
      <c r="S10" s="42"/>
      <c r="T10" s="108"/>
      <c r="U10" s="86"/>
      <c r="V10" s="123">
        <v>2621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3615825</v>
      </c>
      <c r="H11" s="102"/>
      <c r="I11" s="103">
        <f>SUM(I9:I10)</f>
        <v>3836580</v>
      </c>
      <c r="J11" s="92"/>
      <c r="K11" s="92"/>
      <c r="L11" s="103">
        <f>SUM(L9:L10)</f>
        <v>3422153</v>
      </c>
      <c r="M11" s="92"/>
      <c r="N11" s="120">
        <f>SUM(N9:N10)</f>
        <v>1232.22</v>
      </c>
      <c r="O11" s="92"/>
      <c r="P11" s="120">
        <f>SUM(P9:P10)</f>
        <v>0</v>
      </c>
      <c r="Q11" s="85"/>
      <c r="R11" s="120">
        <f>SUM(R9:R10)</f>
        <v>10073.06</v>
      </c>
      <c r="S11" s="85"/>
      <c r="T11" s="120">
        <f>SUM(T9:T10)</f>
        <v>0</v>
      </c>
      <c r="U11" s="120"/>
      <c r="V11" s="120">
        <f>SUM(V9:V10)</f>
        <v>2621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4846544</v>
      </c>
      <c r="H31" s="29"/>
      <c r="I31" s="82">
        <v>4851984</v>
      </c>
      <c r="J31" s="40"/>
      <c r="K31" s="40"/>
      <c r="L31" s="37">
        <v>4637616</v>
      </c>
      <c r="M31" s="129"/>
      <c r="N31" s="38">
        <v>5439.01</v>
      </c>
      <c r="O31" s="40"/>
      <c r="P31" s="45"/>
      <c r="Q31" s="40"/>
      <c r="R31" s="38">
        <f>7623+7277+9019+6056.28+6121+24740.94+10925.13+5439.01</f>
        <v>77201.36</v>
      </c>
      <c r="S31" s="93"/>
      <c r="T31" s="38"/>
      <c r="U31" s="93"/>
      <c r="V31" s="38">
        <v>128203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-800511</v>
      </c>
      <c r="H32" s="29"/>
      <c r="I32" s="45">
        <v>-709278</v>
      </c>
      <c r="J32" s="40"/>
      <c r="K32" s="40"/>
      <c r="L32" s="45">
        <v>-1975723</v>
      </c>
      <c r="M32" s="129"/>
      <c r="N32" s="38"/>
      <c r="O32" s="40"/>
      <c r="P32" s="45">
        <v>91232.97</v>
      </c>
      <c r="Q32" s="40"/>
      <c r="R32" s="38"/>
      <c r="S32" s="93"/>
      <c r="T32" s="38">
        <f>249209+97084+160047.47-69232.96+145865.58+73002.34-132176.87+91232.97</f>
        <v>615031.52999999991</v>
      </c>
      <c r="U32" s="119"/>
      <c r="V32" s="38"/>
      <c r="W32" s="93"/>
      <c r="X32" s="38">
        <v>-1885814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-34947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496407</v>
      </c>
      <c r="M34" s="129"/>
      <c r="N34" s="109">
        <v>5158.05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3482956</v>
      </c>
      <c r="H35" s="29"/>
      <c r="I35" s="116">
        <f>SUM(I29:I34)</f>
        <v>3579629</v>
      </c>
      <c r="J35" s="40"/>
      <c r="K35" s="40"/>
      <c r="L35" s="116">
        <f>SUM(L29:L34)</f>
        <v>3158300</v>
      </c>
      <c r="M35" s="129"/>
      <c r="N35" s="116">
        <f>SUM(N29:N34)</f>
        <v>10597.060000000001</v>
      </c>
      <c r="O35" s="40"/>
      <c r="P35" s="116">
        <f>SUM(P29:P34)</f>
        <v>91232.97</v>
      </c>
      <c r="Q35" s="40"/>
      <c r="R35" s="116">
        <f>SUM(R29:R34)</f>
        <v>82359.41</v>
      </c>
      <c r="S35" s="40"/>
      <c r="T35" s="116">
        <f>SUM(T29:T34)</f>
        <v>647189.58999999985</v>
      </c>
      <c r="U35" s="120"/>
      <c r="V35" s="116">
        <f>SUM(V29:V34)</f>
        <v>110075</v>
      </c>
      <c r="W35" s="40"/>
      <c r="X35" s="116">
        <f>SUM(X29:X34)</f>
        <v>-1904096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8280947.6500000004</v>
      </c>
      <c r="H37" s="29"/>
      <c r="I37" s="107">
        <f>+I35+I25+I19+I11</f>
        <v>8598375.6500000004</v>
      </c>
      <c r="J37" s="92"/>
      <c r="K37" s="92"/>
      <c r="L37" s="107">
        <f>+L35+L25+L19+L11</f>
        <v>7769101</v>
      </c>
      <c r="M37" s="129"/>
      <c r="N37" s="107">
        <f>+N35+N25+N19+N11</f>
        <v>11829.28</v>
      </c>
      <c r="O37" s="92"/>
      <c r="P37" s="107">
        <f>+P35+P25+P19+P11</f>
        <v>91232.97</v>
      </c>
      <c r="Q37" s="92"/>
      <c r="R37" s="107">
        <f>+R35+R25+R19+R11</f>
        <v>92432.47</v>
      </c>
      <c r="S37" s="92"/>
      <c r="T37" s="107">
        <f>+T35+T25+T19+T11</f>
        <v>647189.58999999985</v>
      </c>
      <c r="U37" s="120"/>
      <c r="V37" s="107">
        <f>+V35+V25+V19+V11</f>
        <v>115390</v>
      </c>
      <c r="W37" s="92"/>
      <c r="X37" s="107">
        <f>+X35+X25+X19+X11</f>
        <v>-1904096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1219546</v>
      </c>
    </row>
    <row r="52" spans="2:23">
      <c r="L52" s="111">
        <v>2202607</v>
      </c>
    </row>
    <row r="53" spans="2:23">
      <c r="L53" s="103">
        <f>SUM(L51:L52)</f>
        <v>3422153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420216</v>
      </c>
    </row>
    <row r="67" spans="12:12">
      <c r="L67" s="116">
        <f>SUM(L65:L66)</f>
        <v>420216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4637616</v>
      </c>
    </row>
    <row r="75" spans="12:12">
      <c r="L75" s="45">
        <v>-1975723</v>
      </c>
    </row>
    <row r="76" spans="12:12">
      <c r="L76" s="45"/>
    </row>
    <row r="77" spans="12:12">
      <c r="L77" s="41">
        <v>496407</v>
      </c>
    </row>
    <row r="78" spans="12:12">
      <c r="L78" s="116">
        <f>SUM(L71:L77)</f>
        <v>3158300</v>
      </c>
    </row>
    <row r="79" spans="12:12">
      <c r="L79" s="29"/>
    </row>
    <row r="80" spans="12:12" ht="12.75" thickBot="1">
      <c r="L80" s="107">
        <f>+L78+L67+L61+L53</f>
        <v>7769100.6500000004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February 2010 
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Y49"/>
  <sheetViews>
    <sheetView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26" t="s">
        <v>165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9" t="s">
        <v>127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184</v>
      </c>
      <c r="H6" s="102"/>
      <c r="I6" s="80" t="s">
        <v>185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218392</v>
      </c>
      <c r="H9" s="102"/>
      <c r="I9" s="103">
        <v>991561</v>
      </c>
      <c r="J9" s="92"/>
      <c r="K9" s="92"/>
      <c r="L9" s="103">
        <v>1079743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3618188</v>
      </c>
      <c r="H10" s="102"/>
      <c r="I10" s="111">
        <v>3619881</v>
      </c>
      <c r="J10" s="92"/>
      <c r="K10" s="92"/>
      <c r="L10" s="111">
        <v>1704831</v>
      </c>
      <c r="M10" s="92"/>
      <c r="N10" s="56">
        <v>1705.05</v>
      </c>
      <c r="O10" s="92"/>
      <c r="P10" s="72"/>
      <c r="Q10" s="42"/>
      <c r="R10" s="123">
        <f>631+154.21+2041+2356.54+1745+1203.63+709.46+1232.22+1705.05</f>
        <v>11778.109999999999</v>
      </c>
      <c r="S10" s="42"/>
      <c r="T10" s="108"/>
      <c r="U10" s="86"/>
      <c r="V10" s="123">
        <v>4852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3836580</v>
      </c>
      <c r="H11" s="102"/>
      <c r="I11" s="103">
        <f>SUM(I9:I10)</f>
        <v>4611442</v>
      </c>
      <c r="J11" s="92"/>
      <c r="K11" s="92"/>
      <c r="L11" s="103">
        <f>SUM(L9:L10)</f>
        <v>2784574</v>
      </c>
      <c r="M11" s="92"/>
      <c r="N11" s="120">
        <f>SUM(N9:N10)</f>
        <v>1705.05</v>
      </c>
      <c r="O11" s="92"/>
      <c r="P11" s="120">
        <f>SUM(P9:P10)</f>
        <v>0</v>
      </c>
      <c r="Q11" s="85"/>
      <c r="R11" s="120">
        <f>SUM(R9:R10)</f>
        <v>11778.109999999999</v>
      </c>
      <c r="S11" s="85"/>
      <c r="T11" s="120">
        <f>SUM(T9:T10)</f>
        <v>0</v>
      </c>
      <c r="U11" s="120"/>
      <c r="V11" s="120">
        <f>SUM(V9:V10)</f>
        <v>4852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4851984</v>
      </c>
      <c r="H31" s="29"/>
      <c r="I31" s="82">
        <v>4860131</v>
      </c>
      <c r="J31" s="40"/>
      <c r="K31" s="40"/>
      <c r="L31" s="82">
        <v>4646399</v>
      </c>
      <c r="M31" s="129"/>
      <c r="N31" s="38">
        <v>8147.36</v>
      </c>
      <c r="O31" s="40"/>
      <c r="P31" s="45"/>
      <c r="Q31" s="40"/>
      <c r="R31" s="38">
        <f>7623+7277+9019+6056.28+6121+24740.94+10925.13+5439.01+8147.36</f>
        <v>85348.72</v>
      </c>
      <c r="S31" s="93"/>
      <c r="T31" s="38"/>
      <c r="U31" s="93"/>
      <c r="V31" s="38">
        <v>136986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-709278</v>
      </c>
      <c r="H32" s="29"/>
      <c r="I32" s="45">
        <v>-497299</v>
      </c>
      <c r="J32" s="40"/>
      <c r="K32" s="40"/>
      <c r="L32" s="45">
        <v>-1794834</v>
      </c>
      <c r="M32" s="129"/>
      <c r="N32" s="38"/>
      <c r="O32" s="40"/>
      <c r="P32" s="45">
        <v>211979</v>
      </c>
      <c r="Q32" s="40"/>
      <c r="R32" s="38"/>
      <c r="S32" s="93"/>
      <c r="T32" s="38">
        <f>249209+97084+160047.47-69232.96+145865.58+73002.34-132176.87+91232.97+211979.29</f>
        <v>827010.82</v>
      </c>
      <c r="U32" s="119"/>
      <c r="V32" s="38"/>
      <c r="W32" s="93"/>
      <c r="X32" s="38">
        <v>-1704926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415689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3579629</v>
      </c>
      <c r="H35" s="29"/>
      <c r="I35" s="116">
        <f>SUM(I29:I34)</f>
        <v>3799755</v>
      </c>
      <c r="J35" s="40"/>
      <c r="K35" s="40"/>
      <c r="L35" s="116">
        <f>SUM(L29:L34)</f>
        <v>3267254</v>
      </c>
      <c r="M35" s="129"/>
      <c r="N35" s="116">
        <f>SUM(N29:N34)</f>
        <v>8147.36</v>
      </c>
      <c r="O35" s="40"/>
      <c r="P35" s="116">
        <f>SUM(P29:P34)</f>
        <v>211979</v>
      </c>
      <c r="Q35" s="40"/>
      <c r="R35" s="116">
        <f>SUM(R29:R34)</f>
        <v>90506.77</v>
      </c>
      <c r="S35" s="40"/>
      <c r="T35" s="116">
        <f>SUM(T29:T34)</f>
        <v>859168.87999999989</v>
      </c>
      <c r="U35" s="120"/>
      <c r="V35" s="116">
        <f>SUM(V29:V34)</f>
        <v>112486</v>
      </c>
      <c r="W35" s="40"/>
      <c r="X35" s="116">
        <f>SUM(X29:X34)</f>
        <v>-1723208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8598375.6500000004</v>
      </c>
      <c r="H37" s="29"/>
      <c r="I37" s="107">
        <f>+I35+I25+I19+I11</f>
        <v>9593363.6500000004</v>
      </c>
      <c r="J37" s="92"/>
      <c r="K37" s="92"/>
      <c r="L37" s="107">
        <f>+L35+L25+L19+L11</f>
        <v>7240476</v>
      </c>
      <c r="M37" s="129"/>
      <c r="N37" s="107">
        <f>+N35+N25+N19+N11</f>
        <v>9852.41</v>
      </c>
      <c r="O37" s="92"/>
      <c r="P37" s="107">
        <f>+P35+P25+P19+P11</f>
        <v>211979</v>
      </c>
      <c r="Q37" s="92"/>
      <c r="R37" s="107">
        <f>+R35+R25+R19+R11</f>
        <v>102284.88</v>
      </c>
      <c r="S37" s="92"/>
      <c r="T37" s="107">
        <f>+T35+T25+T19+T11</f>
        <v>859168.87999999989</v>
      </c>
      <c r="U37" s="120"/>
      <c r="V37" s="107">
        <f>+V35+V25+V19+V11</f>
        <v>120032</v>
      </c>
      <c r="W37" s="92"/>
      <c r="X37" s="107">
        <f>+X35+X25+X19+X11</f>
        <v>-1723208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March  2010 
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Y80"/>
  <sheetViews>
    <sheetView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26" t="s">
        <v>165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9" t="s">
        <v>127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186</v>
      </c>
      <c r="H6" s="102"/>
      <c r="I6" s="80" t="s">
        <v>187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991561</v>
      </c>
      <c r="H9" s="102"/>
      <c r="I9" s="103">
        <v>357484</v>
      </c>
      <c r="J9" s="92"/>
      <c r="K9" s="92"/>
      <c r="L9" s="103">
        <v>1164830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3619881</v>
      </c>
      <c r="H10" s="102"/>
      <c r="I10" s="111">
        <v>3121232</v>
      </c>
      <c r="J10" s="92"/>
      <c r="K10" s="92"/>
      <c r="L10" s="111">
        <v>1206122</v>
      </c>
      <c r="M10" s="92"/>
      <c r="N10" s="56">
        <v>1358</v>
      </c>
      <c r="O10" s="92"/>
      <c r="P10" s="72"/>
      <c r="Q10" s="42"/>
      <c r="R10" s="123">
        <f>631+154.21+2041+2356.54+1745+1203.63+709.46+1232.22+1705.05+1358</f>
        <v>13136.109999999999</v>
      </c>
      <c r="S10" s="42"/>
      <c r="T10" s="108"/>
      <c r="U10" s="86"/>
      <c r="V10" s="123">
        <v>6150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4611442</v>
      </c>
      <c r="H11" s="102"/>
      <c r="I11" s="103">
        <f>SUM(I9:I10)</f>
        <v>3478716</v>
      </c>
      <c r="J11" s="92"/>
      <c r="K11" s="92"/>
      <c r="L11" s="103">
        <f>SUM(L9:L10)</f>
        <v>2370952</v>
      </c>
      <c r="M11" s="92"/>
      <c r="N11" s="120">
        <f>SUM(N9:N10)</f>
        <v>1358</v>
      </c>
      <c r="O11" s="92"/>
      <c r="P11" s="120">
        <f>SUM(P9:P10)</f>
        <v>0</v>
      </c>
      <c r="Q11" s="85"/>
      <c r="R11" s="120">
        <f>SUM(R9:R10)</f>
        <v>13136.109999999999</v>
      </c>
      <c r="S11" s="85"/>
      <c r="T11" s="120">
        <f>SUM(T9:T10)</f>
        <v>0</v>
      </c>
      <c r="U11" s="120"/>
      <c r="V11" s="120">
        <f>SUM(V9:V10)</f>
        <v>6150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420295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2297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420295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2297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4860131</v>
      </c>
      <c r="H31" s="29"/>
      <c r="I31" s="82">
        <v>4865655</v>
      </c>
      <c r="J31" s="40"/>
      <c r="K31" s="40"/>
      <c r="L31" s="82">
        <v>4652966</v>
      </c>
      <c r="M31" s="129"/>
      <c r="N31" s="38">
        <v>5524</v>
      </c>
      <c r="O31" s="40"/>
      <c r="P31" s="45"/>
      <c r="Q31" s="40"/>
      <c r="R31" s="38">
        <f>7623+7277+9019+6056.28+6121+24740.94+10925.13+5439.01+8147.36+5524</f>
        <v>90872.72</v>
      </c>
      <c r="S31" s="93"/>
      <c r="T31" s="38"/>
      <c r="U31" s="93"/>
      <c r="V31" s="38">
        <v>143553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-497299</v>
      </c>
      <c r="H32" s="29"/>
      <c r="I32" s="45">
        <v>-432401</v>
      </c>
      <c r="J32" s="40"/>
      <c r="K32" s="40"/>
      <c r="L32" s="45">
        <v>-1527286</v>
      </c>
      <c r="M32" s="129"/>
      <c r="N32" s="38"/>
      <c r="O32" s="40"/>
      <c r="P32" s="45">
        <v>64897.79</v>
      </c>
      <c r="Q32" s="40"/>
      <c r="R32" s="38"/>
      <c r="S32" s="93"/>
      <c r="T32" s="38">
        <f>249209+97084+160047.47-69232.96+145865.58+73002.34-132176.87+91232.97+211979.29+64897.79</f>
        <v>891908.61</v>
      </c>
      <c r="U32" s="119"/>
      <c r="V32" s="38"/>
      <c r="W32" s="93"/>
      <c r="X32" s="38">
        <v>-1437377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355821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26170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3799755</v>
      </c>
      <c r="H35" s="29"/>
      <c r="I35" s="116">
        <f>SUM(I29:I34)</f>
        <v>3870177</v>
      </c>
      <c r="J35" s="40"/>
      <c r="K35" s="40"/>
      <c r="L35" s="116">
        <f>SUM(L29:L34)</f>
        <v>3481501</v>
      </c>
      <c r="M35" s="129"/>
      <c r="N35" s="116">
        <f>SUM(N29:N34)</f>
        <v>5524</v>
      </c>
      <c r="O35" s="40"/>
      <c r="P35" s="116">
        <f>SUM(P29:P34)</f>
        <v>64897.79</v>
      </c>
      <c r="Q35" s="40"/>
      <c r="R35" s="116">
        <f>SUM(R29:R34)</f>
        <v>96030.77</v>
      </c>
      <c r="S35" s="40"/>
      <c r="T35" s="116">
        <f>SUM(T29:T34)</f>
        <v>924066.66999999993</v>
      </c>
      <c r="U35" s="120"/>
      <c r="V35" s="116">
        <f>SUM(V29:V34)</f>
        <v>128404</v>
      </c>
      <c r="W35" s="40"/>
      <c r="X35" s="116">
        <f>SUM(X29:X34)</f>
        <v>-1455659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9593363.6500000004</v>
      </c>
      <c r="H37" s="29"/>
      <c r="I37" s="107">
        <f>+I35+I25+I19+I11</f>
        <v>8531059.6500000004</v>
      </c>
      <c r="J37" s="92"/>
      <c r="K37" s="92"/>
      <c r="L37" s="107">
        <f>+L35+L25+L19+L11</f>
        <v>7041180</v>
      </c>
      <c r="M37" s="129"/>
      <c r="N37" s="107">
        <f>+N35+N25+N19+N11</f>
        <v>6882</v>
      </c>
      <c r="O37" s="92"/>
      <c r="P37" s="107">
        <f>+P35+P25+P19+P11</f>
        <v>64897.79</v>
      </c>
      <c r="Q37" s="92"/>
      <c r="R37" s="107">
        <f>+R35+R25+R19+R11</f>
        <v>109166.88</v>
      </c>
      <c r="S37" s="92"/>
      <c r="T37" s="107">
        <f>+T35+T25+T19+T11</f>
        <v>924066.66999999993</v>
      </c>
      <c r="U37" s="120"/>
      <c r="V37" s="107">
        <f>+V35+V25+V19+V11</f>
        <v>137327</v>
      </c>
      <c r="W37" s="92"/>
      <c r="X37" s="107">
        <f>+X35+X25+X19+X11</f>
        <v>-1455659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April 2010 
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37591</v>
      </c>
      <c r="I7" s="4"/>
      <c r="J7" s="18">
        <v>37563</v>
      </c>
      <c r="K7" s="4"/>
      <c r="L7" s="18">
        <v>37220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431</v>
      </c>
      <c r="O11" s="13"/>
      <c r="P11" s="12">
        <v>2182</v>
      </c>
      <c r="Q11" s="13"/>
      <c r="R11" s="12">
        <v>1531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123607</v>
      </c>
      <c r="I14" s="13"/>
      <c r="J14" s="12">
        <v>123107</v>
      </c>
      <c r="K14" s="13"/>
      <c r="L14" s="12">
        <v>124996</v>
      </c>
      <c r="M14" s="13"/>
      <c r="N14" s="12">
        <v>500</v>
      </c>
      <c r="O14" s="13"/>
      <c r="P14" s="12">
        <v>2484</v>
      </c>
      <c r="Q14" s="13"/>
      <c r="R14" s="12">
        <v>1976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71694</v>
      </c>
      <c r="I15" s="13"/>
      <c r="J15" s="15">
        <v>71494.31</v>
      </c>
      <c r="K15" s="13"/>
      <c r="L15" s="15">
        <v>68449</v>
      </c>
      <c r="M15" s="13"/>
      <c r="N15" s="15">
        <v>200</v>
      </c>
      <c r="O15" s="13"/>
      <c r="P15" s="15">
        <v>1241</v>
      </c>
      <c r="Q15" s="13"/>
      <c r="R15" s="15">
        <v>679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758378</v>
      </c>
      <c r="I17" s="13"/>
      <c r="J17" s="16">
        <f>SUM(J11:J15)</f>
        <v>757678.31</v>
      </c>
      <c r="K17" s="13"/>
      <c r="L17" s="16">
        <f>SUM(L11:L15)</f>
        <v>756522</v>
      </c>
      <c r="M17" s="13"/>
      <c r="N17" s="16">
        <f>SUM(N11:N15)</f>
        <v>1131</v>
      </c>
      <c r="O17" s="13"/>
      <c r="P17" s="16">
        <f>SUM(P11:P15)</f>
        <v>5907</v>
      </c>
      <c r="Q17" s="13"/>
      <c r="R17" s="16">
        <f>SUM(R11:R15)</f>
        <v>4186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412884</v>
      </c>
      <c r="I24" s="13"/>
      <c r="J24" s="15">
        <v>453262</v>
      </c>
      <c r="K24" s="15">
        <v>425705</v>
      </c>
      <c r="L24" s="15">
        <v>437091</v>
      </c>
      <c r="M24" s="13"/>
      <c r="N24" s="15">
        <v>2269</v>
      </c>
      <c r="O24" s="13"/>
      <c r="P24" s="15">
        <v>10206</v>
      </c>
      <c r="Q24" s="13"/>
      <c r="R24" s="15">
        <v>5696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412884</v>
      </c>
      <c r="I26" s="13"/>
      <c r="J26" s="16">
        <f>SUM(J23:J24)</f>
        <v>453262</v>
      </c>
      <c r="K26" s="13"/>
      <c r="L26" s="16">
        <f>SUM(L23:L24)</f>
        <v>437091</v>
      </c>
      <c r="M26" s="13"/>
      <c r="N26" s="16">
        <f>SUM(N23:N24)</f>
        <v>2269</v>
      </c>
      <c r="O26" s="13"/>
      <c r="P26" s="16">
        <f>SUM(P23:P24)</f>
        <v>10206</v>
      </c>
      <c r="Q26" s="13"/>
      <c r="R26" s="16">
        <f>SUM(R23:R24)</f>
        <v>5696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4.9800000000000004</v>
      </c>
      <c r="G32" s="7"/>
      <c r="H32" s="12">
        <v>1284532</v>
      </c>
      <c r="I32" s="13"/>
      <c r="J32" s="12">
        <v>1279066</v>
      </c>
      <c r="K32" s="13"/>
      <c r="L32" s="12">
        <v>1283521</v>
      </c>
      <c r="M32" s="13"/>
      <c r="N32" s="12">
        <v>5465</v>
      </c>
      <c r="O32" s="13" t="s">
        <v>31</v>
      </c>
      <c r="P32" s="12">
        <v>27096</v>
      </c>
      <c r="Q32" s="13"/>
      <c r="R32" s="12">
        <v>22181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4937</v>
      </c>
      <c r="I34" s="13"/>
      <c r="J34" s="12">
        <v>4917</v>
      </c>
      <c r="K34" s="13"/>
      <c r="L34" s="12">
        <v>4730</v>
      </c>
      <c r="M34" s="13"/>
      <c r="N34" s="12">
        <v>20</v>
      </c>
      <c r="O34" s="13"/>
      <c r="P34" s="12">
        <v>96</v>
      </c>
      <c r="Q34" s="13"/>
      <c r="R34" s="12">
        <v>60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5.23</v>
      </c>
      <c r="G35" s="7"/>
      <c r="H35" s="15">
        <v>7309616</v>
      </c>
      <c r="I35" s="13"/>
      <c r="J35" s="15">
        <v>7275892</v>
      </c>
      <c r="K35" s="13"/>
      <c r="L35" s="15">
        <v>5949104</v>
      </c>
      <c r="M35" s="13"/>
      <c r="N35" s="15">
        <v>33294</v>
      </c>
      <c r="O35" s="13"/>
      <c r="P35" s="15">
        <v>171038</v>
      </c>
      <c r="Q35" s="13"/>
      <c r="R35" s="15">
        <v>102766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8607709</v>
      </c>
      <c r="I37" s="13"/>
      <c r="J37" s="16">
        <f>SUM(J32:J35)</f>
        <v>8568499</v>
      </c>
      <c r="K37" s="13"/>
      <c r="L37" s="16">
        <f>SUM(L32:L35)</f>
        <v>7246043</v>
      </c>
      <c r="M37" s="13"/>
      <c r="N37" s="16">
        <f>SUM(N32:N35)</f>
        <v>38779</v>
      </c>
      <c r="O37" s="13"/>
      <c r="P37" s="16">
        <f>SUM(P32:P35)</f>
        <v>198230</v>
      </c>
      <c r="Q37" s="13"/>
      <c r="R37" s="16">
        <f>SUM(R32:R35)</f>
        <v>125007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26" t="s">
        <v>165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9" t="s">
        <v>127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188</v>
      </c>
      <c r="H6" s="102"/>
      <c r="I6" s="80" t="s">
        <v>189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357484</v>
      </c>
      <c r="H9" s="102"/>
      <c r="I9" s="103">
        <v>851812</v>
      </c>
      <c r="J9" s="92"/>
      <c r="K9" s="92"/>
      <c r="L9" s="103">
        <v>1398098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3.2153534651453562E-4</v>
      </c>
      <c r="F10" s="111"/>
      <c r="G10" s="111">
        <v>3121232</v>
      </c>
      <c r="H10" s="102"/>
      <c r="I10" s="111">
        <v>2622149</v>
      </c>
      <c r="J10" s="92"/>
      <c r="K10" s="92"/>
      <c r="L10" s="111">
        <v>1207120</v>
      </c>
      <c r="M10" s="92"/>
      <c r="N10" s="56">
        <v>923.35</v>
      </c>
      <c r="O10" s="92"/>
      <c r="P10" s="72"/>
      <c r="Q10" s="42"/>
      <c r="R10" s="123">
        <f>631+154.21+2041+2356.54+1745+1203.63+709.46+1232.22+1705.05+1358+923.35</f>
        <v>14059.46</v>
      </c>
      <c r="S10" s="42"/>
      <c r="T10" s="108"/>
      <c r="U10" s="86"/>
      <c r="V10" s="123">
        <v>7154.85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3478716</v>
      </c>
      <c r="H11" s="102"/>
      <c r="I11" s="103">
        <f>SUM(I9:I10)</f>
        <v>3473961</v>
      </c>
      <c r="J11" s="92"/>
      <c r="K11" s="92"/>
      <c r="L11" s="103">
        <f>SUM(L9:L10)</f>
        <v>2605218</v>
      </c>
      <c r="M11" s="92"/>
      <c r="N11" s="120">
        <f>SUM(N9:N10)</f>
        <v>923.35</v>
      </c>
      <c r="O11" s="92"/>
      <c r="P11" s="120">
        <f>SUM(P9:P10)</f>
        <v>0</v>
      </c>
      <c r="Q11" s="85"/>
      <c r="R11" s="120">
        <f>SUM(R9:R10)</f>
        <v>14059.46</v>
      </c>
      <c r="S11" s="85"/>
      <c r="T11" s="120">
        <f>SUM(T9:T10)</f>
        <v>0</v>
      </c>
      <c r="U11" s="120"/>
      <c r="V11" s="120">
        <f>SUM(V9:V10)</f>
        <v>7154.85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4865655</v>
      </c>
      <c r="H31" s="29"/>
      <c r="I31" s="82">
        <v>4871811</v>
      </c>
      <c r="J31" s="40"/>
      <c r="K31" s="40"/>
      <c r="L31" s="82">
        <v>4659583</v>
      </c>
      <c r="M31" s="129"/>
      <c r="N31" s="38">
        <v>6156.41</v>
      </c>
      <c r="O31" s="40"/>
      <c r="P31" s="45"/>
      <c r="Q31" s="40"/>
      <c r="R31" s="38">
        <f>7623+7277+9019+6056.28+6121+24740.94+10925.13+5439.01+8147.36+5524+6156.46</f>
        <v>97029.180000000008</v>
      </c>
      <c r="S31" s="93"/>
      <c r="T31" s="38"/>
      <c r="U31" s="93"/>
      <c r="V31" s="38">
        <v>150169.65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-432401</v>
      </c>
      <c r="H32" s="29"/>
      <c r="I32" s="45">
        <v>-711541</v>
      </c>
      <c r="J32" s="40"/>
      <c r="K32" s="40"/>
      <c r="L32" s="45">
        <v>-1315143</v>
      </c>
      <c r="M32" s="129"/>
      <c r="N32" s="38"/>
      <c r="O32" s="40"/>
      <c r="P32" s="45">
        <v>-279140.05</v>
      </c>
      <c r="Q32" s="40"/>
      <c r="R32" s="38"/>
      <c r="S32" s="93"/>
      <c r="T32" s="38">
        <f>249209+97084+160047.47-69232.96+145865.58+73002.34-132176.87+91232.97+211979.29+64897.79-279140.05</f>
        <v>612768.56000000006</v>
      </c>
      <c r="U32" s="119"/>
      <c r="V32" s="38"/>
      <c r="W32" s="93"/>
      <c r="X32" s="38">
        <v>-1225233.7699999998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-41319.129999999997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293556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3870177</v>
      </c>
      <c r="H35" s="29"/>
      <c r="I35" s="116">
        <f>SUM(I29:I34)</f>
        <v>3597193</v>
      </c>
      <c r="J35" s="40"/>
      <c r="K35" s="40"/>
      <c r="L35" s="116">
        <f>SUM(L29:L34)</f>
        <v>3637996</v>
      </c>
      <c r="M35" s="129"/>
      <c r="N35" s="116">
        <f>SUM(N29:N34)</f>
        <v>6156.41</v>
      </c>
      <c r="O35" s="40"/>
      <c r="P35" s="116">
        <f>SUM(P29:P34)</f>
        <v>-279140.05</v>
      </c>
      <c r="Q35" s="40"/>
      <c r="R35" s="116">
        <f>SUM(R29:R34)</f>
        <v>102187.23000000001</v>
      </c>
      <c r="S35" s="40"/>
      <c r="T35" s="116">
        <f>SUM(T29:T34)</f>
        <v>644926.62000000011</v>
      </c>
      <c r="U35" s="120"/>
      <c r="V35" s="116">
        <f>SUM(V29:V34)</f>
        <v>136306.57999999999</v>
      </c>
      <c r="W35" s="40"/>
      <c r="X35" s="116">
        <f>SUM(X29:X34)</f>
        <v>-1243515.7699999998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8531059.6500000004</v>
      </c>
      <c r="H37" s="29"/>
      <c r="I37" s="107">
        <f>+I35+I25+I19+I11</f>
        <v>8253320.6500000004</v>
      </c>
      <c r="J37" s="92"/>
      <c r="K37" s="92"/>
      <c r="L37" s="107">
        <f>+L35+L25+L19+L11</f>
        <v>7431947</v>
      </c>
      <c r="M37" s="129"/>
      <c r="N37" s="107">
        <f>+N35+N25+N19+N11</f>
        <v>7079.76</v>
      </c>
      <c r="O37" s="92"/>
      <c r="P37" s="107">
        <f>+P35+P25+P19+P11</f>
        <v>-279140.05</v>
      </c>
      <c r="Q37" s="92"/>
      <c r="R37" s="107">
        <f>+R35+R25+R19+R11</f>
        <v>116246.69</v>
      </c>
      <c r="S37" s="92"/>
      <c r="T37" s="107">
        <f>+T35+T25+T19+T11</f>
        <v>644926.62000000011</v>
      </c>
      <c r="U37" s="120"/>
      <c r="V37" s="107">
        <f>+V35+V25+V19+V11</f>
        <v>146239.75</v>
      </c>
      <c r="W37" s="92"/>
      <c r="X37" s="107">
        <f>+X35+X25+X19+X11</f>
        <v>-1243515.7699999998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-May 2010 
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Y80"/>
  <sheetViews>
    <sheetView workbookViewId="0">
      <selection activeCell="P32" sqref="P3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26" t="s">
        <v>165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9" t="s">
        <v>127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397100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11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2520210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38"/>
      <c r="O32" s="40"/>
      <c r="P32" s="45">
        <v>-105885.56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7243.6</v>
      </c>
      <c r="O35" s="40"/>
      <c r="P35" s="116">
        <f>SUM(P29:P34)</f>
        <v>-105885.56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7200927.6500000004</v>
      </c>
      <c r="J37" s="92"/>
      <c r="K37" s="92"/>
      <c r="L37" s="107">
        <f>+L35+L25+L19+L11</f>
        <v>6332577</v>
      </c>
      <c r="M37" s="129"/>
      <c r="N37" s="107">
        <f>+N35+N25+N19+N11</f>
        <v>8211.8000000000011</v>
      </c>
      <c r="O37" s="92"/>
      <c r="P37" s="107">
        <f>+P35+P25+P19+P11</f>
        <v>-105885.56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26" t="s">
        <v>165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9" t="s">
        <v>127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395536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46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2518646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148">
        <v>12964</v>
      </c>
      <c r="O32" s="40"/>
      <c r="P32" s="147">
        <v>-134922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20207.599999999999</v>
      </c>
      <c r="O35" s="40"/>
      <c r="P35" s="116">
        <f>SUM(P29:P34)</f>
        <v>-134922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7199363.6500000004</v>
      </c>
      <c r="J37" s="92"/>
      <c r="K37" s="92"/>
      <c r="L37" s="107">
        <f>+L35+L25+L19+L11</f>
        <v>6332577</v>
      </c>
      <c r="M37" s="129"/>
      <c r="N37" s="107">
        <f>+N35+N25+N19+N11</f>
        <v>21175.8</v>
      </c>
      <c r="O37" s="92"/>
      <c r="P37" s="107">
        <f>+P35+P25+P19+P11</f>
        <v>-134922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 t="s">
        <v>192</v>
      </c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26" t="s">
        <v>193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9" t="s">
        <v>127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38898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194</v>
      </c>
      <c r="H6" s="102"/>
      <c r="I6" s="80" t="s">
        <v>195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395536</v>
      </c>
      <c r="H9" s="102"/>
      <c r="I9" s="103">
        <v>528100</v>
      </c>
      <c r="J9" s="92"/>
      <c r="K9" s="92"/>
      <c r="L9" s="103">
        <v>687481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3.1539474393427224E-4</v>
      </c>
      <c r="F10" s="111"/>
      <c r="G10" s="111">
        <v>2123110</v>
      </c>
      <c r="H10" s="102"/>
      <c r="I10" s="111">
        <v>1123615</v>
      </c>
      <c r="J10" s="92"/>
      <c r="K10" s="92"/>
      <c r="L10" s="111">
        <v>608795</v>
      </c>
      <c r="M10" s="92"/>
      <c r="N10" s="56">
        <v>512</v>
      </c>
      <c r="O10" s="92"/>
      <c r="P10" s="72"/>
      <c r="Q10" s="42"/>
      <c r="R10" s="123">
        <v>512</v>
      </c>
      <c r="S10" s="42"/>
      <c r="T10" s="108"/>
      <c r="U10" s="86"/>
      <c r="V10" s="123">
        <v>631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2518646</v>
      </c>
      <c r="H11" s="102"/>
      <c r="I11" s="103">
        <f>SUM(I9:I10)</f>
        <v>1651715</v>
      </c>
      <c r="J11" s="92"/>
      <c r="K11" s="92"/>
      <c r="L11" s="103">
        <f>SUM(L9:L10)</f>
        <v>1296276</v>
      </c>
      <c r="M11" s="92"/>
      <c r="N11" s="120">
        <f>SUM(N9:N10)</f>
        <v>512</v>
      </c>
      <c r="O11" s="92"/>
      <c r="P11" s="120">
        <f>SUM(P9:P10)</f>
        <v>0</v>
      </c>
      <c r="Q11" s="85"/>
      <c r="R11" s="120">
        <f>SUM(R9:R10)</f>
        <v>512</v>
      </c>
      <c r="S11" s="85"/>
      <c r="T11" s="120">
        <f>SUM(T9:T10)</f>
        <v>0</v>
      </c>
      <c r="U11" s="120"/>
      <c r="V11" s="120">
        <f>SUM(V9:V10)</f>
        <v>631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4879055</v>
      </c>
      <c r="H31" s="29"/>
      <c r="I31" s="82">
        <v>4886661</v>
      </c>
      <c r="J31" s="40"/>
      <c r="K31" s="40"/>
      <c r="L31" s="82">
        <v>4682405</v>
      </c>
      <c r="M31" s="129"/>
      <c r="N31" s="38">
        <v>7606.67</v>
      </c>
      <c r="O31" s="40"/>
      <c r="P31" s="45"/>
      <c r="Q31" s="40"/>
      <c r="R31" s="38">
        <v>7606.67</v>
      </c>
      <c r="S31" s="93"/>
      <c r="T31" s="38"/>
      <c r="U31" s="93"/>
      <c r="V31" s="38">
        <v>7623</v>
      </c>
      <c r="W31" s="93"/>
      <c r="X31" s="38">
        <v>249009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-817427</v>
      </c>
      <c r="H32" s="29"/>
      <c r="I32" s="45">
        <v>-564238</v>
      </c>
      <c r="J32" s="40"/>
      <c r="K32" s="40"/>
      <c r="L32" s="45">
        <v>-1075101</v>
      </c>
      <c r="M32" s="129"/>
      <c r="N32" s="38"/>
      <c r="O32" s="40"/>
      <c r="P32" s="45">
        <v>253188.79</v>
      </c>
      <c r="Q32" s="40"/>
      <c r="R32" s="38"/>
      <c r="S32" s="93"/>
      <c r="T32" s="38">
        <v>253188.79</v>
      </c>
      <c r="U32" s="119"/>
      <c r="V32" s="38">
        <v>0</v>
      </c>
      <c r="W32" s="93"/>
      <c r="X32" s="38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-21197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15057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3498551</v>
      </c>
      <c r="H35" s="29"/>
      <c r="I35" s="116">
        <f>SUM(I29:I34)</f>
        <v>3759346</v>
      </c>
      <c r="J35" s="40"/>
      <c r="K35" s="40"/>
      <c r="L35" s="116">
        <f>SUM(L29:L34)</f>
        <v>3586107</v>
      </c>
      <c r="M35" s="129"/>
      <c r="N35" s="116">
        <f>SUM(N29:N34)</f>
        <v>7606.67</v>
      </c>
      <c r="O35" s="40"/>
      <c r="P35" s="116">
        <f>SUM(P29:P34)</f>
        <v>253188.79</v>
      </c>
      <c r="Q35" s="40"/>
      <c r="R35" s="116">
        <f>SUM(R29:R34)</f>
        <v>7606.67</v>
      </c>
      <c r="S35" s="40"/>
      <c r="T35" s="116">
        <f>SUM(T29:T34)</f>
        <v>253188.79</v>
      </c>
      <c r="U35" s="120"/>
      <c r="V35" s="116">
        <f>SUM(V29:V34)</f>
        <v>7623</v>
      </c>
      <c r="W35" s="40"/>
      <c r="X35" s="116">
        <f>SUM(X29:X34)</f>
        <v>264066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7199363.6500000004</v>
      </c>
      <c r="H37" s="29"/>
      <c r="I37" s="107">
        <f>+I35+I25+I19+I11</f>
        <v>6593227.6500000004</v>
      </c>
      <c r="J37" s="92"/>
      <c r="K37" s="92"/>
      <c r="L37" s="107">
        <f>+L35+L25+L19+L11</f>
        <v>6071116</v>
      </c>
      <c r="M37" s="129"/>
      <c r="N37" s="107">
        <f>+N35+N25+N19+N11</f>
        <v>8118.67</v>
      </c>
      <c r="O37" s="92"/>
      <c r="P37" s="107">
        <f>+P35+P25+P19+P11</f>
        <v>253188.79</v>
      </c>
      <c r="Q37" s="92"/>
      <c r="R37" s="107">
        <f>+R35+R25+R19+R11</f>
        <v>8118.67</v>
      </c>
      <c r="S37" s="92"/>
      <c r="T37" s="107">
        <f>+T35+T25+T19+T11</f>
        <v>253188.79</v>
      </c>
      <c r="U37" s="120"/>
      <c r="V37" s="107">
        <f>+V35+V25+V19+V11</f>
        <v>8254</v>
      </c>
      <c r="W37" s="92"/>
      <c r="X37" s="107">
        <f>+X35+X25+X19+X11</f>
        <v>264066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-July 2010 
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26" t="s">
        <v>193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9" t="s">
        <v>127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196</v>
      </c>
      <c r="H6" s="102"/>
      <c r="I6" s="80" t="s">
        <v>197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528100</v>
      </c>
      <c r="H9" s="102"/>
      <c r="I9" s="103">
        <v>844251</v>
      </c>
      <c r="J9" s="92"/>
      <c r="K9" s="92"/>
      <c r="L9" s="103">
        <v>1794145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2.6648143145654047E-4</v>
      </c>
      <c r="F10" s="111"/>
      <c r="G10" s="111">
        <v>1123615</v>
      </c>
      <c r="H10" s="102"/>
      <c r="I10" s="111">
        <v>1208555</v>
      </c>
      <c r="J10" s="92"/>
      <c r="K10" s="92"/>
      <c r="L10" s="111">
        <v>108942</v>
      </c>
      <c r="M10" s="92"/>
      <c r="N10" s="56">
        <v>310.74</v>
      </c>
      <c r="O10" s="92"/>
      <c r="P10" s="72"/>
      <c r="Q10" s="42"/>
      <c r="R10" s="123">
        <f>512+310.74</f>
        <v>822.74</v>
      </c>
      <c r="S10" s="42"/>
      <c r="T10" s="108"/>
      <c r="U10" s="86"/>
      <c r="V10" s="123">
        <v>785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1651715</v>
      </c>
      <c r="H11" s="102"/>
      <c r="I11" s="103">
        <f>SUM(I9:I10)</f>
        <v>2052806</v>
      </c>
      <c r="J11" s="92"/>
      <c r="K11" s="92"/>
      <c r="L11" s="103">
        <f>SUM(L9:L10)</f>
        <v>1903087</v>
      </c>
      <c r="M11" s="92"/>
      <c r="N11" s="120">
        <f>SUM(N9:N10)</f>
        <v>310.74</v>
      </c>
      <c r="O11" s="92"/>
      <c r="P11" s="120">
        <f>SUM(P9:P10)</f>
        <v>0</v>
      </c>
      <c r="Q11" s="85"/>
      <c r="R11" s="120">
        <f>SUM(R9:R10)</f>
        <v>822.74</v>
      </c>
      <c r="S11" s="85"/>
      <c r="T11" s="120">
        <f>SUM(T9:T10)</f>
        <v>0</v>
      </c>
      <c r="U11" s="120"/>
      <c r="V11" s="120">
        <f>SUM(V9:V10)</f>
        <v>785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4886661</v>
      </c>
      <c r="H31" s="29"/>
      <c r="I31" s="82">
        <v>4894459</v>
      </c>
      <c r="J31" s="40"/>
      <c r="K31" s="40"/>
      <c r="L31" s="82">
        <v>4189682</v>
      </c>
      <c r="M31" s="129"/>
      <c r="N31" s="38">
        <v>7797.18</v>
      </c>
      <c r="O31" s="40"/>
      <c r="P31" s="45"/>
      <c r="Q31" s="40"/>
      <c r="R31" s="38">
        <f>7606.67+7797.18</f>
        <v>15403.85</v>
      </c>
      <c r="S31" s="93"/>
      <c r="T31" s="38"/>
      <c r="U31" s="93"/>
      <c r="V31" s="38">
        <v>14900</v>
      </c>
      <c r="W31" s="93"/>
      <c r="X31" s="38">
        <v>346293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-564238</v>
      </c>
      <c r="H32" s="29"/>
      <c r="I32" s="45">
        <v>-686913</v>
      </c>
      <c r="J32" s="40"/>
      <c r="K32" s="40"/>
      <c r="L32" s="45">
        <v>-978017</v>
      </c>
      <c r="M32" s="129"/>
      <c r="N32" s="38"/>
      <c r="O32" s="40"/>
      <c r="P32" s="45">
        <v>-122675.02</v>
      </c>
      <c r="Q32" s="40"/>
      <c r="R32" s="38"/>
      <c r="S32" s="93"/>
      <c r="T32" s="38">
        <f>253188.79-122675</f>
        <v>130513.79000000001</v>
      </c>
      <c r="U32" s="119"/>
      <c r="V32" s="38">
        <v>0</v>
      </c>
      <c r="W32" s="93"/>
      <c r="X32" s="38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-76661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26253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3759346</v>
      </c>
      <c r="H35" s="29"/>
      <c r="I35" s="116">
        <f>SUM(I29:I34)</f>
        <v>3644469</v>
      </c>
      <c r="J35" s="40"/>
      <c r="K35" s="40"/>
      <c r="L35" s="116">
        <f>SUM(L29:L34)</f>
        <v>3135004</v>
      </c>
      <c r="M35" s="129"/>
      <c r="N35" s="116">
        <f>SUM(N29:N34)</f>
        <v>7797.18</v>
      </c>
      <c r="O35" s="40"/>
      <c r="P35" s="116">
        <f>SUM(P29:P34)</f>
        <v>-122675.02</v>
      </c>
      <c r="Q35" s="40"/>
      <c r="R35" s="116">
        <f>SUM(R29:R34)</f>
        <v>15403.85</v>
      </c>
      <c r="S35" s="40"/>
      <c r="T35" s="116">
        <f>SUM(T29:T34)</f>
        <v>130513.79000000001</v>
      </c>
      <c r="U35" s="120"/>
      <c r="V35" s="116">
        <f>SUM(V29:V34)</f>
        <v>14900</v>
      </c>
      <c r="W35" s="40"/>
      <c r="X35" s="116">
        <f>SUM(X29:X34)</f>
        <v>372546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6593227.6500000004</v>
      </c>
      <c r="H37" s="29"/>
      <c r="I37" s="107">
        <f>+I35+I25+I19+I11</f>
        <v>6879441.6500000004</v>
      </c>
      <c r="J37" s="92"/>
      <c r="K37" s="92"/>
      <c r="L37" s="107">
        <f>+L35+L25+L19+L11</f>
        <v>6226824</v>
      </c>
      <c r="M37" s="129"/>
      <c r="N37" s="107">
        <f>+N35+N25+N19+N11</f>
        <v>8107.92</v>
      </c>
      <c r="O37" s="92"/>
      <c r="P37" s="107">
        <f>+P35+P25+P19+P11</f>
        <v>-122675.02</v>
      </c>
      <c r="Q37" s="92"/>
      <c r="R37" s="107">
        <f>+R35+R25+R19+R11</f>
        <v>16226.59</v>
      </c>
      <c r="S37" s="92"/>
      <c r="T37" s="107">
        <f>+T35+T25+T19+T11</f>
        <v>130513.79000000001</v>
      </c>
      <c r="U37" s="120"/>
      <c r="V37" s="107">
        <f>+V35+V25+V19+V11</f>
        <v>15685</v>
      </c>
      <c r="W37" s="92"/>
      <c r="X37" s="107">
        <f>+X35+X25+X19+X11</f>
        <v>372546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August 2010 
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Y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26" t="s">
        <v>193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9" t="s">
        <v>127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198</v>
      </c>
      <c r="H6" s="102"/>
      <c r="I6" s="80" t="s">
        <v>199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844251</v>
      </c>
      <c r="H9" s="102"/>
      <c r="I9" s="103">
        <v>1574793</v>
      </c>
      <c r="J9" s="92"/>
      <c r="K9" s="92"/>
      <c r="L9" s="103">
        <v>4610976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3.4972726332923199E-4</v>
      </c>
      <c r="F10" s="111"/>
      <c r="G10" s="111">
        <v>1208555</v>
      </c>
      <c r="H10" s="102"/>
      <c r="I10" s="111">
        <v>3724775</v>
      </c>
      <c r="J10" s="92"/>
      <c r="K10" s="92"/>
      <c r="L10" s="111">
        <v>1264540</v>
      </c>
      <c r="M10" s="92"/>
      <c r="N10" s="56">
        <v>862.66</v>
      </c>
      <c r="O10" s="92"/>
      <c r="P10" s="72"/>
      <c r="Q10" s="42"/>
      <c r="R10" s="123">
        <f>512+310.74+862.66</f>
        <v>1685.4</v>
      </c>
      <c r="S10" s="42"/>
      <c r="T10" s="108"/>
      <c r="U10" s="86"/>
      <c r="V10" s="123">
        <f>631+154.21+2041</f>
        <v>2826.21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2052806</v>
      </c>
      <c r="H11" s="102"/>
      <c r="I11" s="103">
        <f>SUM(I9:I10)</f>
        <v>5299568</v>
      </c>
      <c r="J11" s="92"/>
      <c r="K11" s="92"/>
      <c r="L11" s="103">
        <f>SUM(L9:L10)</f>
        <v>5875516</v>
      </c>
      <c r="M11" s="92"/>
      <c r="N11" s="120">
        <f>SUM(N9:N10)</f>
        <v>862.66</v>
      </c>
      <c r="O11" s="92"/>
      <c r="P11" s="120">
        <f>SUM(P9:P10)</f>
        <v>0</v>
      </c>
      <c r="Q11" s="85"/>
      <c r="R11" s="120">
        <f>SUM(R9:R10)</f>
        <v>1685.4</v>
      </c>
      <c r="S11" s="85"/>
      <c r="T11" s="120">
        <f>SUM(T9:T10)</f>
        <v>0</v>
      </c>
      <c r="U11" s="120"/>
      <c r="V11" s="120">
        <f>SUM(V9:V10)</f>
        <v>2826.21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5.12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5.12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4894459</v>
      </c>
      <c r="H31" s="29"/>
      <c r="I31" s="82">
        <v>4902952</v>
      </c>
      <c r="J31" s="40"/>
      <c r="K31" s="40"/>
      <c r="L31" s="82">
        <v>4698701</v>
      </c>
      <c r="M31" s="129"/>
      <c r="N31" s="38">
        <v>8493</v>
      </c>
      <c r="O31" s="40"/>
      <c r="P31" s="45"/>
      <c r="Q31" s="40"/>
      <c r="R31" s="38">
        <f>7606.67+7797.18+8493</f>
        <v>23896.85</v>
      </c>
      <c r="S31" s="93"/>
      <c r="T31" s="38"/>
      <c r="U31" s="93"/>
      <c r="V31" s="38">
        <f>7623+7277+9019</f>
        <v>23919</v>
      </c>
      <c r="W31" s="93"/>
      <c r="X31" s="38">
        <f>249209+97084+160047.47</f>
        <v>506340.47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-686913</v>
      </c>
      <c r="H32" s="29"/>
      <c r="I32" s="45">
        <v>-366013</v>
      </c>
      <c r="J32" s="40"/>
      <c r="K32" s="40"/>
      <c r="L32" s="45">
        <v>-817969</v>
      </c>
      <c r="M32" s="129"/>
      <c r="N32" s="38"/>
      <c r="O32" s="40"/>
      <c r="P32" s="45">
        <v>320899.46999999997</v>
      </c>
      <c r="Q32" s="40"/>
      <c r="R32" s="38"/>
      <c r="S32" s="93"/>
      <c r="T32" s="38">
        <f>253188.79-122675+320899.47</f>
        <v>451413.26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-157296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</f>
        <v>32788.699999999997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3644469</v>
      </c>
      <c r="H35" s="29"/>
      <c r="I35" s="116">
        <f>SUM(I29:I34)</f>
        <v>3973862</v>
      </c>
      <c r="J35" s="40"/>
      <c r="K35" s="40"/>
      <c r="L35" s="116">
        <f>SUM(L29:L34)</f>
        <v>3723436</v>
      </c>
      <c r="M35" s="129"/>
      <c r="N35" s="116">
        <f>SUM(N29:N34)</f>
        <v>8493</v>
      </c>
      <c r="O35" s="40"/>
      <c r="P35" s="116">
        <f>SUM(P29:P34)</f>
        <v>320899.46999999997</v>
      </c>
      <c r="Q35" s="40"/>
      <c r="R35" s="116">
        <f>SUM(R29:R34)</f>
        <v>23896.85</v>
      </c>
      <c r="S35" s="40"/>
      <c r="T35" s="116">
        <f>SUM(T29:T34)</f>
        <v>451413.26</v>
      </c>
      <c r="U35" s="120"/>
      <c r="V35" s="116">
        <f>SUM(V29:V34)</f>
        <v>23919</v>
      </c>
      <c r="W35" s="40"/>
      <c r="X35" s="116">
        <f>SUM(X29:X34)</f>
        <v>539129.16999999993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6879441.6500000004</v>
      </c>
      <c r="H37" s="29"/>
      <c r="I37" s="107">
        <f>+I35+I25+I19+I11</f>
        <v>10455601.65</v>
      </c>
      <c r="J37" s="92"/>
      <c r="K37" s="92"/>
      <c r="L37" s="107">
        <f>+L35+L25+L19+L11</f>
        <v>10787685</v>
      </c>
      <c r="M37" s="129"/>
      <c r="N37" s="107">
        <f>+N35+N25+N19+N11</f>
        <v>9360.7800000000007</v>
      </c>
      <c r="O37" s="92"/>
      <c r="P37" s="107">
        <f>+P35+P25+P19+P11</f>
        <v>320899.46999999997</v>
      </c>
      <c r="Q37" s="92"/>
      <c r="R37" s="107">
        <f>+R35+R25+R19+R11</f>
        <v>25587.37</v>
      </c>
      <c r="S37" s="92"/>
      <c r="T37" s="107">
        <f>+T35+T25+T19+T11</f>
        <v>451413.26</v>
      </c>
      <c r="U37" s="120"/>
      <c r="V37" s="107">
        <f>+V35+V25+V19+V11</f>
        <v>26745.21</v>
      </c>
      <c r="W37" s="92"/>
      <c r="X37" s="107">
        <f>+X35+X25+X19+X11</f>
        <v>539129.16999999993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Sept 2010 
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Y49"/>
  <sheetViews>
    <sheetView showGridLines="0"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26" t="s">
        <v>193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9" t="s">
        <v>127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39019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200</v>
      </c>
      <c r="H6" s="102"/>
      <c r="I6" s="80" t="s">
        <v>201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1574793</v>
      </c>
      <c r="H9" s="102"/>
      <c r="I9" s="103">
        <f>698377-100000</f>
        <v>598377</v>
      </c>
      <c r="J9" s="92"/>
      <c r="K9" s="92"/>
      <c r="L9" s="103">
        <v>322823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3.3092446838346609E-4</v>
      </c>
      <c r="F10" s="111"/>
      <c r="G10" s="111">
        <v>3724775</v>
      </c>
      <c r="H10" s="102"/>
      <c r="I10" s="111">
        <v>2475794</v>
      </c>
      <c r="J10" s="92"/>
      <c r="K10" s="92"/>
      <c r="L10" s="111">
        <v>3613326</v>
      </c>
      <c r="M10" s="92"/>
      <c r="N10" s="56">
        <v>1025.96</v>
      </c>
      <c r="O10" s="92"/>
      <c r="P10" s="72"/>
      <c r="Q10" s="42"/>
      <c r="R10" s="123">
        <f>512+310.74+862.66+1025.96</f>
        <v>2711.36</v>
      </c>
      <c r="S10" s="42"/>
      <c r="T10" s="108"/>
      <c r="U10" s="86"/>
      <c r="V10" s="123">
        <f>631+154.21+2041+2356.54</f>
        <v>5182.75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5299568</v>
      </c>
      <c r="H11" s="102"/>
      <c r="I11" s="103">
        <f>SUM(I9:I10)</f>
        <v>3074171</v>
      </c>
      <c r="J11" s="92"/>
      <c r="K11" s="92"/>
      <c r="L11" s="103">
        <f>SUM(L9:L10)</f>
        <v>3936149</v>
      </c>
      <c r="M11" s="92"/>
      <c r="N11" s="120">
        <f>SUM(N9:N10)</f>
        <v>1025.96</v>
      </c>
      <c r="O11" s="92"/>
      <c r="P11" s="120">
        <f>SUM(P9:P10)</f>
        <v>0</v>
      </c>
      <c r="Q11" s="85"/>
      <c r="R11" s="120">
        <f>SUM(R9:R10)</f>
        <v>2711.36</v>
      </c>
      <c r="S11" s="85"/>
      <c r="T11" s="120">
        <f>SUM(T9:T10)</f>
        <v>0</v>
      </c>
      <c r="U11" s="120"/>
      <c r="V11" s="120">
        <f>SUM(V9:V10)</f>
        <v>5182.75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0</v>
      </c>
      <c r="H29" s="29"/>
      <c r="I29" s="115">
        <v>100000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4902952</v>
      </c>
      <c r="H31" s="29"/>
      <c r="I31" s="82">
        <v>4909164</v>
      </c>
      <c r="J31" s="40"/>
      <c r="K31" s="40"/>
      <c r="L31" s="82">
        <v>4704757</v>
      </c>
      <c r="M31" s="129"/>
      <c r="N31" s="38">
        <v>6212.69</v>
      </c>
      <c r="O31" s="40"/>
      <c r="P31" s="45"/>
      <c r="Q31" s="40"/>
      <c r="R31" s="38">
        <f>7606.67+7797.18+8493+6212.69</f>
        <v>30109.539999999997</v>
      </c>
      <c r="S31" s="93"/>
      <c r="T31" s="38"/>
      <c r="U31" s="93"/>
      <c r="V31" s="38">
        <f>7623+7277+9019+6056.28</f>
        <v>29975.279999999999</v>
      </c>
      <c r="W31" s="93"/>
      <c r="X31" s="38">
        <f>249209+97084+160047.47-69232.96</f>
        <v>437107.50999999995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-366013</v>
      </c>
      <c r="H32" s="29"/>
      <c r="I32" s="45">
        <v>-229069</v>
      </c>
      <c r="J32" s="40"/>
      <c r="K32" s="40"/>
      <c r="L32" s="45">
        <v>-887202</v>
      </c>
      <c r="M32" s="129"/>
      <c r="N32" s="38"/>
      <c r="O32" s="40"/>
      <c r="P32" s="45">
        <v>136944.13</v>
      </c>
      <c r="Q32" s="40"/>
      <c r="R32" s="38"/>
      <c r="S32" s="93"/>
      <c r="T32" s="38">
        <f>253188.79-122675+320899.47+136944.13</f>
        <v>588357.39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-160253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3973862</v>
      </c>
      <c r="H35" s="29"/>
      <c r="I35" s="116">
        <f>SUM(I29:I34)</f>
        <v>4217018</v>
      </c>
      <c r="J35" s="40"/>
      <c r="K35" s="40"/>
      <c r="L35" s="116">
        <f>SUM(L29:L34)</f>
        <v>3657302</v>
      </c>
      <c r="M35" s="129"/>
      <c r="N35" s="116">
        <f>SUM(N29:N34)</f>
        <v>6212.69</v>
      </c>
      <c r="O35" s="40"/>
      <c r="P35" s="116">
        <f>SUM(P29:P34)</f>
        <v>136944.13</v>
      </c>
      <c r="Q35" s="40"/>
      <c r="R35" s="116">
        <f>SUM(R29:R34)</f>
        <v>30109.539999999997</v>
      </c>
      <c r="S35" s="40"/>
      <c r="T35" s="116">
        <f>SUM(T29:T34)</f>
        <v>588357.39</v>
      </c>
      <c r="U35" s="120"/>
      <c r="V35" s="116">
        <f>SUM(V29:V34)</f>
        <v>29975.279999999999</v>
      </c>
      <c r="W35" s="40"/>
      <c r="X35" s="116">
        <f>SUM(X29:X34)</f>
        <v>466938.64999999997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10455601.65</v>
      </c>
      <c r="H37" s="29"/>
      <c r="I37" s="107">
        <f>+I35+I25+I19+I11</f>
        <v>8473360.6500000004</v>
      </c>
      <c r="J37" s="92"/>
      <c r="K37" s="92"/>
      <c r="L37" s="107">
        <f>+L35+L25+L19+L11</f>
        <v>8782184</v>
      </c>
      <c r="M37" s="129"/>
      <c r="N37" s="107">
        <f>+N35+N25+N19+N11</f>
        <v>7238.65</v>
      </c>
      <c r="O37" s="92"/>
      <c r="P37" s="107">
        <f>+P35+P25+P19+P11</f>
        <v>136944.13</v>
      </c>
      <c r="Q37" s="92"/>
      <c r="R37" s="107">
        <f>+R35+R25+R19+R11</f>
        <v>32826.019999999997</v>
      </c>
      <c r="S37" s="92"/>
      <c r="T37" s="107">
        <f>+T35+T25+T19+T11</f>
        <v>588357.39</v>
      </c>
      <c r="U37" s="120"/>
      <c r="V37" s="107">
        <f>+V35+V25+V19+V11</f>
        <v>35158.03</v>
      </c>
      <c r="W37" s="92"/>
      <c r="X37" s="107">
        <f>+X35+X25+X19+X11</f>
        <v>466938.64999999997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Oct 2010 
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X49"/>
  <sheetViews>
    <sheetView showGridLines="0" workbookViewId="0">
      <selection activeCell="C43" sqref="C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4" ht="12.75" thickBot="1">
      <c r="B2" s="35"/>
      <c r="C2" s="23"/>
      <c r="D2" s="426" t="s">
        <v>193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9" t="s">
        <v>127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4" ht="12.75" thickBot="1">
      <c r="B5" s="150">
        <v>39047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205</v>
      </c>
      <c r="H6" s="102"/>
      <c r="I6" s="80" t="s">
        <v>206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698377-100000</f>
        <v>598377</v>
      </c>
      <c r="H9" s="102"/>
      <c r="I9" s="103">
        <f>1140303-100000</f>
        <v>1040303</v>
      </c>
      <c r="J9" s="92"/>
      <c r="K9" s="92"/>
      <c r="L9" s="103">
        <v>328188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3.1579304370364598E-4</v>
      </c>
      <c r="F10" s="111"/>
      <c r="G10" s="111">
        <v>2475794</v>
      </c>
      <c r="H10" s="102"/>
      <c r="I10" s="111">
        <v>1976489</v>
      </c>
      <c r="J10" s="92"/>
      <c r="K10" s="92"/>
      <c r="L10" s="111">
        <v>3113326</v>
      </c>
      <c r="M10" s="92"/>
      <c r="N10" s="56">
        <v>703</v>
      </c>
      <c r="O10" s="92"/>
      <c r="P10" s="72"/>
      <c r="Q10" s="42"/>
      <c r="R10" s="123">
        <f>512+310.74+862.66+1025.96+703</f>
        <v>3414.36</v>
      </c>
      <c r="S10" s="42"/>
      <c r="T10" s="108"/>
      <c r="U10" s="86"/>
      <c r="V10" s="123">
        <v>6928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3074171</v>
      </c>
      <c r="H11" s="102"/>
      <c r="I11" s="103">
        <f>SUM(I9:I10)</f>
        <v>3016792</v>
      </c>
      <c r="J11" s="92"/>
      <c r="K11" s="92"/>
      <c r="L11" s="103">
        <f>SUM(L9:L10)</f>
        <v>3441514</v>
      </c>
      <c r="M11" s="92"/>
      <c r="N11" s="120">
        <f>SUM(N9:N10)</f>
        <v>703</v>
      </c>
      <c r="O11" s="92"/>
      <c r="P11" s="120">
        <f>SUM(P9:P10)</f>
        <v>0</v>
      </c>
      <c r="Q11" s="85"/>
      <c r="R11" s="120">
        <f>SUM(R9:R10)</f>
        <v>3414.36</v>
      </c>
      <c r="S11" s="85"/>
      <c r="T11" s="120">
        <f>SUM(T9:T10)</f>
        <v>0</v>
      </c>
      <c r="U11" s="120"/>
      <c r="V11" s="120">
        <f>SUM(V9:V10)</f>
        <v>6928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100001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4909164</v>
      </c>
      <c r="H31" s="29"/>
      <c r="I31" s="82">
        <v>4915705</v>
      </c>
      <c r="J31" s="40"/>
      <c r="K31" s="40"/>
      <c r="L31" s="82">
        <v>4810879</v>
      </c>
      <c r="M31" s="129"/>
      <c r="N31" s="38">
        <v>6541.11</v>
      </c>
      <c r="O31" s="40"/>
      <c r="P31" s="45"/>
      <c r="Q31" s="40"/>
      <c r="R31" s="38">
        <f>7606.67+7797.18+8493+6212.69+6541.11</f>
        <v>36650.649999999994</v>
      </c>
      <c r="S31" s="93"/>
      <c r="T31" s="38"/>
      <c r="U31" s="93"/>
      <c r="V31" s="38">
        <v>36096</v>
      </c>
      <c r="W31" s="93"/>
      <c r="X31" s="38">
        <v>582973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-229069</v>
      </c>
      <c r="H32" s="29"/>
      <c r="I32" s="45">
        <v>-272645</v>
      </c>
      <c r="J32" s="40"/>
      <c r="K32" s="40"/>
      <c r="L32" s="45">
        <v>-741337</v>
      </c>
      <c r="M32" s="129"/>
      <c r="N32" s="38"/>
      <c r="O32" s="40"/>
      <c r="P32" s="45">
        <v>-43575</v>
      </c>
      <c r="Q32" s="40"/>
      <c r="R32" s="38"/>
      <c r="S32" s="93"/>
      <c r="T32" s="38">
        <f>253188.79-122675+320899.47+136944.13-43575.19</f>
        <v>544782.19999999995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4217018</v>
      </c>
      <c r="H35" s="29"/>
      <c r="I35" s="116">
        <f>SUM(I29:I34)</f>
        <v>4179984</v>
      </c>
      <c r="J35" s="40"/>
      <c r="K35" s="40"/>
      <c r="L35" s="116">
        <f>SUM(L29:L34)</f>
        <v>3837501</v>
      </c>
      <c r="M35" s="129"/>
      <c r="N35" s="116">
        <f>SUM(N29:N34)</f>
        <v>6541.11</v>
      </c>
      <c r="O35" s="40"/>
      <c r="P35" s="116">
        <f>SUM(P29:P34)</f>
        <v>-43575</v>
      </c>
      <c r="Q35" s="40"/>
      <c r="R35" s="116">
        <f>SUM(R29:R34)</f>
        <v>36650.649999999994</v>
      </c>
      <c r="S35" s="40"/>
      <c r="T35" s="116">
        <f>SUM(T29:T34)</f>
        <v>544782.19999999995</v>
      </c>
      <c r="U35" s="120"/>
      <c r="V35" s="116">
        <f>SUM(V29:V34)</f>
        <v>36096</v>
      </c>
      <c r="W35" s="40"/>
      <c r="X35" s="116">
        <f>SUM(X29:X34)</f>
        <v>612804.14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8473360.6500000004</v>
      </c>
      <c r="H37" s="29"/>
      <c r="I37" s="107">
        <f>+I35+I25+I19+I11</f>
        <v>8378947.6500000004</v>
      </c>
      <c r="J37" s="92"/>
      <c r="K37" s="92"/>
      <c r="L37" s="107">
        <f>+L35+L25+L19+L11</f>
        <v>8467747.6500000004</v>
      </c>
      <c r="M37" s="129"/>
      <c r="N37" s="107">
        <f>+N35+N25+N19+N11</f>
        <v>7244.11</v>
      </c>
      <c r="O37" s="92"/>
      <c r="P37" s="107">
        <f>+P35+P25+P19+P11</f>
        <v>-43575</v>
      </c>
      <c r="Q37" s="92"/>
      <c r="R37" s="107">
        <f>+R35+R25+R19+R11</f>
        <v>40070.129999999997</v>
      </c>
      <c r="S37" s="92"/>
      <c r="T37" s="107">
        <f>+T35+T25+T19+T11</f>
        <v>544782.19999999995</v>
      </c>
      <c r="U37" s="120"/>
      <c r="V37" s="107">
        <f>+V35+V25+V19+V11</f>
        <v>43024</v>
      </c>
      <c r="W37" s="92"/>
      <c r="X37" s="107">
        <f>+X35+X25+X19+X11</f>
        <v>612804.14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Nov 2010 
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Y49"/>
  <sheetViews>
    <sheetView showGridLines="0" topLeftCell="B1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26" t="s">
        <v>193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9" t="s">
        <v>127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39075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207</v>
      </c>
      <c r="H6" s="102"/>
      <c r="I6" s="80" t="s">
        <v>208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f>1140303-100000</f>
        <v>1040303</v>
      </c>
      <c r="H9" s="102"/>
      <c r="I9" s="103">
        <f>936291-100000</f>
        <v>836291</v>
      </c>
      <c r="J9" s="92"/>
      <c r="K9" s="92"/>
      <c r="L9" s="103">
        <v>381606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13">
        <v>0</v>
      </c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2.791698627431733E-4</v>
      </c>
      <c r="F10" s="111"/>
      <c r="G10" s="111">
        <v>1976489</v>
      </c>
      <c r="H10" s="102"/>
      <c r="I10" s="111">
        <v>1476964</v>
      </c>
      <c r="J10" s="92"/>
      <c r="K10" s="92"/>
      <c r="L10" s="111">
        <v>2116261</v>
      </c>
      <c r="M10" s="92"/>
      <c r="N10" s="56">
        <v>482.05</v>
      </c>
      <c r="O10" s="92"/>
      <c r="P10" s="72"/>
      <c r="Q10" s="42"/>
      <c r="R10" s="123">
        <f>512+310.74+862.66+1025.96+703+482.05</f>
        <v>3896.4100000000003</v>
      </c>
      <c r="S10" s="42"/>
      <c r="T10" s="108"/>
      <c r="U10" s="86"/>
      <c r="V10" s="123">
        <v>8131</v>
      </c>
      <c r="W10" s="42"/>
      <c r="X10" s="108"/>
      <c r="Y10" s="123">
        <f>631+154.21+2041+2356.54+1745+1203.63</f>
        <v>8131.38</v>
      </c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3016792</v>
      </c>
      <c r="H11" s="102"/>
      <c r="I11" s="103">
        <f>SUM(I9:I10)</f>
        <v>2313255</v>
      </c>
      <c r="J11" s="92"/>
      <c r="K11" s="92"/>
      <c r="L11" s="103">
        <f>SUM(L9:L10)</f>
        <v>2497867</v>
      </c>
      <c r="M11" s="92"/>
      <c r="N11" s="120">
        <f>SUM(N9:N10)</f>
        <v>482.05</v>
      </c>
      <c r="O11" s="92"/>
      <c r="P11" s="120">
        <f>SUM(P9:P10)</f>
        <v>0</v>
      </c>
      <c r="Q11" s="85"/>
      <c r="R11" s="120">
        <f>SUM(R9:R10)</f>
        <v>3896.4100000000003</v>
      </c>
      <c r="S11" s="85"/>
      <c r="T11" s="120">
        <f>SUM(T9:T10)</f>
        <v>0</v>
      </c>
      <c r="U11" s="120"/>
      <c r="V11" s="120">
        <f>SUM(V9:V10)</f>
        <v>8131</v>
      </c>
      <c r="W11" s="85"/>
      <c r="X11" s="120">
        <f>SUM(X9:X10)</f>
        <v>0</v>
      </c>
      <c r="Y11" s="120">
        <f>SUM(Y9:Y10)</f>
        <v>8131.38</v>
      </c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5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29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15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37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37">
        <v>0</v>
      </c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1">
        <v>0</v>
      </c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16">
        <f>SUM(Y15:Y18)</f>
        <v>0</v>
      </c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37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37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37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37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1">
        <v>0</v>
      </c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16">
        <f>SUM(Y23:Y24)</f>
        <v>0</v>
      </c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37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37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37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100001</v>
      </c>
      <c r="H29" s="29"/>
      <c r="I29" s="115">
        <v>100000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115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38">
        <v>0</v>
      </c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4915705</v>
      </c>
      <c r="H31" s="29"/>
      <c r="I31" s="82">
        <v>4971572</v>
      </c>
      <c r="J31" s="40"/>
      <c r="K31" s="40"/>
      <c r="L31" s="82">
        <v>4835619</v>
      </c>
      <c r="M31" s="129"/>
      <c r="N31" s="38">
        <v>55866.45</v>
      </c>
      <c r="O31" s="40"/>
      <c r="P31" s="45"/>
      <c r="Q31" s="40"/>
      <c r="R31" s="38">
        <f>7606.67+7797.18+8493+6212.69+6541.11+55866.45</f>
        <v>92517.099999999991</v>
      </c>
      <c r="S31" s="93"/>
      <c r="T31" s="38"/>
      <c r="U31" s="93"/>
      <c r="V31" s="38">
        <v>60837</v>
      </c>
      <c r="W31" s="93"/>
      <c r="X31" s="38">
        <v>655975</v>
      </c>
      <c r="Y31" s="38">
        <f>7623+7277+9019+6056.28+6121+24740.94</f>
        <v>60837.22</v>
      </c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-272645</v>
      </c>
      <c r="H32" s="29"/>
      <c r="I32" s="45">
        <v>-113026</v>
      </c>
      <c r="J32" s="40"/>
      <c r="K32" s="40"/>
      <c r="L32" s="45">
        <v>-668334</v>
      </c>
      <c r="M32" s="129"/>
      <c r="N32" s="38">
        <v>159618.23000000001</v>
      </c>
      <c r="O32" s="40"/>
      <c r="P32" s="45"/>
      <c r="Q32" s="40"/>
      <c r="R32" s="38"/>
      <c r="S32" s="93"/>
      <c r="T32" s="38">
        <f>253188.79-122675+320899.47+136944.13-43575.19+159618.23</f>
        <v>704400.42999999993</v>
      </c>
      <c r="U32" s="119"/>
      <c r="V32" s="38"/>
      <c r="W32" s="93"/>
      <c r="X32" s="45">
        <v>0</v>
      </c>
      <c r="Y32" s="38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119">
        <v>0</v>
      </c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1">
        <v>0</v>
      </c>
    </row>
    <row r="35" spans="1:25">
      <c r="B35" s="28" t="s">
        <v>137</v>
      </c>
      <c r="C35" s="23"/>
      <c r="D35" s="23"/>
      <c r="E35" s="23"/>
      <c r="F35" s="32"/>
      <c r="G35" s="116">
        <f>SUM(G29:G34)</f>
        <v>4179984</v>
      </c>
      <c r="H35" s="29"/>
      <c r="I35" s="116">
        <f>SUM(I29:I34)</f>
        <v>4395469</v>
      </c>
      <c r="J35" s="40"/>
      <c r="K35" s="40"/>
      <c r="L35" s="116">
        <f>SUM(L29:L34)</f>
        <v>3935244</v>
      </c>
      <c r="M35" s="129"/>
      <c r="N35" s="116">
        <f>SUM(N29:N34)</f>
        <v>215484.68</v>
      </c>
      <c r="O35" s="40"/>
      <c r="P35" s="116">
        <f>SUM(P29:P34)</f>
        <v>0</v>
      </c>
      <c r="Q35" s="40"/>
      <c r="R35" s="116">
        <f>SUM(R29:R34)</f>
        <v>92517.099999999991</v>
      </c>
      <c r="S35" s="40"/>
      <c r="T35" s="116">
        <f>SUM(T29:T34)</f>
        <v>704400.42999999993</v>
      </c>
      <c r="U35" s="120"/>
      <c r="V35" s="116">
        <f>SUM(V29:V34)</f>
        <v>60837</v>
      </c>
      <c r="W35" s="40"/>
      <c r="X35" s="116">
        <f>SUM(X29:X34)</f>
        <v>685806.14</v>
      </c>
      <c r="Y35" s="116">
        <f>SUM(Y29:Y34)</f>
        <v>60837.22</v>
      </c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29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8378947.6500000004</v>
      </c>
      <c r="H37" s="29"/>
      <c r="I37" s="107">
        <f>+I35+I25+I19+I11</f>
        <v>7890895.6500000004</v>
      </c>
      <c r="J37" s="92"/>
      <c r="K37" s="92"/>
      <c r="L37" s="107">
        <f>+L35+L25+L19+L11</f>
        <v>7615277.6500000004</v>
      </c>
      <c r="M37" s="129"/>
      <c r="N37" s="107">
        <f>+N35+N25+N19+N11</f>
        <v>215966.72999999998</v>
      </c>
      <c r="O37" s="92"/>
      <c r="P37" s="107">
        <f>+P35+P25+P19+P11</f>
        <v>0</v>
      </c>
      <c r="Q37" s="92"/>
      <c r="R37" s="107">
        <f>+R35+R25+R19+R11</f>
        <v>96418.62999999999</v>
      </c>
      <c r="S37" s="92"/>
      <c r="T37" s="107">
        <f>+T35+T25+T19+T11</f>
        <v>704400.42999999993</v>
      </c>
      <c r="U37" s="120"/>
      <c r="V37" s="107">
        <f>+V35+V25+V19+V11</f>
        <v>68968</v>
      </c>
      <c r="W37" s="92"/>
      <c r="X37" s="107">
        <f>+X35+X25+X19+X11</f>
        <v>685806.14</v>
      </c>
      <c r="Y37" s="107">
        <f>+Y35+Y25+Y19+Y11</f>
        <v>68968.600000000006</v>
      </c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&amp;CInvestment Report - Dec 2010 
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4" ht="12.75" thickBot="1">
      <c r="B2" s="35"/>
      <c r="C2" s="23"/>
      <c r="D2" s="426" t="s">
        <v>209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4" ht="12.75" thickBot="1">
      <c r="B5" s="150">
        <v>39110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211</v>
      </c>
      <c r="H6" s="102"/>
      <c r="I6" s="80" t="s">
        <v>212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936291-100000</f>
        <v>836291</v>
      </c>
      <c r="H9" s="102"/>
      <c r="I9" s="103">
        <f>4219813-I29-I10</f>
        <v>1442435</v>
      </c>
      <c r="J9" s="92"/>
      <c r="K9" s="92"/>
      <c r="L9" s="103">
        <v>1498862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2.0234742462099876E-4</v>
      </c>
      <c r="F10" s="111"/>
      <c r="G10" s="111">
        <v>1476964</v>
      </c>
      <c r="H10" s="102"/>
      <c r="I10" s="111">
        <v>2677376</v>
      </c>
      <c r="J10" s="92"/>
      <c r="K10" s="92"/>
      <c r="L10" s="111">
        <v>2116963</v>
      </c>
      <c r="M10" s="92"/>
      <c r="N10" s="56">
        <v>420.31</v>
      </c>
      <c r="O10" s="92"/>
      <c r="P10" s="72"/>
      <c r="Q10" s="42"/>
      <c r="R10" s="123">
        <f>512+310.74+862.66+1025.96+703+482.05+420.31</f>
        <v>4316.72</v>
      </c>
      <c r="S10" s="42"/>
      <c r="T10" s="108"/>
      <c r="U10" s="86"/>
      <c r="V10" s="123">
        <v>8841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2313255</v>
      </c>
      <c r="H11" s="102"/>
      <c r="I11" s="103">
        <f>SUM(I9:I10)</f>
        <v>4119811</v>
      </c>
      <c r="J11" s="92"/>
      <c r="K11" s="92"/>
      <c r="L11" s="103">
        <f>SUM(L9:L10)</f>
        <v>3615825</v>
      </c>
      <c r="M11" s="92"/>
      <c r="N11" s="120">
        <f>SUM(N9:N10)</f>
        <v>420.31</v>
      </c>
      <c r="O11" s="92"/>
      <c r="P11" s="120">
        <f>SUM(P9:P10)</f>
        <v>0</v>
      </c>
      <c r="Q11" s="85"/>
      <c r="R11" s="120">
        <f>SUM(R9:R10)</f>
        <v>4316.72</v>
      </c>
      <c r="S11" s="85"/>
      <c r="T11" s="120">
        <f>SUM(T9:T10)</f>
        <v>0</v>
      </c>
      <c r="U11" s="120"/>
      <c r="V11" s="120">
        <f>SUM(V9:V10)</f>
        <v>8841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100002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4971572</v>
      </c>
      <c r="H31" s="29"/>
      <c r="I31" s="82">
        <v>4979992</v>
      </c>
      <c r="J31" s="40"/>
      <c r="K31" s="40"/>
      <c r="L31" s="82">
        <v>4846544</v>
      </c>
      <c r="M31" s="129"/>
      <c r="N31" s="38">
        <v>8420.51</v>
      </c>
      <c r="O31" s="40"/>
      <c r="P31" s="45"/>
      <c r="Q31" s="40"/>
      <c r="R31" s="38">
        <f>7606.67+7797.18+8493+6212.69+6541.11+55866.45+8420.51</f>
        <v>100937.60999999999</v>
      </c>
      <c r="S31" s="93"/>
      <c r="T31" s="38"/>
      <c r="U31" s="93"/>
      <c r="V31" s="38">
        <v>71762</v>
      </c>
      <c r="W31" s="93"/>
      <c r="X31" s="38">
        <v>523799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-113026</v>
      </c>
      <c r="H32" s="29"/>
      <c r="I32" s="45">
        <v>-76808</v>
      </c>
      <c r="J32" s="40"/>
      <c r="K32" s="40"/>
      <c r="L32" s="45">
        <v>-800511</v>
      </c>
      <c r="M32" s="129"/>
      <c r="N32" s="38">
        <v>36217.93</v>
      </c>
      <c r="O32" s="40"/>
      <c r="P32" s="45"/>
      <c r="Q32" s="40"/>
      <c r="R32" s="38"/>
      <c r="S32" s="93"/>
      <c r="T32" s="38">
        <f>253188.79-122675+320899.47+136944.13-43575.19+159618.23+36217.93</f>
        <v>740618.36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32158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4395469</v>
      </c>
      <c r="H35" s="29"/>
      <c r="I35" s="116">
        <f>SUM(I29:I34)</f>
        <v>4440109</v>
      </c>
      <c r="J35" s="40"/>
      <c r="K35" s="40"/>
      <c r="L35" s="116">
        <f>SUM(L29:L34)</f>
        <v>3482956</v>
      </c>
      <c r="M35" s="129"/>
      <c r="N35" s="116">
        <f>SUM(N29:N34)</f>
        <v>44638.44</v>
      </c>
      <c r="O35" s="40"/>
      <c r="P35" s="116">
        <f>SUM(P29:P34)</f>
        <v>0</v>
      </c>
      <c r="Q35" s="40"/>
      <c r="R35" s="116">
        <f>SUM(R29:R34)</f>
        <v>100937.60999999999</v>
      </c>
      <c r="S35" s="40"/>
      <c r="T35" s="116">
        <f>SUM(T29:T34)</f>
        <v>740618.36</v>
      </c>
      <c r="U35" s="120"/>
      <c r="V35" s="116">
        <f>SUM(V29:V34)</f>
        <v>71762</v>
      </c>
      <c r="W35" s="40"/>
      <c r="X35" s="116">
        <f>SUM(X29:X34)</f>
        <v>555957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7890895.6500000004</v>
      </c>
      <c r="H37" s="29"/>
      <c r="I37" s="107">
        <f>+I35+I25+I19+I11</f>
        <v>9742091.6500000004</v>
      </c>
      <c r="J37" s="92"/>
      <c r="K37" s="92"/>
      <c r="L37" s="107">
        <f>+L35+L25+L19+L11</f>
        <v>8280948</v>
      </c>
      <c r="M37" s="129"/>
      <c r="N37" s="107">
        <f>+N35+N25+N19+N11</f>
        <v>45058.75</v>
      </c>
      <c r="O37" s="92"/>
      <c r="P37" s="107">
        <f>+P35+P25+P19+P11</f>
        <v>0</v>
      </c>
      <c r="Q37" s="92"/>
      <c r="R37" s="107">
        <f>+R35+R25+R19+R11</f>
        <v>105259.44999999998</v>
      </c>
      <c r="S37" s="92"/>
      <c r="T37" s="107">
        <f>+T35+T25+T19+T11</f>
        <v>740618.36</v>
      </c>
      <c r="U37" s="120"/>
      <c r="V37" s="107">
        <f>+V35+V25+V19+V11</f>
        <v>80603</v>
      </c>
      <c r="W37" s="92"/>
      <c r="X37" s="107">
        <f>+X35+X25+X19+X11</f>
        <v>555957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&amp;CCash/Investment Designation Report - Jan 2011 
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T50"/>
  <sheetViews>
    <sheetView topLeftCell="A2" workbookViewId="0">
      <pane xSplit="2" ySplit="7" topLeftCell="E15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37619</v>
      </c>
      <c r="I7" s="4"/>
      <c r="J7" s="18">
        <v>37591</v>
      </c>
      <c r="K7" s="4"/>
      <c r="L7" s="18">
        <v>37248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2604</v>
      </c>
      <c r="Q11" s="13"/>
      <c r="R11" s="12">
        <v>1876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124332</v>
      </c>
      <c r="I14" s="13"/>
      <c r="J14" s="12">
        <v>123607</v>
      </c>
      <c r="K14" s="13"/>
      <c r="L14" s="12">
        <v>125396</v>
      </c>
      <c r="M14" s="13"/>
      <c r="N14" s="12">
        <v>725</v>
      </c>
      <c r="O14" s="13"/>
      <c r="P14" s="12">
        <v>3209</v>
      </c>
      <c r="Q14" s="13"/>
      <c r="R14" s="12">
        <v>2376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72176</v>
      </c>
      <c r="I15" s="13"/>
      <c r="J15" s="15">
        <v>71694</v>
      </c>
      <c r="K15" s="13"/>
      <c r="L15" s="15">
        <v>68550</v>
      </c>
      <c r="M15" s="13"/>
      <c r="N15" s="15">
        <v>482</v>
      </c>
      <c r="O15" s="13"/>
      <c r="P15" s="15">
        <v>1723</v>
      </c>
      <c r="Q15" s="13"/>
      <c r="R15" s="15">
        <v>779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759585</v>
      </c>
      <c r="I17" s="13"/>
      <c r="J17" s="16">
        <f>SUM(J11:J15)</f>
        <v>758378</v>
      </c>
      <c r="K17" s="13"/>
      <c r="L17" s="16">
        <f>SUM(L11:L15)</f>
        <v>757023</v>
      </c>
      <c r="M17" s="13"/>
      <c r="N17" s="16">
        <f>SUM(N11:N15)</f>
        <v>1629</v>
      </c>
      <c r="O17" s="13"/>
      <c r="P17" s="16">
        <f>SUM(P11:P15)</f>
        <v>7536</v>
      </c>
      <c r="Q17" s="13"/>
      <c r="R17" s="16">
        <f>SUM(R11:R15)</f>
        <v>5031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414669</v>
      </c>
      <c r="I24" s="13"/>
      <c r="J24" s="15">
        <v>412884</v>
      </c>
      <c r="K24" s="15">
        <v>425705</v>
      </c>
      <c r="L24" s="15">
        <v>438350</v>
      </c>
      <c r="M24" s="13"/>
      <c r="N24" s="15">
        <v>2317</v>
      </c>
      <c r="O24" s="13"/>
      <c r="P24" s="15">
        <v>12523</v>
      </c>
      <c r="Q24" s="13"/>
      <c r="R24" s="15">
        <v>7090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414669</v>
      </c>
      <c r="I26" s="13"/>
      <c r="J26" s="16">
        <f>SUM(J23:J24)</f>
        <v>412884</v>
      </c>
      <c r="K26" s="13"/>
      <c r="L26" s="16">
        <f>SUM(L23:L24)</f>
        <v>438350</v>
      </c>
      <c r="M26" s="13"/>
      <c r="N26" s="16">
        <f>SUM(N23:N24)</f>
        <v>2317</v>
      </c>
      <c r="O26" s="13"/>
      <c r="P26" s="16">
        <f>SUM(P23:P24)</f>
        <v>12523</v>
      </c>
      <c r="Q26" s="13"/>
      <c r="R26" s="16">
        <f>SUM(R23:R24)</f>
        <v>7090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5.01</v>
      </c>
      <c r="G32" s="7"/>
      <c r="H32" s="12">
        <v>1290019</v>
      </c>
      <c r="I32" s="13"/>
      <c r="J32" s="12">
        <v>1284532</v>
      </c>
      <c r="K32" s="13"/>
      <c r="L32" s="12">
        <v>1288005</v>
      </c>
      <c r="M32" s="13"/>
      <c r="N32" s="12">
        <v>5487</v>
      </c>
      <c r="O32" s="13" t="s">
        <v>31</v>
      </c>
      <c r="P32" s="12">
        <v>32583</v>
      </c>
      <c r="Q32" s="13"/>
      <c r="R32" s="12">
        <v>26665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4957</v>
      </c>
      <c r="I34" s="13"/>
      <c r="J34" s="12">
        <v>4937</v>
      </c>
      <c r="K34" s="13"/>
      <c r="L34" s="12">
        <v>4742</v>
      </c>
      <c r="M34" s="13"/>
      <c r="N34" s="12">
        <v>20</v>
      </c>
      <c r="O34" s="13"/>
      <c r="P34" s="12">
        <v>116</v>
      </c>
      <c r="Q34" s="13"/>
      <c r="R34" s="12">
        <v>72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6842017</v>
      </c>
      <c r="I35" s="13"/>
      <c r="J35" s="15">
        <v>7309616</v>
      </c>
      <c r="K35" s="13"/>
      <c r="L35" s="15">
        <v>5471075</v>
      </c>
      <c r="M35" s="13"/>
      <c r="N35" s="15">
        <v>31980</v>
      </c>
      <c r="O35" s="13"/>
      <c r="P35" s="15">
        <v>203018</v>
      </c>
      <c r="Q35" s="13"/>
      <c r="R35" s="15">
        <v>124392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8145617</v>
      </c>
      <c r="I37" s="13"/>
      <c r="J37" s="16">
        <f>SUM(J32:J35)</f>
        <v>8607709</v>
      </c>
      <c r="K37" s="13"/>
      <c r="L37" s="16">
        <f>SUM(L32:L35)</f>
        <v>6772510</v>
      </c>
      <c r="M37" s="13"/>
      <c r="N37" s="16">
        <f>SUM(N32:N35)</f>
        <v>37487</v>
      </c>
      <c r="O37" s="13"/>
      <c r="P37" s="16">
        <f>SUM(P32:P35)</f>
        <v>235717</v>
      </c>
      <c r="Q37" s="13"/>
      <c r="R37" s="16">
        <f>SUM(R32:R35)</f>
        <v>151129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4" ht="12.75" thickBot="1">
      <c r="B2" s="35"/>
      <c r="C2" s="23"/>
      <c r="D2" s="426" t="s">
        <v>209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4" ht="12.75" thickBot="1">
      <c r="B5" s="150">
        <v>39138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213</v>
      </c>
      <c r="H6" s="102"/>
      <c r="I6" s="80" t="s">
        <v>214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4219813-G29-G10</f>
        <v>1442435</v>
      </c>
      <c r="H9" s="102"/>
      <c r="I9" s="103">
        <v>2316504</v>
      </c>
      <c r="J9" s="92"/>
      <c r="K9" s="92"/>
      <c r="L9" s="103">
        <v>218392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2.935208478860453E-4</v>
      </c>
      <c r="F10" s="111"/>
      <c r="G10" s="111">
        <v>2677376</v>
      </c>
      <c r="H10" s="102"/>
      <c r="I10" s="111">
        <v>2678155</v>
      </c>
      <c r="J10" s="92"/>
      <c r="K10" s="92"/>
      <c r="L10" s="111">
        <v>3618188</v>
      </c>
      <c r="M10" s="92"/>
      <c r="N10" s="56">
        <v>785.98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</f>
        <v>10073.06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4119811</v>
      </c>
      <c r="H11" s="102"/>
      <c r="I11" s="103">
        <f>SUM(I9:I10)</f>
        <v>4994659</v>
      </c>
      <c r="J11" s="92"/>
      <c r="K11" s="92"/>
      <c r="L11" s="103">
        <f>SUM(L9:L10)</f>
        <v>3836580</v>
      </c>
      <c r="M11" s="92"/>
      <c r="N11" s="120">
        <f>SUM(N9:N10)</f>
        <v>785.98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10073.06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100002</v>
      </c>
      <c r="H29" s="29"/>
      <c r="I29" s="115">
        <v>100004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1448.82</v>
      </c>
      <c r="Q30" s="40"/>
      <c r="R30" s="38">
        <v>0</v>
      </c>
      <c r="S30" s="93"/>
      <c r="T30" s="37">
        <v>1448.82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4979992</v>
      </c>
      <c r="H31" s="29"/>
      <c r="I31" s="152">
        <v>4985862</v>
      </c>
      <c r="J31" s="40"/>
      <c r="K31" s="40"/>
      <c r="L31" s="82">
        <v>4851984</v>
      </c>
      <c r="M31" s="129"/>
      <c r="N31" s="38">
        <v>5869.7</v>
      </c>
      <c r="O31" s="40"/>
      <c r="P31" s="45"/>
      <c r="Q31" s="40"/>
      <c r="R31" s="38">
        <f>7606.67+7797.18+8493+6212.69+6541.11+55866.45+8420.51+5869.7</f>
        <v>106807.30999999998</v>
      </c>
      <c r="S31" s="93"/>
      <c r="T31" s="38"/>
      <c r="U31" s="93"/>
      <c r="V31" s="38">
        <f>7623+7277+9019+6056.28+6121+24740.94+10925.13+5439.01</f>
        <v>77201.36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-76808</v>
      </c>
      <c r="H32" s="29"/>
      <c r="I32" s="45">
        <v>49442</v>
      </c>
      <c r="J32" s="40"/>
      <c r="K32" s="40"/>
      <c r="L32" s="45">
        <v>-709278</v>
      </c>
      <c r="M32" s="129"/>
      <c r="N32" s="38">
        <v>0</v>
      </c>
      <c r="O32" s="40"/>
      <c r="P32" s="45">
        <v>124801.64</v>
      </c>
      <c r="Q32" s="40"/>
      <c r="R32" s="38"/>
      <c r="S32" s="93"/>
      <c r="T32" s="38">
        <f>253188.79-122675+320899.47+136944.13-43575.19+159618.23+36217.93+124802.64</f>
        <v>865421</v>
      </c>
      <c r="U32" s="119"/>
      <c r="V32" s="38"/>
      <c r="W32" s="93"/>
      <c r="X32" s="38">
        <f>249209+97084+160047.47-69232.96+145865.58+73002.34-132176.87+91232.97</f>
        <v>615031.52999999991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4440109</v>
      </c>
      <c r="H35" s="29"/>
      <c r="I35" s="116">
        <f>SUM(I29:I34)</f>
        <v>4572231</v>
      </c>
      <c r="J35" s="40"/>
      <c r="K35" s="40"/>
      <c r="L35" s="116">
        <f>SUM(L29:L34)</f>
        <v>3579629</v>
      </c>
      <c r="M35" s="129"/>
      <c r="N35" s="116">
        <f>SUM(N29:N34)</f>
        <v>5869.7</v>
      </c>
      <c r="O35" s="40"/>
      <c r="P35" s="116">
        <f>SUM(P29:P34)</f>
        <v>126250.46</v>
      </c>
      <c r="Q35" s="40"/>
      <c r="R35" s="116">
        <f>SUM(R29:R34)</f>
        <v>106807.30999999998</v>
      </c>
      <c r="S35" s="40"/>
      <c r="T35" s="116">
        <f>SUM(T29:T34)</f>
        <v>866869.82</v>
      </c>
      <c r="U35" s="120"/>
      <c r="V35" s="116">
        <f>SUM(V29:V34)</f>
        <v>82359.41</v>
      </c>
      <c r="W35" s="40"/>
      <c r="X35" s="116">
        <f>SUM(X29:X34)</f>
        <v>647189.58999999985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9742091.6500000004</v>
      </c>
      <c r="H37" s="29"/>
      <c r="I37" s="107">
        <f>+I35+I25+I19+I11</f>
        <v>10749061.65</v>
      </c>
      <c r="J37" s="92"/>
      <c r="K37" s="92"/>
      <c r="L37" s="107">
        <f>+L35+L25+L19+L11</f>
        <v>8598375.6500000004</v>
      </c>
      <c r="M37" s="129"/>
      <c r="N37" s="107">
        <f>+N35+N25+N19+N11</f>
        <v>6655.68</v>
      </c>
      <c r="O37" s="92"/>
      <c r="P37" s="107">
        <f>+P35+P25+P19+P11</f>
        <v>126250.46</v>
      </c>
      <c r="Q37" s="92"/>
      <c r="R37" s="107">
        <f>+R35+R25+R19+R11</f>
        <v>111915.12999999998</v>
      </c>
      <c r="S37" s="92"/>
      <c r="T37" s="107">
        <f>+T35+T25+T19+T11</f>
        <v>866869.82</v>
      </c>
      <c r="U37" s="120"/>
      <c r="V37" s="107">
        <f>+V35+V25+V19+V11</f>
        <v>92432.47</v>
      </c>
      <c r="W37" s="92"/>
      <c r="X37" s="107">
        <f>+X35+X25+X19+X11</f>
        <v>647189.58999999985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Feb 2011 
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X49"/>
  <sheetViews>
    <sheetView showGridLines="0" workbookViewId="0">
      <selection activeCell="L46" sqref="L4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4" ht="12.75" thickBot="1">
      <c r="B2" s="35"/>
      <c r="C2" s="23"/>
      <c r="D2" s="426" t="s">
        <v>209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4" ht="12.75" thickBot="1">
      <c r="B5" s="150">
        <v>39168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215</v>
      </c>
      <c r="H6" s="102"/>
      <c r="I6" s="80" t="s">
        <v>216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2316504</v>
      </c>
      <c r="H9" s="102"/>
      <c r="I9" s="103">
        <v>642760</v>
      </c>
      <c r="J9" s="92"/>
      <c r="K9" s="92"/>
      <c r="L9" s="103">
        <v>991561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3.4385147629626973E-4</v>
      </c>
      <c r="F10" s="111"/>
      <c r="G10" s="111">
        <v>2678155</v>
      </c>
      <c r="H10" s="102"/>
      <c r="I10" s="111">
        <v>3679241</v>
      </c>
      <c r="J10" s="92"/>
      <c r="K10" s="92"/>
      <c r="L10" s="111">
        <v>3619881</v>
      </c>
      <c r="M10" s="92"/>
      <c r="N10" s="56">
        <v>1093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631+154.21+2041+2356.54+1745+1203.63+709.46+1232.22+1705.05</f>
        <v>11778.109999999999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4994659</v>
      </c>
      <c r="H11" s="102"/>
      <c r="I11" s="103">
        <f>SUM(I9:I10)</f>
        <v>4322001</v>
      </c>
      <c r="J11" s="92"/>
      <c r="K11" s="92"/>
      <c r="L11" s="103">
        <f>SUM(L9:L10)</f>
        <v>4611442</v>
      </c>
      <c r="M11" s="92"/>
      <c r="N11" s="120">
        <f>SUM(N9:N10)</f>
        <v>1093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11778.109999999999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100004</v>
      </c>
      <c r="H29" s="29"/>
      <c r="I29" s="115">
        <v>100138</v>
      </c>
      <c r="J29" s="40"/>
      <c r="K29" s="40"/>
      <c r="L29" s="115">
        <v>0</v>
      </c>
      <c r="M29" s="129"/>
      <c r="N29" s="115">
        <v>134</v>
      </c>
      <c r="O29" s="40" t="s">
        <v>31</v>
      </c>
      <c r="P29" s="115">
        <v>997.76</v>
      </c>
      <c r="Q29" s="40"/>
      <c r="R29" s="115">
        <v>138</v>
      </c>
      <c r="S29" s="40"/>
      <c r="T29" s="152">
        <f>1448.82+997.76</f>
        <v>2446.58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4985862</v>
      </c>
      <c r="H31" s="29"/>
      <c r="I31" s="152">
        <v>4994546</v>
      </c>
      <c r="J31" s="40"/>
      <c r="K31" s="40"/>
      <c r="L31" s="82">
        <v>4860131</v>
      </c>
      <c r="M31" s="129"/>
      <c r="N31" s="38">
        <v>8684</v>
      </c>
      <c r="O31" s="40"/>
      <c r="P31" s="45"/>
      <c r="Q31" s="40"/>
      <c r="R31" s="38">
        <f>7606.67+7797.18+8493+6212.69+6541.11+55866.45+8420.51+5869.7+8684</f>
        <v>115491.30999999998</v>
      </c>
      <c r="S31" s="93"/>
      <c r="T31" s="38"/>
      <c r="U31" s="93"/>
      <c r="V31" s="38">
        <f>7623+7277+9019+6056.28+6121+24740.94+10925.13+5439.01+8147.36</f>
        <v>85348.72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49442</v>
      </c>
      <c r="H32" s="29"/>
      <c r="I32" s="45">
        <v>29704</v>
      </c>
      <c r="J32" s="40"/>
      <c r="K32" s="40"/>
      <c r="L32" s="45">
        <v>-497299</v>
      </c>
      <c r="M32" s="129"/>
      <c r="N32" s="38">
        <v>0</v>
      </c>
      <c r="O32" s="40"/>
      <c r="P32" s="45">
        <v>-20735.61</v>
      </c>
      <c r="Q32" s="40"/>
      <c r="R32" s="38"/>
      <c r="S32" s="93"/>
      <c r="T32" s="38">
        <f>253188.79-122675+320899.47+136944.13-43575.19+159618.23+36217.93+124802.64-20735.61</f>
        <v>844685.39</v>
      </c>
      <c r="U32" s="119"/>
      <c r="V32" s="38"/>
      <c r="W32" s="93"/>
      <c r="X32" s="38">
        <f>249209+97084+160047.47-69232.96+145865.58+73002.34-132176.87+91232.97+211979.29</f>
        <v>827010.82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4572231</v>
      </c>
      <c r="H35" s="29"/>
      <c r="I35" s="116">
        <f>SUM(I29:I34)</f>
        <v>4561311</v>
      </c>
      <c r="J35" s="40"/>
      <c r="K35" s="40"/>
      <c r="L35" s="116">
        <f>SUM(L29:L34)</f>
        <v>3799755</v>
      </c>
      <c r="M35" s="129"/>
      <c r="N35" s="116">
        <f>SUM(N29:N34)</f>
        <v>8818</v>
      </c>
      <c r="O35" s="40"/>
      <c r="P35" s="116">
        <f>SUM(P29:P34)</f>
        <v>-19737.850000000002</v>
      </c>
      <c r="Q35" s="40"/>
      <c r="R35" s="116">
        <f>SUM(R29:R34)</f>
        <v>115629.30999999998</v>
      </c>
      <c r="S35" s="40"/>
      <c r="T35" s="116">
        <f>SUM(T29:T34)</f>
        <v>847131.97</v>
      </c>
      <c r="U35" s="120"/>
      <c r="V35" s="116">
        <f>SUM(V29:V34)</f>
        <v>90506.77</v>
      </c>
      <c r="W35" s="40"/>
      <c r="X35" s="116">
        <f>SUM(X29:X34)</f>
        <v>859168.87999999989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10749061.65</v>
      </c>
      <c r="H37" s="29"/>
      <c r="I37" s="107">
        <f>+I35+I25+I19+I11</f>
        <v>10065483.65</v>
      </c>
      <c r="J37" s="92"/>
      <c r="K37" s="92"/>
      <c r="L37" s="107">
        <f>+L35+L25+L19+L11</f>
        <v>9593363.6500000004</v>
      </c>
      <c r="M37" s="129"/>
      <c r="N37" s="107">
        <f>+N35+N25+N19+N11</f>
        <v>9911</v>
      </c>
      <c r="O37" s="92"/>
      <c r="P37" s="107">
        <f>+P35+P25+P19+P11</f>
        <v>-19737.850000000002</v>
      </c>
      <c r="Q37" s="92"/>
      <c r="R37" s="107">
        <f>+R35+R25+R19+R11</f>
        <v>120737.12999999998</v>
      </c>
      <c r="S37" s="92"/>
      <c r="T37" s="107">
        <f>+T35+T25+T19+T11</f>
        <v>847131.97</v>
      </c>
      <c r="U37" s="120"/>
      <c r="V37" s="107">
        <f>+V35+V25+V19+V11</f>
        <v>102284.88</v>
      </c>
      <c r="W37" s="92"/>
      <c r="X37" s="107">
        <f>+X35+X25+X19+X11</f>
        <v>859168.87999999989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Mar 2011 
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4" ht="12.75" thickBot="1">
      <c r="B2" s="35"/>
      <c r="C2" s="23"/>
      <c r="D2" s="426" t="s">
        <v>209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4" ht="12.75" thickBot="1">
      <c r="B5" s="150">
        <v>39201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217</v>
      </c>
      <c r="H6" s="102"/>
      <c r="I6" s="80" t="s">
        <v>218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642760</v>
      </c>
      <c r="H9" s="102"/>
      <c r="I9" s="103">
        <v>1059826</v>
      </c>
      <c r="J9" s="92"/>
      <c r="K9" s="92"/>
      <c r="L9" s="103">
        <v>357484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2.5690458404549932E-4</v>
      </c>
      <c r="F10" s="111"/>
      <c r="G10" s="111">
        <v>3679241</v>
      </c>
      <c r="H10" s="102"/>
      <c r="I10" s="111">
        <v>3180115</v>
      </c>
      <c r="J10" s="92"/>
      <c r="K10" s="92"/>
      <c r="L10" s="111">
        <v>3121232</v>
      </c>
      <c r="M10" s="92"/>
      <c r="N10" s="56">
        <v>881.1</v>
      </c>
      <c r="O10" s="92"/>
      <c r="P10" s="72"/>
      <c r="Q10" s="42"/>
      <c r="R10" s="123">
        <f>512+310.74+862.66+1025.96+703+482.05+420.31+785.98+881.1</f>
        <v>5983.8000000000011</v>
      </c>
      <c r="S10" s="42"/>
      <c r="T10" s="108"/>
      <c r="U10" s="86"/>
      <c r="V10" s="123">
        <f>631+154.21+2041+2356.54+1745+1203.63+709.46+1232.22+1705.05+1358</f>
        <v>13136.109999999999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4322001</v>
      </c>
      <c r="H11" s="102"/>
      <c r="I11" s="103">
        <f>SUM(I9:I10)</f>
        <v>4239941</v>
      </c>
      <c r="J11" s="92"/>
      <c r="K11" s="92"/>
      <c r="L11" s="103">
        <f>SUM(L9:L10)</f>
        <v>3478716</v>
      </c>
      <c r="M11" s="92"/>
      <c r="N11" s="120">
        <f>SUM(N9:N10)</f>
        <v>881.1</v>
      </c>
      <c r="O11" s="92"/>
      <c r="P11" s="120">
        <f>SUM(P9:P10)</f>
        <v>0</v>
      </c>
      <c r="Q11" s="85"/>
      <c r="R11" s="120">
        <f>SUM(R9:R10)</f>
        <v>5983.8000000000011</v>
      </c>
      <c r="S11" s="85"/>
      <c r="T11" s="120">
        <f>SUM(T9:T10)</f>
        <v>0</v>
      </c>
      <c r="U11" s="120"/>
      <c r="V11" s="120">
        <f>SUM(V9:V10)</f>
        <v>13136.109999999999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100138</v>
      </c>
      <c r="H29" s="29"/>
      <c r="I29" s="115">
        <v>100289</v>
      </c>
      <c r="J29" s="40"/>
      <c r="K29" s="40"/>
      <c r="L29" s="115">
        <v>0</v>
      </c>
      <c r="M29" s="129"/>
      <c r="N29" s="115">
        <v>150.77000000000001</v>
      </c>
      <c r="O29" s="40" t="s">
        <v>31</v>
      </c>
      <c r="P29" s="115">
        <v>1444.99</v>
      </c>
      <c r="Q29" s="40"/>
      <c r="R29" s="115">
        <f>138+150.77</f>
        <v>288.77</v>
      </c>
      <c r="S29" s="40"/>
      <c r="T29" s="152">
        <f>1448.82+997.76+1445</f>
        <v>3891.58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4994546</v>
      </c>
      <c r="H31" s="29"/>
      <c r="I31" s="152">
        <v>4999371</v>
      </c>
      <c r="J31" s="40"/>
      <c r="K31" s="40"/>
      <c r="L31" s="82">
        <v>4865655</v>
      </c>
      <c r="M31" s="129"/>
      <c r="N31" s="38">
        <v>4825.04</v>
      </c>
      <c r="O31" s="40"/>
      <c r="P31" s="45"/>
      <c r="Q31" s="40"/>
      <c r="R31" s="38">
        <f>7606.67+7797.18+8493+6212.69+6541.11+55866.45+8420.51+5869.7+8684+4825.04</f>
        <v>120316.34999999998</v>
      </c>
      <c r="S31" s="93"/>
      <c r="T31" s="38"/>
      <c r="U31" s="93"/>
      <c r="V31" s="38">
        <f>7623+7277+9019+6056.28+6121+24740.94+10925.13+5439.01+8147.36+5524</f>
        <v>90872.72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29704</v>
      </c>
      <c r="H32" s="29"/>
      <c r="I32" s="45">
        <v>175233</v>
      </c>
      <c r="J32" s="40"/>
      <c r="K32" s="40"/>
      <c r="L32" s="45">
        <v>-432401</v>
      </c>
      <c r="M32" s="129"/>
      <c r="N32" s="38">
        <v>0</v>
      </c>
      <c r="O32" s="40"/>
      <c r="P32" s="45">
        <v>144084.32999999999</v>
      </c>
      <c r="Q32" s="40"/>
      <c r="R32" s="38"/>
      <c r="S32" s="93"/>
      <c r="T32" s="38">
        <f>253188.79-122675+320899.47+136944.13-43575.19+159618.23+36217.93+124802.64-20735.61+144084.23</f>
        <v>988769.62</v>
      </c>
      <c r="U32" s="119"/>
      <c r="V32" s="38"/>
      <c r="W32" s="93"/>
      <c r="X32" s="38">
        <f>249209+97084+160047.47-69232.96+145865.58+73002.34-132176.87+91232.97+211979.29+64897.79</f>
        <v>891908.61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4561311</v>
      </c>
      <c r="H35" s="29"/>
      <c r="I35" s="116">
        <f>SUM(I29:I34)</f>
        <v>4711816</v>
      </c>
      <c r="J35" s="40"/>
      <c r="K35" s="40"/>
      <c r="L35" s="116">
        <f>SUM(L29:L34)</f>
        <v>3870177</v>
      </c>
      <c r="M35" s="129"/>
      <c r="N35" s="116">
        <f>SUM(N29:N34)</f>
        <v>4975.8100000000004</v>
      </c>
      <c r="O35" s="40"/>
      <c r="P35" s="116">
        <f>SUM(P29:P34)</f>
        <v>145529.31999999998</v>
      </c>
      <c r="Q35" s="40"/>
      <c r="R35" s="116">
        <f>SUM(R29:R34)</f>
        <v>120605.11999999998</v>
      </c>
      <c r="S35" s="40"/>
      <c r="T35" s="116">
        <f>SUM(T29:T34)</f>
        <v>992661.2</v>
      </c>
      <c r="U35" s="120"/>
      <c r="V35" s="116">
        <f>SUM(V29:V34)</f>
        <v>96030.77</v>
      </c>
      <c r="W35" s="40"/>
      <c r="X35" s="116">
        <f>SUM(X29:X34)</f>
        <v>924066.66999999993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10065483.65</v>
      </c>
      <c r="H37" s="29"/>
      <c r="I37" s="107">
        <f>+I35+I25+I19+I11</f>
        <v>10133928.65</v>
      </c>
      <c r="J37" s="92"/>
      <c r="K37" s="92"/>
      <c r="L37" s="107">
        <f>+L35+L25+L19+L11</f>
        <v>8531059.6500000004</v>
      </c>
      <c r="M37" s="129"/>
      <c r="N37" s="107">
        <f>+N35+N25+N19+N11</f>
        <v>5856.9100000000008</v>
      </c>
      <c r="O37" s="92"/>
      <c r="P37" s="107">
        <f>+P35+P25+P19+P11</f>
        <v>145529.31999999998</v>
      </c>
      <c r="Q37" s="92"/>
      <c r="R37" s="107">
        <f>+R35+R25+R19+R11</f>
        <v>126594.03999999998</v>
      </c>
      <c r="S37" s="92"/>
      <c r="T37" s="107">
        <f>+T35+T25+T19+T11</f>
        <v>992661.2</v>
      </c>
      <c r="U37" s="120"/>
      <c r="V37" s="107">
        <f>+V35+V25+V19+V11</f>
        <v>109166.88</v>
      </c>
      <c r="W37" s="92"/>
      <c r="X37" s="107">
        <f>+X35+X25+X19+X11</f>
        <v>924066.66999999993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April 2011 
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4" ht="12.75" thickBot="1">
      <c r="B2" s="35"/>
      <c r="C2" s="23"/>
      <c r="D2" s="426" t="s">
        <v>209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4" ht="12.75" thickBot="1">
      <c r="B5" s="150">
        <v>39229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219</v>
      </c>
      <c r="H6" s="102"/>
      <c r="I6" s="80" t="s">
        <v>220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1059826</v>
      </c>
      <c r="H9" s="102"/>
      <c r="I9" s="103">
        <v>913463</v>
      </c>
      <c r="J9" s="92"/>
      <c r="K9" s="92"/>
      <c r="L9" s="103">
        <v>851812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2.6297818288146944E-4</v>
      </c>
      <c r="F10" s="111"/>
      <c r="G10" s="111">
        <v>3180115</v>
      </c>
      <c r="H10" s="102"/>
      <c r="I10" s="111">
        <v>3180945</v>
      </c>
      <c r="J10" s="92"/>
      <c r="K10" s="92"/>
      <c r="L10" s="111">
        <v>2622149</v>
      </c>
      <c r="M10" s="92"/>
      <c r="N10" s="56">
        <v>836.41</v>
      </c>
      <c r="O10" s="92"/>
      <c r="P10" s="72"/>
      <c r="Q10" s="42"/>
      <c r="R10" s="123">
        <f>512+310.74+862.66+1025.96+703+482.05+420.31+785.98+881.1+836.41</f>
        <v>6820.2100000000009</v>
      </c>
      <c r="S10" s="42"/>
      <c r="T10" s="108"/>
      <c r="U10" s="86"/>
      <c r="V10" s="123">
        <f>631+154.21+2041+2356.54+1745+1203.63+709.46+1232.22+1705.05+1358+923.35</f>
        <v>14059.46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4239941</v>
      </c>
      <c r="H11" s="102"/>
      <c r="I11" s="103">
        <f>SUM(I9:I10)</f>
        <v>4094408</v>
      </c>
      <c r="J11" s="92"/>
      <c r="K11" s="92"/>
      <c r="L11" s="103">
        <f>SUM(L9:L10)</f>
        <v>3473961</v>
      </c>
      <c r="M11" s="92"/>
      <c r="N11" s="120">
        <f>SUM(N9:N10)</f>
        <v>836.41</v>
      </c>
      <c r="O11" s="92"/>
      <c r="P11" s="120">
        <f>SUM(P9:P10)</f>
        <v>0</v>
      </c>
      <c r="Q11" s="85"/>
      <c r="R11" s="120">
        <f>SUM(R9:R10)</f>
        <v>6820.2100000000009</v>
      </c>
      <c r="S11" s="85"/>
      <c r="T11" s="120">
        <f>SUM(T9:T10)</f>
        <v>0</v>
      </c>
      <c r="U11" s="120"/>
      <c r="V11" s="120">
        <f>SUM(V9:V10)</f>
        <v>14059.46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100289</v>
      </c>
      <c r="H29" s="29"/>
      <c r="I29" s="115">
        <v>100313</v>
      </c>
      <c r="J29" s="40"/>
      <c r="K29" s="40"/>
      <c r="L29" s="115">
        <v>0</v>
      </c>
      <c r="M29" s="129"/>
      <c r="N29" s="115">
        <v>24.42</v>
      </c>
      <c r="O29" s="40" t="s">
        <v>31</v>
      </c>
      <c r="P29" s="115">
        <v>19.87</v>
      </c>
      <c r="Q29" s="40"/>
      <c r="R29" s="115">
        <f>138+150.77+24.42</f>
        <v>313.19</v>
      </c>
      <c r="S29" s="40"/>
      <c r="T29" s="152">
        <f>1448.82+997.76+1445+19.87</f>
        <v>3911.45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4999371</v>
      </c>
      <c r="H31" s="29"/>
      <c r="I31" s="152">
        <v>5003340</v>
      </c>
      <c r="J31" s="40"/>
      <c r="K31" s="40"/>
      <c r="L31" s="82">
        <v>4871811</v>
      </c>
      <c r="M31" s="129"/>
      <c r="N31" s="38">
        <v>3968.7</v>
      </c>
      <c r="O31" s="40"/>
      <c r="P31" s="45"/>
      <c r="Q31" s="40"/>
      <c r="R31" s="38">
        <f>7606.67+7797.18+8493+6212.69+6541.11+55866.45+8420.51+5869.7+8684+4825.04+3968.7</f>
        <v>124285.04999999997</v>
      </c>
      <c r="S31" s="93"/>
      <c r="T31" s="38"/>
      <c r="U31" s="93"/>
      <c r="V31" s="38">
        <f>7623+7277+9019+6056.28+6121+24740.94+10925.13+5439.01+8147.36+5524+6156.46</f>
        <v>97029.180000000008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175233</v>
      </c>
      <c r="H32" s="29"/>
      <c r="I32" s="45">
        <v>119556</v>
      </c>
      <c r="J32" s="40"/>
      <c r="K32" s="40"/>
      <c r="L32" s="45">
        <v>-711541</v>
      </c>
      <c r="M32" s="129"/>
      <c r="N32" s="38">
        <v>0</v>
      </c>
      <c r="O32" s="40"/>
      <c r="P32" s="45">
        <v>-55697.29</v>
      </c>
      <c r="Q32" s="40"/>
      <c r="R32" s="38"/>
      <c r="S32" s="93"/>
      <c r="T32" s="38">
        <f>253188.79-122675+320899.47+136944.13-43575.19+159618.23+36217.93+124802.64-20735.61+144084.23-55697.29</f>
        <v>933072.33</v>
      </c>
      <c r="U32" s="119"/>
      <c r="V32" s="38"/>
      <c r="W32" s="93"/>
      <c r="X32" s="38">
        <f>249209+97084+160047.47-69232.96+145865.58+73002.34-132176.87+91232.97+211979.29+64897.79-279140.05</f>
        <v>612768.56000000006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4711816</v>
      </c>
      <c r="H35" s="29"/>
      <c r="I35" s="116">
        <f>SUM(I29:I34)</f>
        <v>4660132</v>
      </c>
      <c r="J35" s="40"/>
      <c r="K35" s="40"/>
      <c r="L35" s="116">
        <f>SUM(L29:L34)</f>
        <v>3597193</v>
      </c>
      <c r="M35" s="129"/>
      <c r="N35" s="116">
        <f>SUM(N29:N34)</f>
        <v>3993.12</v>
      </c>
      <c r="O35" s="40"/>
      <c r="P35" s="116">
        <f>SUM(P29:P34)</f>
        <v>-55677.42</v>
      </c>
      <c r="Q35" s="40"/>
      <c r="R35" s="116">
        <f>SUM(R29:R34)</f>
        <v>124598.23999999998</v>
      </c>
      <c r="S35" s="40"/>
      <c r="T35" s="116">
        <f>SUM(T29:T34)</f>
        <v>936983.77999999991</v>
      </c>
      <c r="U35" s="120"/>
      <c r="V35" s="116">
        <f>SUM(V29:V34)</f>
        <v>102187.23000000001</v>
      </c>
      <c r="W35" s="40"/>
      <c r="X35" s="116">
        <f>SUM(X29:X34)</f>
        <v>644926.62000000011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10133928.65</v>
      </c>
      <c r="H37" s="29"/>
      <c r="I37" s="107">
        <f>+I35+I25+I19+I11</f>
        <v>9936711.6500000004</v>
      </c>
      <c r="J37" s="92"/>
      <c r="K37" s="92"/>
      <c r="L37" s="107">
        <f>+L35+L25+L19+L11</f>
        <v>8253320.6500000004</v>
      </c>
      <c r="M37" s="129"/>
      <c r="N37" s="107">
        <f>+N35+N25+N19+N11</f>
        <v>4829.53</v>
      </c>
      <c r="O37" s="92"/>
      <c r="P37" s="107">
        <f>+P35+P25+P19+P11</f>
        <v>-55677.42</v>
      </c>
      <c r="Q37" s="92"/>
      <c r="R37" s="107">
        <f>+R35+R25+R19+R11</f>
        <v>131423.56999999998</v>
      </c>
      <c r="S37" s="92"/>
      <c r="T37" s="107">
        <f>+T35+T25+T19+T11</f>
        <v>936983.77999999991</v>
      </c>
      <c r="U37" s="120"/>
      <c r="V37" s="107">
        <f>+V35+V25+V19+V11</f>
        <v>116246.69</v>
      </c>
      <c r="W37" s="92"/>
      <c r="X37" s="107">
        <f>+X35+X25+X19+X11</f>
        <v>644926.62000000011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May 2011 
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4" ht="12.75" thickBot="1">
      <c r="B2" s="35"/>
      <c r="C2" s="23"/>
      <c r="D2" s="426" t="s">
        <v>209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v>954356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3135975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8914784.6500000004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4" ht="12.75" thickBot="1">
      <c r="B2" s="35"/>
      <c r="C2" s="23"/>
      <c r="D2" s="426" t="s">
        <v>209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f>954356-18403</f>
        <v>935953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3117572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8896381.6500000004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4" ht="12.75" thickBot="1">
      <c r="B2" s="35"/>
      <c r="C2" s="23"/>
      <c r="D2" s="426" t="s">
        <v>209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4" ht="12.75" thickBot="1">
      <c r="B5" s="150">
        <v>39292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223</v>
      </c>
      <c r="H6" s="102"/>
      <c r="I6" s="80" t="s">
        <v>224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954356-18403</f>
        <v>935953</v>
      </c>
      <c r="H9" s="102"/>
      <c r="I9" s="103">
        <v>783593</v>
      </c>
      <c r="J9" s="92"/>
      <c r="K9" s="92"/>
      <c r="L9" s="103">
        <v>528100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2.2672749658420531E-4</v>
      </c>
      <c r="F10" s="111"/>
      <c r="G10" s="111">
        <v>2181619</v>
      </c>
      <c r="H10" s="102"/>
      <c r="I10" s="111">
        <v>1682050</v>
      </c>
      <c r="J10" s="92"/>
      <c r="K10" s="92"/>
      <c r="L10" s="111">
        <v>1123615</v>
      </c>
      <c r="M10" s="92"/>
      <c r="N10" s="56">
        <v>438</v>
      </c>
      <c r="O10" s="92"/>
      <c r="P10" s="72"/>
      <c r="Q10" s="42"/>
      <c r="R10" s="123">
        <v>438</v>
      </c>
      <c r="S10" s="42"/>
      <c r="T10" s="108"/>
      <c r="U10" s="86"/>
      <c r="V10" s="123">
        <v>512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3117572</v>
      </c>
      <c r="H11" s="102"/>
      <c r="I11" s="103">
        <f>SUM(I9:I10)</f>
        <v>2465643</v>
      </c>
      <c r="J11" s="92"/>
      <c r="K11" s="92"/>
      <c r="L11" s="103">
        <f>SUM(L9:L10)</f>
        <v>1651715</v>
      </c>
      <c r="M11" s="92"/>
      <c r="N11" s="120">
        <f>SUM(N9:N10)</f>
        <v>438</v>
      </c>
      <c r="O11" s="92"/>
      <c r="P11" s="120">
        <f>SUM(P9:P10)</f>
        <v>0</v>
      </c>
      <c r="Q11" s="85"/>
      <c r="R11" s="120">
        <f>SUM(R9:R10)</f>
        <v>438</v>
      </c>
      <c r="S11" s="85"/>
      <c r="T11" s="120">
        <f>SUM(T9:T10)</f>
        <v>0</v>
      </c>
      <c r="U11" s="120"/>
      <c r="V11" s="120">
        <f>SUM(V9:V10)</f>
        <v>512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100335</v>
      </c>
      <c r="H29" s="29"/>
      <c r="I29" s="115">
        <v>100507</v>
      </c>
      <c r="J29" s="40"/>
      <c r="K29" s="40"/>
      <c r="L29" s="115">
        <v>0</v>
      </c>
      <c r="M29" s="129"/>
      <c r="N29" s="115">
        <v>171.85</v>
      </c>
      <c r="O29" s="40" t="s">
        <v>31</v>
      </c>
      <c r="P29" s="115">
        <v>-2142.16</v>
      </c>
      <c r="Q29" s="40"/>
      <c r="R29" s="115">
        <v>171.85</v>
      </c>
      <c r="S29" s="40" t="s">
        <v>31</v>
      </c>
      <c r="T29" s="115">
        <v>-2142.16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5008943</v>
      </c>
      <c r="H31" s="29"/>
      <c r="I31" s="152">
        <v>5013045</v>
      </c>
      <c r="J31" s="40"/>
      <c r="K31" s="40"/>
      <c r="L31" s="82">
        <v>4886661</v>
      </c>
      <c r="M31" s="129"/>
      <c r="N31" s="38">
        <v>4101.7</v>
      </c>
      <c r="O31" s="40"/>
      <c r="P31" s="45"/>
      <c r="Q31" s="40"/>
      <c r="R31" s="38">
        <v>4101.7</v>
      </c>
      <c r="S31" s="40"/>
      <c r="T31" s="45"/>
      <c r="U31" s="93"/>
      <c r="V31" s="38">
        <v>7606.67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50437</v>
      </c>
      <c r="H32" s="29"/>
      <c r="I32" s="45">
        <v>-11709</v>
      </c>
      <c r="J32" s="40"/>
      <c r="K32" s="40"/>
      <c r="L32" s="45">
        <v>-564238</v>
      </c>
      <c r="M32" s="129"/>
      <c r="N32" s="38">
        <v>0</v>
      </c>
      <c r="O32" s="40"/>
      <c r="P32" s="45">
        <v>-60004.04</v>
      </c>
      <c r="Q32" s="40"/>
      <c r="R32" s="38">
        <v>0</v>
      </c>
      <c r="S32" s="40"/>
      <c r="T32" s="45">
        <v>-60004.04</v>
      </c>
      <c r="U32" s="119"/>
      <c r="V32" s="38"/>
      <c r="W32" s="93"/>
      <c r="X32" s="38">
        <v>253188.79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4596638</v>
      </c>
      <c r="H35" s="29"/>
      <c r="I35" s="116">
        <f>SUM(I29:I34)</f>
        <v>4538766</v>
      </c>
      <c r="J35" s="40"/>
      <c r="K35" s="40"/>
      <c r="L35" s="116">
        <f>SUM(L29:L34)</f>
        <v>3759346</v>
      </c>
      <c r="M35" s="129"/>
      <c r="N35" s="116">
        <f>SUM(N29:N34)</f>
        <v>4273.55</v>
      </c>
      <c r="O35" s="40"/>
      <c r="P35" s="116">
        <f>SUM(P29:P34)</f>
        <v>-62146.2</v>
      </c>
      <c r="Q35" s="40"/>
      <c r="R35" s="116">
        <f>SUM(R29:R34)</f>
        <v>4273.55</v>
      </c>
      <c r="S35" s="40"/>
      <c r="T35" s="116">
        <f>SUM(T29:T34)</f>
        <v>-62146.2</v>
      </c>
      <c r="U35" s="120"/>
      <c r="V35" s="116">
        <f>SUM(V29:V34)</f>
        <v>7606.67</v>
      </c>
      <c r="W35" s="40"/>
      <c r="X35" s="116">
        <f>SUM(X29:X34)</f>
        <v>253188.79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8896381.6500000004</v>
      </c>
      <c r="H37" s="29"/>
      <c r="I37" s="107">
        <f>+I35+I25+I19+I11</f>
        <v>8186580.6500000004</v>
      </c>
      <c r="J37" s="92"/>
      <c r="K37" s="92"/>
      <c r="L37" s="107">
        <f>+L35+L25+L19+L11</f>
        <v>6593227.6500000004</v>
      </c>
      <c r="M37" s="129"/>
      <c r="N37" s="107">
        <f>+N35+N25+N19+N11</f>
        <v>4711.55</v>
      </c>
      <c r="O37" s="92"/>
      <c r="P37" s="107">
        <f>+P35+P25+P19+P11</f>
        <v>-62146.2</v>
      </c>
      <c r="Q37" s="92"/>
      <c r="R37" s="107">
        <f>+R35+R25+R19+R11</f>
        <v>4711.55</v>
      </c>
      <c r="S37" s="92"/>
      <c r="T37" s="107">
        <f>+T35+T25+T19+T11</f>
        <v>-62146.2</v>
      </c>
      <c r="U37" s="120"/>
      <c r="V37" s="107">
        <f>+V35+V25+V19+V11</f>
        <v>8118.67</v>
      </c>
      <c r="W37" s="92"/>
      <c r="X37" s="107">
        <f>+X35+X25+X19+X11</f>
        <v>253188.79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July 2011 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4" ht="12.75" thickBot="1">
      <c r="B2" s="35"/>
      <c r="C2" s="23"/>
      <c r="D2" s="426" t="s">
        <v>227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4" ht="12.75" thickBot="1">
      <c r="B5" s="150">
        <v>39320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228</v>
      </c>
      <c r="H6" s="102"/>
      <c r="I6" s="80" t="s">
        <v>229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783593</v>
      </c>
      <c r="H9" s="102"/>
      <c r="I9" s="103">
        <v>2134153</v>
      </c>
      <c r="J9" s="92"/>
      <c r="K9" s="92"/>
      <c r="L9" s="103">
        <v>844251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2.1085080793675456E-4</v>
      </c>
      <c r="F10" s="111"/>
      <c r="G10" s="111">
        <v>1682050</v>
      </c>
      <c r="H10" s="102"/>
      <c r="I10" s="111">
        <v>1182345</v>
      </c>
      <c r="J10" s="92"/>
      <c r="K10" s="92"/>
      <c r="L10" s="111">
        <v>1208555</v>
      </c>
      <c r="M10" s="92"/>
      <c r="N10" s="56">
        <v>301.98</v>
      </c>
      <c r="O10" s="92"/>
      <c r="P10" s="72"/>
      <c r="Q10" s="42"/>
      <c r="R10" s="123">
        <f>438+301.98</f>
        <v>739.98</v>
      </c>
      <c r="S10" s="42"/>
      <c r="T10" s="108"/>
      <c r="U10" s="86"/>
      <c r="V10" s="123">
        <f>512+310.74</f>
        <v>822.74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2465643</v>
      </c>
      <c r="H11" s="102"/>
      <c r="I11" s="103">
        <f>SUM(I9:I10)</f>
        <v>3316498</v>
      </c>
      <c r="J11" s="92"/>
      <c r="K11" s="92"/>
      <c r="L11" s="103">
        <f>SUM(L9:L10)</f>
        <v>2052806</v>
      </c>
      <c r="M11" s="92"/>
      <c r="N11" s="120">
        <f>SUM(N9:N10)</f>
        <v>301.98</v>
      </c>
      <c r="O11" s="92"/>
      <c r="P11" s="120">
        <f>SUM(P9:P10)</f>
        <v>0</v>
      </c>
      <c r="Q11" s="85"/>
      <c r="R11" s="120">
        <f>SUM(R9:R10)</f>
        <v>739.98</v>
      </c>
      <c r="S11" s="85"/>
      <c r="T11" s="120">
        <f>SUM(T9:T10)</f>
        <v>0</v>
      </c>
      <c r="U11" s="120"/>
      <c r="V11" s="120">
        <f>SUM(V9:V10)</f>
        <v>822.74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100507</v>
      </c>
      <c r="H29" s="29"/>
      <c r="I29" s="115">
        <v>100518</v>
      </c>
      <c r="J29" s="40"/>
      <c r="K29" s="40"/>
      <c r="L29" s="115">
        <v>0</v>
      </c>
      <c r="M29" s="129"/>
      <c r="N29" s="115">
        <v>11.02</v>
      </c>
      <c r="O29" s="40" t="s">
        <v>31</v>
      </c>
      <c r="P29" s="115">
        <v>-6592.02</v>
      </c>
      <c r="Q29" s="40"/>
      <c r="R29" s="115">
        <f>171.85+11.02</f>
        <v>182.87</v>
      </c>
      <c r="S29" s="40" t="s">
        <v>31</v>
      </c>
      <c r="T29" s="115">
        <f>-2142.16-6592.02</f>
        <v>-8734.18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5013045</v>
      </c>
      <c r="H31" s="29"/>
      <c r="I31" s="152">
        <v>5019245</v>
      </c>
      <c r="J31" s="40"/>
      <c r="K31" s="40"/>
      <c r="L31" s="82">
        <v>4894459</v>
      </c>
      <c r="M31" s="129"/>
      <c r="N31" s="38">
        <v>6199.96</v>
      </c>
      <c r="O31" s="40"/>
      <c r="P31" s="45"/>
      <c r="Q31" s="40"/>
      <c r="R31" s="38">
        <f>4101.7+6199.96</f>
        <v>10301.66</v>
      </c>
      <c r="S31" s="40"/>
      <c r="T31" s="45"/>
      <c r="U31" s="93"/>
      <c r="V31" s="38">
        <f>7606.67+7797.18</f>
        <v>15403.85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-11709</v>
      </c>
      <c r="H32" s="29"/>
      <c r="I32" s="45">
        <v>-254717</v>
      </c>
      <c r="J32" s="40"/>
      <c r="K32" s="40"/>
      <c r="L32" s="45">
        <v>-686913</v>
      </c>
      <c r="M32" s="129"/>
      <c r="N32" s="38">
        <v>0</v>
      </c>
      <c r="O32" s="40"/>
      <c r="P32" s="45">
        <v>-236415.96</v>
      </c>
      <c r="Q32" s="40"/>
      <c r="R32" s="38">
        <v>0</v>
      </c>
      <c r="S32" s="40"/>
      <c r="T32" s="45">
        <f>-60004.04-236415.96</f>
        <v>-296420</v>
      </c>
      <c r="U32" s="119"/>
      <c r="V32" s="38"/>
      <c r="W32" s="93"/>
      <c r="X32" s="38">
        <f>253188.79-122675</f>
        <v>130513.79000000001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4538766</v>
      </c>
      <c r="H35" s="29"/>
      <c r="I35" s="116">
        <f>SUM(I29:I34)</f>
        <v>4301969</v>
      </c>
      <c r="J35" s="40"/>
      <c r="K35" s="40"/>
      <c r="L35" s="116">
        <f>SUM(L29:L34)</f>
        <v>3644469</v>
      </c>
      <c r="M35" s="129"/>
      <c r="N35" s="116">
        <f>SUM(N29:N34)</f>
        <v>6210.9800000000005</v>
      </c>
      <c r="O35" s="40"/>
      <c r="P35" s="116">
        <f>SUM(P29:P34)</f>
        <v>-243007.97999999998</v>
      </c>
      <c r="Q35" s="40"/>
      <c r="R35" s="116">
        <f>SUM(R29:R34)</f>
        <v>10484.530000000001</v>
      </c>
      <c r="S35" s="40"/>
      <c r="T35" s="116">
        <f>SUM(T29:T34)</f>
        <v>-305154.18</v>
      </c>
      <c r="U35" s="120"/>
      <c r="V35" s="116">
        <f>SUM(V29:V34)</f>
        <v>15403.85</v>
      </c>
      <c r="W35" s="40"/>
      <c r="X35" s="116">
        <f>SUM(X29:X34)</f>
        <v>130513.79000000001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8186580.6500000004</v>
      </c>
      <c r="H37" s="29"/>
      <c r="I37" s="107">
        <f>+I35+I25+I19+I11</f>
        <v>8800638.6500000004</v>
      </c>
      <c r="J37" s="92"/>
      <c r="K37" s="92"/>
      <c r="L37" s="107">
        <f>+L35+L25+L19+L11</f>
        <v>6879441.6500000004</v>
      </c>
      <c r="M37" s="129"/>
      <c r="N37" s="107">
        <f>+N35+N25+N19+N11</f>
        <v>6512.9600000000009</v>
      </c>
      <c r="O37" s="92"/>
      <c r="P37" s="107">
        <f>+P35+P25+P19+P11</f>
        <v>-243007.97999999998</v>
      </c>
      <c r="Q37" s="92"/>
      <c r="R37" s="107">
        <f>+R35+R25+R19+R11</f>
        <v>11224.51</v>
      </c>
      <c r="S37" s="92"/>
      <c r="T37" s="107">
        <f>+T35+T25+T19+T11</f>
        <v>-305154.18</v>
      </c>
      <c r="U37" s="120"/>
      <c r="V37" s="107">
        <f>+V35+V25+V19+V11</f>
        <v>16226.59</v>
      </c>
      <c r="W37" s="92"/>
      <c r="X37" s="107">
        <f>+X35+X25+X19+X11</f>
        <v>130513.79000000001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August 2011 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X52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4" ht="12.75" thickBot="1">
      <c r="B2" s="35"/>
      <c r="C2" s="23"/>
      <c r="D2" s="426" t="s">
        <v>227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4" ht="12.75" thickBot="1">
      <c r="B5" s="150">
        <v>39348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230</v>
      </c>
      <c r="H6" s="102"/>
      <c r="I6" s="80" t="s">
        <v>231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2134153</v>
      </c>
      <c r="H9" s="102"/>
      <c r="I9" s="103">
        <v>1808815</v>
      </c>
      <c r="J9" s="92"/>
      <c r="K9" s="92"/>
      <c r="L9" s="103">
        <v>1574793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1.9705096407205607E-4</v>
      </c>
      <c r="F10" s="111"/>
      <c r="G10" s="111">
        <v>1182345</v>
      </c>
      <c r="H10" s="102"/>
      <c r="I10" s="111">
        <v>4182866</v>
      </c>
      <c r="J10" s="92"/>
      <c r="K10" s="92"/>
      <c r="L10" s="111">
        <v>3724775</v>
      </c>
      <c r="M10" s="92"/>
      <c r="N10" s="56">
        <v>528.61</v>
      </c>
      <c r="O10" s="92"/>
      <c r="P10" s="72"/>
      <c r="Q10" s="42"/>
      <c r="R10" s="123">
        <f>438+301.98+528.61</f>
        <v>1268.5900000000001</v>
      </c>
      <c r="S10" s="42"/>
      <c r="T10" s="108"/>
      <c r="U10" s="86"/>
      <c r="V10" s="123">
        <f>512+310.74+862.66</f>
        <v>1685.4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3316498</v>
      </c>
      <c r="H11" s="102"/>
      <c r="I11" s="103">
        <f>SUM(I9:I10)</f>
        <v>5991681</v>
      </c>
      <c r="J11" s="92"/>
      <c r="K11" s="92"/>
      <c r="L11" s="103">
        <f>SUM(L9:L10)</f>
        <v>5299568</v>
      </c>
      <c r="M11" s="92"/>
      <c r="N11" s="120">
        <f>SUM(N9:N10)</f>
        <v>528.61</v>
      </c>
      <c r="O11" s="92"/>
      <c r="P11" s="120">
        <f>SUM(P9:P10)</f>
        <v>0</v>
      </c>
      <c r="Q11" s="85"/>
      <c r="R11" s="120">
        <f>SUM(R9:R10)</f>
        <v>1268.5900000000001</v>
      </c>
      <c r="S11" s="85"/>
      <c r="T11" s="120">
        <f>SUM(T9:T10)</f>
        <v>0</v>
      </c>
      <c r="U11" s="120"/>
      <c r="V11" s="120">
        <f>SUM(V9:V10)</f>
        <v>1685.4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100518</v>
      </c>
      <c r="H29" s="29"/>
      <c r="I29" s="115">
        <v>100640</v>
      </c>
      <c r="J29" s="40"/>
      <c r="K29" s="40"/>
      <c r="L29" s="115">
        <v>0</v>
      </c>
      <c r="M29" s="129"/>
      <c r="N29" s="115">
        <v>121.64</v>
      </c>
      <c r="O29" s="40" t="s">
        <v>31</v>
      </c>
      <c r="P29" s="115">
        <v>196.48</v>
      </c>
      <c r="Q29" s="40"/>
      <c r="R29" s="115">
        <f>171.85+11.02+121.64</f>
        <v>304.51</v>
      </c>
      <c r="S29" s="40" t="s">
        <v>31</v>
      </c>
      <c r="T29" s="115">
        <f>-2142.16-6592.02+196.48</f>
        <v>-8537.7000000000007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5019245</v>
      </c>
      <c r="H31" s="29"/>
      <c r="I31" s="152">
        <v>5024318</v>
      </c>
      <c r="J31" s="40"/>
      <c r="K31" s="40"/>
      <c r="L31" s="82">
        <v>4902952</v>
      </c>
      <c r="M31" s="129"/>
      <c r="N31" s="153">
        <v>5073.04</v>
      </c>
      <c r="O31" s="40"/>
      <c r="P31" s="45"/>
      <c r="Q31" s="40"/>
      <c r="R31" s="38">
        <f>4101.7+6199.96+5073.04</f>
        <v>15374.7</v>
      </c>
      <c r="S31" s="40"/>
      <c r="T31" s="45"/>
      <c r="U31" s="93"/>
      <c r="V31" s="38">
        <f>7606.67+7797.18+8493</f>
        <v>23896.85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-254717</v>
      </c>
      <c r="H32" s="29"/>
      <c r="I32" s="45">
        <v>-621702</v>
      </c>
      <c r="J32" s="40"/>
      <c r="K32" s="40"/>
      <c r="L32" s="45">
        <v>-366013</v>
      </c>
      <c r="M32" s="129"/>
      <c r="N32" s="38">
        <v>0</v>
      </c>
      <c r="O32" s="40"/>
      <c r="P32" s="45">
        <v>-367180.49</v>
      </c>
      <c r="Q32" s="40"/>
      <c r="R32" s="38">
        <v>0</v>
      </c>
      <c r="S32" s="40"/>
      <c r="T32" s="45">
        <f>-60004.04-236415.96-367180.49</f>
        <v>-663600.49</v>
      </c>
      <c r="U32" s="119"/>
      <c r="V32" s="38"/>
      <c r="W32" s="93"/>
      <c r="X32" s="38">
        <f>253188.79-122675+320899.47</f>
        <v>451413.26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4301969</v>
      </c>
      <c r="H35" s="29"/>
      <c r="I35" s="116">
        <f>SUM(I29:I34)</f>
        <v>3940179</v>
      </c>
      <c r="J35" s="40"/>
      <c r="K35" s="40"/>
      <c r="L35" s="116">
        <f>SUM(L29:L34)</f>
        <v>3973862</v>
      </c>
      <c r="M35" s="129"/>
      <c r="N35" s="116">
        <f>SUM(N29:N34)</f>
        <v>5194.68</v>
      </c>
      <c r="O35" s="40"/>
      <c r="P35" s="116">
        <f>SUM(P29:P34)</f>
        <v>-366984.01</v>
      </c>
      <c r="Q35" s="40"/>
      <c r="R35" s="116">
        <f>SUM(R29:R34)</f>
        <v>15679.210000000001</v>
      </c>
      <c r="S35" s="40"/>
      <c r="T35" s="116">
        <f>SUM(T29:T34)</f>
        <v>-672138.19</v>
      </c>
      <c r="U35" s="120"/>
      <c r="V35" s="116">
        <f>SUM(V29:V34)</f>
        <v>23896.85</v>
      </c>
      <c r="W35" s="40"/>
      <c r="X35" s="116">
        <f>SUM(X29:X34)</f>
        <v>451413.26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8800638.6500000004</v>
      </c>
      <c r="H37" s="29"/>
      <c r="I37" s="107">
        <f>+I35+I25+I19+I11</f>
        <v>11114031.65</v>
      </c>
      <c r="J37" s="92"/>
      <c r="K37" s="92"/>
      <c r="L37" s="107">
        <f>+L35+L25+L19+L11</f>
        <v>10455601.65</v>
      </c>
      <c r="M37" s="129"/>
      <c r="N37" s="107">
        <f>+N35+N25+N19+N11</f>
        <v>5723.29</v>
      </c>
      <c r="O37" s="92"/>
      <c r="P37" s="107">
        <f>+P35+P25+P19+P11</f>
        <v>-366984.01</v>
      </c>
      <c r="Q37" s="92"/>
      <c r="R37" s="107">
        <f>+R35+R25+R19+R11</f>
        <v>16947.800000000003</v>
      </c>
      <c r="S37" s="92"/>
      <c r="T37" s="107">
        <f>+T35+T25+T19+T11</f>
        <v>-672138.19</v>
      </c>
      <c r="U37" s="120"/>
      <c r="V37" s="107">
        <f>+V35+V25+V19+V11</f>
        <v>25587.37</v>
      </c>
      <c r="W37" s="92"/>
      <c r="X37" s="107">
        <f>+X35+X25+X19+X11</f>
        <v>451413.26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September 2011 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Y52"/>
  <sheetViews>
    <sheetView showGridLines="0" workbookViewId="0">
      <selection activeCell="X26" sqref="X2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26" t="s">
        <v>227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39383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233</v>
      </c>
      <c r="H6" s="102"/>
      <c r="I6" s="80" t="s">
        <v>234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1808815</v>
      </c>
      <c r="H9" s="102"/>
      <c r="I9" s="103">
        <v>522918</v>
      </c>
      <c r="J9" s="92"/>
      <c r="K9" s="92"/>
      <c r="L9" s="103">
        <f>698377-100000</f>
        <v>598377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1.5060149649595011E-4</v>
      </c>
      <c r="F10" s="111"/>
      <c r="G10" s="111">
        <v>4182866</v>
      </c>
      <c r="H10" s="102"/>
      <c r="I10" s="111">
        <v>2183339</v>
      </c>
      <c r="J10" s="92"/>
      <c r="K10" s="92"/>
      <c r="L10" s="111">
        <v>2475794</v>
      </c>
      <c r="M10" s="92"/>
      <c r="N10" s="56">
        <v>479.38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</f>
        <v>2711.36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5991681</v>
      </c>
      <c r="H11" s="102"/>
      <c r="I11" s="103">
        <f>SUM(I9:I10)</f>
        <v>2706257</v>
      </c>
      <c r="J11" s="92"/>
      <c r="K11" s="92"/>
      <c r="L11" s="103">
        <f>SUM(L9:L10)</f>
        <v>3074171</v>
      </c>
      <c r="M11" s="92"/>
      <c r="N11" s="120">
        <f>SUM(N9:N10)</f>
        <v>479.38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2711.36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100640</v>
      </c>
      <c r="H29" s="29"/>
      <c r="I29" s="115">
        <v>100755</v>
      </c>
      <c r="J29" s="40"/>
      <c r="K29" s="40"/>
      <c r="L29" s="115">
        <v>100000</v>
      </c>
      <c r="M29" s="129"/>
      <c r="N29" s="115">
        <v>114.9</v>
      </c>
      <c r="O29" s="40" t="s">
        <v>31</v>
      </c>
      <c r="P29" s="115">
        <v>-64.94</v>
      </c>
      <c r="Q29" s="40"/>
      <c r="R29" s="115">
        <f>171.85+11.02+121.64+114.9</f>
        <v>419.40999999999997</v>
      </c>
      <c r="S29" s="40" t="s">
        <v>31</v>
      </c>
      <c r="T29" s="115">
        <f>-2142.16-6592.02+196.48-64.94</f>
        <v>-8602.6400000000012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5024318</v>
      </c>
      <c r="H31" s="29"/>
      <c r="I31" s="152">
        <v>5028673</v>
      </c>
      <c r="J31" s="40"/>
      <c r="K31" s="40"/>
      <c r="L31" s="82">
        <v>4909164</v>
      </c>
      <c r="M31" s="129"/>
      <c r="N31" s="38">
        <v>4354.59</v>
      </c>
      <c r="O31" s="40"/>
      <c r="P31" s="45"/>
      <c r="Q31" s="40"/>
      <c r="R31" s="38">
        <f>4101.7+6199.96+5073.04+4354.59</f>
        <v>19729.29</v>
      </c>
      <c r="S31" s="40"/>
      <c r="T31" s="45"/>
      <c r="U31" s="93"/>
      <c r="V31" s="38">
        <f>7606.67+7797.18+8493+6212.69</f>
        <v>30109.539999999997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-621702</v>
      </c>
      <c r="H32" s="29"/>
      <c r="I32" s="45">
        <v>-282425</v>
      </c>
      <c r="J32" s="40"/>
      <c r="K32" s="40"/>
      <c r="L32" s="45">
        <v>-229069</v>
      </c>
      <c r="M32" s="129"/>
      <c r="N32" s="38">
        <v>0</v>
      </c>
      <c r="O32" s="40"/>
      <c r="P32" s="45">
        <v>339341.68</v>
      </c>
      <c r="Q32" s="40"/>
      <c r="R32" s="38">
        <v>0</v>
      </c>
      <c r="S32" s="40"/>
      <c r="T32" s="45">
        <f>-60004.04-236415.96-367180.49+339341.68</f>
        <v>-324258.81</v>
      </c>
      <c r="U32" s="119"/>
      <c r="V32" s="38"/>
      <c r="W32" s="93"/>
      <c r="X32" s="38">
        <f>253188.79-122675+320899.47+136944.13</f>
        <v>588357.39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3940179</v>
      </c>
      <c r="H35" s="29"/>
      <c r="I35" s="116">
        <f>SUM(I29:I34)</f>
        <v>4283926</v>
      </c>
      <c r="J35" s="40"/>
      <c r="K35" s="40"/>
      <c r="L35" s="116">
        <f>SUM(L29:L34)</f>
        <v>4217018</v>
      </c>
      <c r="M35" s="129"/>
      <c r="N35" s="116">
        <f>SUM(N29:N34)</f>
        <v>4469.49</v>
      </c>
      <c r="O35" s="40"/>
      <c r="P35" s="116">
        <f>SUM(P29:P34)</f>
        <v>339276.74</v>
      </c>
      <c r="Q35" s="40"/>
      <c r="R35" s="116">
        <f>SUM(R29:R34)</f>
        <v>20148.7</v>
      </c>
      <c r="S35" s="40"/>
      <c r="T35" s="116">
        <f>SUM(T29:T34)</f>
        <v>-332861.45</v>
      </c>
      <c r="U35" s="120"/>
      <c r="V35" s="116">
        <f>SUM(V29:V34)</f>
        <v>30109.539999999997</v>
      </c>
      <c r="W35" s="40"/>
      <c r="X35" s="116">
        <f>SUM(X29:X34)</f>
        <v>588357.39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11114031.65</v>
      </c>
      <c r="H37" s="29"/>
      <c r="I37" s="107">
        <f>+I35+I25+I19+I11</f>
        <v>8172354.6500000004</v>
      </c>
      <c r="J37" s="92"/>
      <c r="K37" s="92"/>
      <c r="L37" s="107">
        <f>+L35+L25+L19+L11</f>
        <v>8473360.6500000004</v>
      </c>
      <c r="M37" s="129"/>
      <c r="N37" s="107">
        <f>+N35+N25+N19+N11</f>
        <v>4948.87</v>
      </c>
      <c r="O37" s="92"/>
      <c r="P37" s="107">
        <f>+P35+P25+P19+P11</f>
        <v>339276.74</v>
      </c>
      <c r="Q37" s="92"/>
      <c r="R37" s="107">
        <f>+R35+R25+R19+R11</f>
        <v>21896.670000000002</v>
      </c>
      <c r="S37" s="92"/>
      <c r="T37" s="107">
        <f>+T35+T25+T19+T11</f>
        <v>-332861.45</v>
      </c>
      <c r="U37" s="120"/>
      <c r="V37" s="107">
        <f>+V35+V25+V19+V11</f>
        <v>32826.019999999997</v>
      </c>
      <c r="W37" s="92"/>
      <c r="X37" s="107">
        <f>+X35+X25+X19+X11</f>
        <v>588357.39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October 2011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T50"/>
  <sheetViews>
    <sheetView topLeftCell="A2" workbookViewId="0">
      <pane xSplit="2" ySplit="7" topLeftCell="C20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37654</v>
      </c>
      <c r="I7" s="4"/>
      <c r="J7" s="18">
        <v>37619</v>
      </c>
      <c r="K7" s="4"/>
      <c r="L7" s="18">
        <v>37283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433</v>
      </c>
      <c r="O11" s="13"/>
      <c r="P11" s="12">
        <v>3037</v>
      </c>
      <c r="Q11" s="13"/>
      <c r="R11" s="12">
        <v>2245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124832</v>
      </c>
      <c r="I14" s="13"/>
      <c r="J14" s="12">
        <v>124332</v>
      </c>
      <c r="K14" s="13"/>
      <c r="L14" s="12">
        <v>125783</v>
      </c>
      <c r="M14" s="13"/>
      <c r="N14" s="12">
        <v>500</v>
      </c>
      <c r="O14" s="13"/>
      <c r="P14" s="12">
        <v>3709</v>
      </c>
      <c r="Q14" s="13"/>
      <c r="R14" s="12">
        <v>2763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72376</v>
      </c>
      <c r="I15" s="13"/>
      <c r="J15" s="15">
        <v>72176</v>
      </c>
      <c r="K15" s="13"/>
      <c r="L15" s="15">
        <v>69084</v>
      </c>
      <c r="M15" s="13"/>
      <c r="N15" s="15">
        <v>200</v>
      </c>
      <c r="O15" s="13"/>
      <c r="P15" s="15">
        <v>1923</v>
      </c>
      <c r="Q15" s="13"/>
      <c r="R15" s="15">
        <v>1313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760285</v>
      </c>
      <c r="I17" s="13"/>
      <c r="J17" s="16">
        <f>SUM(J11:J15)</f>
        <v>759585</v>
      </c>
      <c r="K17" s="13"/>
      <c r="L17" s="16">
        <f>SUM(L11:L15)</f>
        <v>757944</v>
      </c>
      <c r="M17" s="13"/>
      <c r="N17" s="16">
        <f>SUM(N11:N15)</f>
        <v>1133</v>
      </c>
      <c r="O17" s="13"/>
      <c r="P17" s="16">
        <f>SUM(P11:P15)</f>
        <v>8669</v>
      </c>
      <c r="Q17" s="13"/>
      <c r="R17" s="16">
        <f>SUM(R11:R15)</f>
        <v>6321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4.66</v>
      </c>
      <c r="G24" s="7"/>
      <c r="H24" s="15">
        <v>416412</v>
      </c>
      <c r="I24" s="13"/>
      <c r="J24" s="15">
        <v>414669</v>
      </c>
      <c r="K24" s="15">
        <v>425705</v>
      </c>
      <c r="L24" s="15">
        <v>439751</v>
      </c>
      <c r="M24" s="13"/>
      <c r="N24" s="15">
        <v>2275</v>
      </c>
      <c r="O24" s="13"/>
      <c r="P24" s="15">
        <v>14798</v>
      </c>
      <c r="Q24" s="13"/>
      <c r="R24" s="15">
        <v>8626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416412</v>
      </c>
      <c r="I26" s="13"/>
      <c r="J26" s="16">
        <f>SUM(J23:J24)</f>
        <v>414669</v>
      </c>
      <c r="K26" s="13"/>
      <c r="L26" s="16">
        <f>SUM(L23:L24)</f>
        <v>439751</v>
      </c>
      <c r="M26" s="13"/>
      <c r="N26" s="16">
        <f>SUM(N23:N24)</f>
        <v>2275</v>
      </c>
      <c r="O26" s="13"/>
      <c r="P26" s="16">
        <f>SUM(P23:P24)</f>
        <v>14798</v>
      </c>
      <c r="Q26" s="13"/>
      <c r="R26" s="16">
        <f>SUM(R23:R24)</f>
        <v>8626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5.04</v>
      </c>
      <c r="G32" s="7"/>
      <c r="H32" s="12">
        <v>1295529</v>
      </c>
      <c r="I32" s="13"/>
      <c r="J32" s="12">
        <v>1290019</v>
      </c>
      <c r="K32" s="13"/>
      <c r="L32" s="12">
        <v>1292504</v>
      </c>
      <c r="M32" s="13"/>
      <c r="N32" s="12">
        <v>5510</v>
      </c>
      <c r="O32" s="13" t="s">
        <v>31</v>
      </c>
      <c r="P32" s="12">
        <v>38093</v>
      </c>
      <c r="Q32" s="13"/>
      <c r="R32" s="12">
        <v>31165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4977</v>
      </c>
      <c r="I34" s="13"/>
      <c r="J34" s="12">
        <v>4957</v>
      </c>
      <c r="K34" s="13"/>
      <c r="L34" s="12">
        <v>4759</v>
      </c>
      <c r="M34" s="13"/>
      <c r="N34" s="12">
        <v>20</v>
      </c>
      <c r="O34" s="13"/>
      <c r="P34" s="12">
        <v>136</v>
      </c>
      <c r="Q34" s="13"/>
      <c r="R34" s="12">
        <v>89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5.0999999999999996</v>
      </c>
      <c r="G35" s="7"/>
      <c r="H35" s="15">
        <v>8374104</v>
      </c>
      <c r="I35" s="13"/>
      <c r="J35" s="15">
        <v>6842017</v>
      </c>
      <c r="K35" s="13"/>
      <c r="L35" s="15">
        <v>6493884</v>
      </c>
      <c r="M35" s="13"/>
      <c r="N35" s="15">
        <v>31653</v>
      </c>
      <c r="O35" s="13"/>
      <c r="P35" s="15">
        <v>234671</v>
      </c>
      <c r="Q35" s="13"/>
      <c r="R35" s="15">
        <v>146831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9683234</v>
      </c>
      <c r="I37" s="13"/>
      <c r="J37" s="16">
        <f>SUM(J32:J35)</f>
        <v>8145617</v>
      </c>
      <c r="K37" s="13"/>
      <c r="L37" s="16">
        <f>SUM(L32:L35)</f>
        <v>7799835</v>
      </c>
      <c r="M37" s="13"/>
      <c r="N37" s="16">
        <f>SUM(N32:N35)</f>
        <v>37183</v>
      </c>
      <c r="O37" s="13"/>
      <c r="P37" s="16">
        <f>SUM(P32:P35)</f>
        <v>272900</v>
      </c>
      <c r="Q37" s="13"/>
      <c r="R37" s="16">
        <f>SUM(R32:R35)</f>
        <v>178085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Y52"/>
  <sheetViews>
    <sheetView showGridLines="0" view="pageLayout" topLeftCell="A4" zoomScaleNormal="100" workbookViewId="0">
      <selection activeCell="A38" sqref="A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26" t="s">
        <v>227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39411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235</v>
      </c>
      <c r="H6" s="102"/>
      <c r="I6" s="80" t="s">
        <v>236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522918</v>
      </c>
      <c r="H9" s="102"/>
      <c r="I9" s="103">
        <v>265590</v>
      </c>
      <c r="J9" s="92"/>
      <c r="K9" s="92"/>
      <c r="L9" s="103">
        <f>1140303-100000</f>
        <v>1040303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0</v>
      </c>
      <c r="F10" s="111"/>
      <c r="G10" s="111">
        <v>2183339</v>
      </c>
      <c r="H10" s="102"/>
      <c r="I10" s="111">
        <v>2183339</v>
      </c>
      <c r="J10" s="92"/>
      <c r="K10" s="92"/>
      <c r="L10" s="111">
        <v>1976489</v>
      </c>
      <c r="M10" s="92"/>
      <c r="N10" s="56">
        <v>0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512+310.74+862.66+1025.96+703</f>
        <v>3414.36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2706257</v>
      </c>
      <c r="H11" s="102"/>
      <c r="I11" s="103">
        <f>SUM(I9:I10)</f>
        <v>2448929</v>
      </c>
      <c r="J11" s="92"/>
      <c r="K11" s="92"/>
      <c r="L11" s="103">
        <f>SUM(L9:L10)</f>
        <v>3016792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3414.36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380149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380149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100755</v>
      </c>
      <c r="H29" s="29"/>
      <c r="I29" s="115">
        <v>100902</v>
      </c>
      <c r="J29" s="40"/>
      <c r="K29" s="40"/>
      <c r="L29" s="115">
        <v>100001</v>
      </c>
      <c r="M29" s="129"/>
      <c r="N29" s="115">
        <v>147.43</v>
      </c>
      <c r="O29" s="40" t="s">
        <v>31</v>
      </c>
      <c r="P29" s="115">
        <v>-279.63</v>
      </c>
      <c r="Q29" s="40"/>
      <c r="R29" s="115">
        <f>171.85+11.02+121.64+114.9+147.43</f>
        <v>566.83999999999992</v>
      </c>
      <c r="S29" s="40" t="s">
        <v>31</v>
      </c>
      <c r="T29" s="115">
        <f>-2142.16-6592.02+196.48-64.94-279.63</f>
        <v>-8882.27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5028673</v>
      </c>
      <c r="H31" s="29"/>
      <c r="I31" s="152">
        <v>5032511</v>
      </c>
      <c r="J31" s="40"/>
      <c r="K31" s="40"/>
      <c r="L31" s="82">
        <v>4915705</v>
      </c>
      <c r="M31" s="129"/>
      <c r="N31" s="38">
        <v>3838.81</v>
      </c>
      <c r="O31" s="40"/>
      <c r="P31" s="45"/>
      <c r="Q31" s="40"/>
      <c r="R31" s="38">
        <f>4101.7+6199.96+5073.04+4354.59+3838.31</f>
        <v>23567.600000000002</v>
      </c>
      <c r="S31" s="40"/>
      <c r="T31" s="45"/>
      <c r="U31" s="93"/>
      <c r="V31" s="38">
        <f>7606.67+7797.18+8493+6212.69+6541.11</f>
        <v>36650.649999999994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-282425</v>
      </c>
      <c r="H32" s="29"/>
      <c r="I32" s="45">
        <v>-355004</v>
      </c>
      <c r="J32" s="40"/>
      <c r="K32" s="40"/>
      <c r="L32" s="45">
        <v>-272645</v>
      </c>
      <c r="M32" s="129"/>
      <c r="N32" s="38">
        <v>0</v>
      </c>
      <c r="O32" s="40"/>
      <c r="P32" s="45">
        <v>-72300.539999999994</v>
      </c>
      <c r="Q32" s="40"/>
      <c r="R32" s="38">
        <v>0</v>
      </c>
      <c r="S32" s="40"/>
      <c r="T32" s="45">
        <f>-60004.04-236415.96-367180.49+339341.68-72300.54</f>
        <v>-396559.35</v>
      </c>
      <c r="U32" s="119"/>
      <c r="V32" s="38"/>
      <c r="W32" s="93"/>
      <c r="X32" s="38">
        <f>253188.79-122675+320899.47+136944.13-43575.19</f>
        <v>544782.19999999995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4283926</v>
      </c>
      <c r="H35" s="29"/>
      <c r="I35" s="116">
        <f>SUM(I29:I34)</f>
        <v>4215332</v>
      </c>
      <c r="J35" s="40"/>
      <c r="K35" s="40"/>
      <c r="L35" s="116">
        <f>SUM(L29:L34)</f>
        <v>4179984</v>
      </c>
      <c r="M35" s="129"/>
      <c r="N35" s="116">
        <f>SUM(N29:N34)</f>
        <v>3986.24</v>
      </c>
      <c r="O35" s="40"/>
      <c r="P35" s="116">
        <f>SUM(P29:P34)</f>
        <v>-72580.17</v>
      </c>
      <c r="Q35" s="40"/>
      <c r="R35" s="116">
        <f>SUM(R29:R34)</f>
        <v>24134.440000000002</v>
      </c>
      <c r="S35" s="40"/>
      <c r="T35" s="116">
        <f>SUM(T29:T34)</f>
        <v>-405441.62</v>
      </c>
      <c r="U35" s="120"/>
      <c r="V35" s="116">
        <f>SUM(V29:V34)</f>
        <v>36650.649999999994</v>
      </c>
      <c r="W35" s="40"/>
      <c r="X35" s="116">
        <f>SUM(X29:X34)</f>
        <v>544782.19999999995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8172354.6500000004</v>
      </c>
      <c r="H37" s="29"/>
      <c r="I37" s="107">
        <f>+I35+I25+I19+I11</f>
        <v>7812841.6500000004</v>
      </c>
      <c r="J37" s="92"/>
      <c r="K37" s="92"/>
      <c r="L37" s="107">
        <f>+L35+L25+L19+L11</f>
        <v>8378947.6500000004</v>
      </c>
      <c r="M37" s="129"/>
      <c r="N37" s="107">
        <f>+N35+N25+N19+N11</f>
        <v>3986.24</v>
      </c>
      <c r="O37" s="92"/>
      <c r="P37" s="107">
        <f>+P35+P25+P19+P11</f>
        <v>-72580.17</v>
      </c>
      <c r="Q37" s="92"/>
      <c r="R37" s="107">
        <f>+R35+R25+R19+R11</f>
        <v>25882.410000000003</v>
      </c>
      <c r="S37" s="92"/>
      <c r="T37" s="107">
        <f>+T35+T25+T19+T11</f>
        <v>-405441.62</v>
      </c>
      <c r="U37" s="120"/>
      <c r="V37" s="107">
        <f>+V35+V25+V19+V11</f>
        <v>40070.129999999997</v>
      </c>
      <c r="W37" s="92"/>
      <c r="X37" s="107">
        <f>+X35+X25+X19+X11</f>
        <v>544782.19999999995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November 2011 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Y52"/>
  <sheetViews>
    <sheetView showGridLines="0" view="pageLayout" topLeftCell="A4" zoomScaleNormal="100" workbookViewId="0">
      <selection activeCell="R9" sqref="R9:T3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26" t="s">
        <v>227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39439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237</v>
      </c>
      <c r="H6" s="102"/>
      <c r="I6" s="80" t="s">
        <v>238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265590</v>
      </c>
      <c r="H9" s="102"/>
      <c r="I9" s="103">
        <v>922194</v>
      </c>
      <c r="J9" s="92"/>
      <c r="K9" s="92"/>
      <c r="L9" s="103">
        <f>936291-100000</f>
        <v>836291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2.307992273440405E-4</v>
      </c>
      <c r="F10" s="111"/>
      <c r="G10" s="111">
        <v>2183339</v>
      </c>
      <c r="H10" s="102"/>
      <c r="I10" s="111">
        <v>683655</v>
      </c>
      <c r="J10" s="92"/>
      <c r="K10" s="92"/>
      <c r="L10" s="111">
        <v>1476964</v>
      </c>
      <c r="M10" s="92"/>
      <c r="N10" s="56">
        <v>330.85</v>
      </c>
      <c r="O10" s="92"/>
      <c r="P10" s="72"/>
      <c r="Q10" s="42"/>
      <c r="R10" s="123">
        <f>438+301.98+528.61+479.38+330.85</f>
        <v>2078.8200000000002</v>
      </c>
      <c r="S10" s="42"/>
      <c r="T10" s="108"/>
      <c r="U10" s="86"/>
      <c r="V10" s="123">
        <f>512+310.74+862.66+1025.96+703+482.05</f>
        <v>3896.4100000000003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2448929</v>
      </c>
      <c r="H11" s="102"/>
      <c r="I11" s="103">
        <f>SUM(I9:I10)</f>
        <v>1605849</v>
      </c>
      <c r="J11" s="92"/>
      <c r="K11" s="92"/>
      <c r="L11" s="103">
        <f>SUM(L9:L10)</f>
        <v>2313255</v>
      </c>
      <c r="M11" s="92"/>
      <c r="N11" s="120">
        <f>SUM(N9:N10)</f>
        <v>330.85</v>
      </c>
      <c r="O11" s="92"/>
      <c r="P11" s="120">
        <f>SUM(P9:P10)</f>
        <v>0</v>
      </c>
      <c r="Q11" s="85"/>
      <c r="R11" s="120">
        <f>SUM(R9:R10)</f>
        <v>2078.8200000000002</v>
      </c>
      <c r="S11" s="85"/>
      <c r="T11" s="120">
        <f>SUM(T9:T10)</f>
        <v>0</v>
      </c>
      <c r="U11" s="120"/>
      <c r="V11" s="120">
        <f>SUM(V9:V10)</f>
        <v>3896.4100000000003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380149</v>
      </c>
      <c r="H24" s="29"/>
      <c r="I24" s="41">
        <v>346558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380149</v>
      </c>
      <c r="H25" s="29"/>
      <c r="I25" s="116">
        <f>SUM(I23:I24)</f>
        <v>346558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100902</v>
      </c>
      <c r="H29" s="29"/>
      <c r="I29" s="115">
        <v>101194</v>
      </c>
      <c r="J29" s="40"/>
      <c r="K29" s="40"/>
      <c r="L29" s="115">
        <v>100000</v>
      </c>
      <c r="M29" s="129"/>
      <c r="N29" s="115">
        <v>292.07</v>
      </c>
      <c r="O29" s="40" t="s">
        <v>31</v>
      </c>
      <c r="P29" s="115">
        <v>339.21</v>
      </c>
      <c r="Q29" s="40"/>
      <c r="R29" s="115">
        <f>171.85+11.02+121.64+114.9+147.43+292.07</f>
        <v>858.90999999999985</v>
      </c>
      <c r="S29" s="40" t="s">
        <v>31</v>
      </c>
      <c r="T29" s="115">
        <f>-2142.16-6592.02+196.48-64.94-279.63+339.21</f>
        <v>-8543.0600000000013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5032511</v>
      </c>
      <c r="H31" s="29"/>
      <c r="I31" s="152">
        <v>5115392</v>
      </c>
      <c r="J31" s="40"/>
      <c r="K31" s="40"/>
      <c r="L31" s="82">
        <v>4971572</v>
      </c>
      <c r="M31" s="129"/>
      <c r="N31" s="38">
        <v>82881.27</v>
      </c>
      <c r="O31" s="40"/>
      <c r="P31" s="45"/>
      <c r="Q31" s="40"/>
      <c r="R31" s="38">
        <f>4101.7+6199.96+5073.04+4354.59+3838.31+82881.27</f>
        <v>106448.87000000001</v>
      </c>
      <c r="S31" s="40"/>
      <c r="T31" s="45"/>
      <c r="U31" s="93"/>
      <c r="V31" s="38">
        <f>7606.67+7797.18+8493+6212.69+6541.11+55866.45</f>
        <v>92517.099999999991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-355004</v>
      </c>
      <c r="H32" s="29"/>
      <c r="I32" s="45">
        <v>-492965</v>
      </c>
      <c r="J32" s="40"/>
      <c r="K32" s="40"/>
      <c r="L32" s="45">
        <v>-113026</v>
      </c>
      <c r="M32" s="129"/>
      <c r="N32" s="38">
        <v>0</v>
      </c>
      <c r="O32" s="40"/>
      <c r="P32" s="45">
        <v>-138300.46</v>
      </c>
      <c r="Q32" s="40"/>
      <c r="R32" s="38">
        <v>0</v>
      </c>
      <c r="S32" s="40"/>
      <c r="T32" s="45">
        <f>-60004.04-236415.96-367180.49+339341.68-72300.54-138300.46</f>
        <v>-534859.80999999994</v>
      </c>
      <c r="U32" s="119"/>
      <c r="V32" s="38"/>
      <c r="W32" s="93"/>
      <c r="X32" s="38">
        <f>253188.79-122675+320899.47+136944.13-43575.19+159618.23</f>
        <v>704400.42999999993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4215332</v>
      </c>
      <c r="H35" s="29"/>
      <c r="I35" s="116">
        <f>SUM(I29:I34)</f>
        <v>4160544</v>
      </c>
      <c r="J35" s="40"/>
      <c r="K35" s="40"/>
      <c r="L35" s="116">
        <f>SUM(L29:L34)</f>
        <v>4395469</v>
      </c>
      <c r="M35" s="129"/>
      <c r="N35" s="116">
        <f>SUM(N29:N34)</f>
        <v>83173.340000000011</v>
      </c>
      <c r="O35" s="40"/>
      <c r="P35" s="116">
        <f>SUM(P29:P34)</f>
        <v>-137961.25</v>
      </c>
      <c r="Q35" s="40"/>
      <c r="R35" s="116">
        <f>SUM(R29:R34)</f>
        <v>107307.78000000001</v>
      </c>
      <c r="S35" s="40"/>
      <c r="T35" s="116">
        <f>SUM(T29:T34)</f>
        <v>-543402.87</v>
      </c>
      <c r="U35" s="120"/>
      <c r="V35" s="116">
        <f>SUM(V29:V34)</f>
        <v>92517.099999999991</v>
      </c>
      <c r="W35" s="40"/>
      <c r="X35" s="116">
        <f>SUM(X29:X34)</f>
        <v>704400.42999999993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7812841.6500000004</v>
      </c>
      <c r="H37" s="29"/>
      <c r="I37" s="107">
        <f>+I35+I25+I19+I11</f>
        <v>6881382.6500000004</v>
      </c>
      <c r="J37" s="92"/>
      <c r="K37" s="92"/>
      <c r="L37" s="107">
        <f>+L35+L25+L19+L11</f>
        <v>7890895.6500000004</v>
      </c>
      <c r="M37" s="129"/>
      <c r="N37" s="107">
        <f>+N35+N25+N19+N11</f>
        <v>83504.190000000017</v>
      </c>
      <c r="O37" s="92"/>
      <c r="P37" s="107">
        <f>+P35+P25+P19+P11</f>
        <v>-137961.25</v>
      </c>
      <c r="Q37" s="92"/>
      <c r="R37" s="107">
        <f>+R35+R25+R19+R11</f>
        <v>109386.60000000002</v>
      </c>
      <c r="S37" s="92"/>
      <c r="T37" s="107">
        <f>+T35+T25+T19+T11</f>
        <v>-543402.87</v>
      </c>
      <c r="U37" s="120"/>
      <c r="V37" s="107">
        <f>+V35+V25+V19+V11</f>
        <v>96418.62999999999</v>
      </c>
      <c r="W37" s="92"/>
      <c r="X37" s="107">
        <f>+X35+X25+X19+X11</f>
        <v>704400.42999999993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6" orientation="landscape" r:id="rId1"/>
  <headerFooter alignWithMargins="0">
    <oddFooter xml:space="preserve">&amp;CCash/Investment Designation Report - December
 2011 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Y52"/>
  <sheetViews>
    <sheetView showGridLines="0" view="pageLayout" topLeftCell="A2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26" t="s">
        <v>227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39474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239</v>
      </c>
      <c r="H6" s="102"/>
      <c r="I6" s="80" t="s">
        <v>240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922194</v>
      </c>
      <c r="H9" s="102"/>
      <c r="I9" s="103">
        <v>2703000</v>
      </c>
      <c r="J9" s="92"/>
      <c r="K9" s="92"/>
      <c r="L9" s="103">
        <f>4219813-L29-L10</f>
        <v>1442435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1.3149109290452708E-4</v>
      </c>
      <c r="F10" s="111"/>
      <c r="G10" s="111">
        <v>683655</v>
      </c>
      <c r="H10" s="102"/>
      <c r="I10" s="111">
        <v>683738</v>
      </c>
      <c r="J10" s="92"/>
      <c r="K10" s="92"/>
      <c r="L10" s="111">
        <v>2677376</v>
      </c>
      <c r="M10" s="92"/>
      <c r="N10" s="56">
        <v>89.9</v>
      </c>
      <c r="O10" s="92"/>
      <c r="P10" s="72"/>
      <c r="Q10" s="42"/>
      <c r="R10" s="123">
        <f>438+301.98+528.61+479.38+330.85+89.9</f>
        <v>2168.7200000000003</v>
      </c>
      <c r="S10" s="42"/>
      <c r="T10" s="108"/>
      <c r="U10" s="86"/>
      <c r="V10" s="123">
        <f>512+310.74+862.66+1025.96+703+482.05+420.31</f>
        <v>4316.72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1605849</v>
      </c>
      <c r="H11" s="102"/>
      <c r="I11" s="103">
        <f>SUM(I9:I10)</f>
        <v>3386738</v>
      </c>
      <c r="J11" s="92"/>
      <c r="K11" s="92"/>
      <c r="L11" s="103">
        <f>SUM(L9:L10)</f>
        <v>4119811</v>
      </c>
      <c r="M11" s="92"/>
      <c r="N11" s="120">
        <f>SUM(N9:N10)</f>
        <v>89.9</v>
      </c>
      <c r="O11" s="92"/>
      <c r="P11" s="120">
        <f>SUM(P9:P10)</f>
        <v>0</v>
      </c>
      <c r="Q11" s="85"/>
      <c r="R11" s="120">
        <f>SUM(R9:R10)</f>
        <v>2168.7200000000003</v>
      </c>
      <c r="S11" s="85"/>
      <c r="T11" s="120">
        <f>SUM(T9:T10)</f>
        <v>0</v>
      </c>
      <c r="U11" s="120"/>
      <c r="V11" s="120">
        <f>SUM(V9:V10)</f>
        <v>4316.72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346558</v>
      </c>
      <c r="H24" s="29"/>
      <c r="I24" s="41">
        <v>312966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346558</v>
      </c>
      <c r="H25" s="29"/>
      <c r="I25" s="116">
        <f>SUM(I23:I24)</f>
        <v>312966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101194</v>
      </c>
      <c r="H29" s="29"/>
      <c r="I29" s="115">
        <v>101231</v>
      </c>
      <c r="J29" s="40"/>
      <c r="K29" s="40"/>
      <c r="L29" s="115">
        <v>100002</v>
      </c>
      <c r="M29" s="129"/>
      <c r="N29" s="115">
        <v>36.700000000000003</v>
      </c>
      <c r="O29" s="40" t="s">
        <v>31</v>
      </c>
      <c r="P29" s="115">
        <v>27.85</v>
      </c>
      <c r="Q29" s="40"/>
      <c r="R29" s="115">
        <f>171.85+11.02+121.64+114.9+147.43+292.07+36.7</f>
        <v>895.6099999999999</v>
      </c>
      <c r="S29" s="40" t="s">
        <v>31</v>
      </c>
      <c r="T29" s="115">
        <f>-2142.16-6592.02+196.48-64.94-279.63+339.21+27.85</f>
        <v>-8515.2100000000009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5115392</v>
      </c>
      <c r="H31" s="29"/>
      <c r="I31" s="152">
        <v>5119772</v>
      </c>
      <c r="J31" s="40"/>
      <c r="K31" s="40"/>
      <c r="L31" s="82">
        <v>4979992</v>
      </c>
      <c r="M31" s="129"/>
      <c r="N31" s="38">
        <v>4379.8</v>
      </c>
      <c r="O31" s="40"/>
      <c r="P31" s="45"/>
      <c r="Q31" s="40"/>
      <c r="R31" s="38">
        <f>4101.7+6199.96+5073.04+4354.59+3838.31+82881.27+4379.8</f>
        <v>110828.67000000001</v>
      </c>
      <c r="S31" s="40"/>
      <c r="T31" s="45"/>
      <c r="U31" s="93"/>
      <c r="V31" s="38">
        <f>7606.67+7797.18+8493+6212.69+6541.11+55866.45+8420.51</f>
        <v>100937.60999999999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-492965</v>
      </c>
      <c r="H32" s="29"/>
      <c r="I32" s="45">
        <v>-244216</v>
      </c>
      <c r="J32" s="40"/>
      <c r="K32" s="40"/>
      <c r="L32" s="45">
        <v>-76808</v>
      </c>
      <c r="M32" s="129"/>
      <c r="N32" s="38">
        <v>0</v>
      </c>
      <c r="O32" s="40"/>
      <c r="P32" s="45">
        <v>248722.08</v>
      </c>
      <c r="Q32" s="40"/>
      <c r="R32" s="38">
        <v>0</v>
      </c>
      <c r="S32" s="40"/>
      <c r="T32" s="45">
        <f>-60004.04-236415.96-367180.49+339341.68-72300.54-138300.46+248722.08</f>
        <v>-286137.73</v>
      </c>
      <c r="U32" s="119"/>
      <c r="V32" s="38"/>
      <c r="W32" s="93"/>
      <c r="X32" s="38">
        <f>253188.79-122675+320899.47+136944.13-43575.19+159618.23+36217.93</f>
        <v>740618.36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4160544</v>
      </c>
      <c r="H35" s="29"/>
      <c r="I35" s="116">
        <f>SUM(I29:I34)</f>
        <v>4413710</v>
      </c>
      <c r="J35" s="40"/>
      <c r="K35" s="40"/>
      <c r="L35" s="116">
        <f>SUM(L29:L34)</f>
        <v>4440109</v>
      </c>
      <c r="M35" s="129"/>
      <c r="N35" s="116">
        <f>SUM(N29:N34)</f>
        <v>4416.5</v>
      </c>
      <c r="O35" s="40"/>
      <c r="P35" s="116">
        <f>SUM(P29:P34)</f>
        <v>248749.93</v>
      </c>
      <c r="Q35" s="40"/>
      <c r="R35" s="116">
        <f>SUM(R29:R34)</f>
        <v>111724.28000000001</v>
      </c>
      <c r="S35" s="40"/>
      <c r="T35" s="116">
        <f>SUM(T29:T34)</f>
        <v>-294652.94</v>
      </c>
      <c r="U35" s="120"/>
      <c r="V35" s="116">
        <f>SUM(V29:V34)</f>
        <v>100937.60999999999</v>
      </c>
      <c r="W35" s="40"/>
      <c r="X35" s="116">
        <f>SUM(X29:X34)</f>
        <v>740618.36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6881382.6500000004</v>
      </c>
      <c r="H37" s="29"/>
      <c r="I37" s="107">
        <f>+I35+I25+I19+I11</f>
        <v>8881845.6500000004</v>
      </c>
      <c r="J37" s="92"/>
      <c r="K37" s="92"/>
      <c r="L37" s="107">
        <f>+L35+L25+L19+L11</f>
        <v>9742091.6500000004</v>
      </c>
      <c r="M37" s="129"/>
      <c r="N37" s="107">
        <f>+N35+N25+N19+N11</f>
        <v>4506.3999999999996</v>
      </c>
      <c r="O37" s="92"/>
      <c r="P37" s="107">
        <f>+P35+P25+P19+P11</f>
        <v>248749.93</v>
      </c>
      <c r="Q37" s="92"/>
      <c r="R37" s="107">
        <f>+R35+R25+R19+R11</f>
        <v>113893.00000000001</v>
      </c>
      <c r="S37" s="92"/>
      <c r="T37" s="107">
        <f>+T35+T25+T19+T11</f>
        <v>-294652.94</v>
      </c>
      <c r="U37" s="120"/>
      <c r="V37" s="107">
        <f>+V35+V25+V19+V11</f>
        <v>105259.44999999998</v>
      </c>
      <c r="W37" s="92"/>
      <c r="X37" s="107">
        <f>+X35+X25+X19+X11</f>
        <v>740618.36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January
 2012 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26" t="s">
        <v>227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39502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241</v>
      </c>
      <c r="H6" s="102"/>
      <c r="I6" s="80" t="s">
        <v>242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2703000</v>
      </c>
      <c r="H9" s="102"/>
      <c r="I9" s="103">
        <v>1172036</v>
      </c>
      <c r="J9" s="92"/>
      <c r="K9" s="92"/>
      <c r="L9" s="103">
        <v>2316504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1.411405445901321E-4</v>
      </c>
      <c r="F10" s="111"/>
      <c r="G10" s="111">
        <v>683738</v>
      </c>
      <c r="H10" s="102"/>
      <c r="I10" s="111">
        <v>2683969</v>
      </c>
      <c r="J10" s="92"/>
      <c r="K10" s="92"/>
      <c r="L10" s="111">
        <v>2678155</v>
      </c>
      <c r="M10" s="92"/>
      <c r="N10" s="56">
        <v>237.66</v>
      </c>
      <c r="O10" s="92"/>
      <c r="P10" s="72"/>
      <c r="Q10" s="42"/>
      <c r="R10" s="123">
        <f>438+301.98+528.61+479.38+330.85+89.9+237.66</f>
        <v>2406.38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3386738</v>
      </c>
      <c r="H11" s="102"/>
      <c r="I11" s="103">
        <f>SUM(I9:I10)</f>
        <v>3856005</v>
      </c>
      <c r="J11" s="92"/>
      <c r="K11" s="92"/>
      <c r="L11" s="103">
        <f>SUM(L9:L10)</f>
        <v>4994659</v>
      </c>
      <c r="M11" s="92"/>
      <c r="N11" s="120">
        <f>SUM(N9:N10)</f>
        <v>237.66</v>
      </c>
      <c r="O11" s="92"/>
      <c r="P11" s="120">
        <f>SUM(P9:P10)</f>
        <v>0</v>
      </c>
      <c r="Q11" s="85"/>
      <c r="R11" s="120">
        <f>SUM(R9:R10)</f>
        <v>2406.38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312966</v>
      </c>
      <c r="H24" s="29"/>
      <c r="I24" s="41">
        <v>279375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312966</v>
      </c>
      <c r="H25" s="29"/>
      <c r="I25" s="116">
        <f>SUM(I23:I24)</f>
        <v>279375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101231</v>
      </c>
      <c r="H29" s="29"/>
      <c r="I29" s="115">
        <v>101299</v>
      </c>
      <c r="J29" s="40"/>
      <c r="K29" s="40"/>
      <c r="L29" s="115">
        <v>100004</v>
      </c>
      <c r="M29" s="129"/>
      <c r="N29" s="115">
        <v>68.05</v>
      </c>
      <c r="O29" s="40" t="s">
        <v>31</v>
      </c>
      <c r="P29" s="115">
        <v>2588.36</v>
      </c>
      <c r="Q29" s="40"/>
      <c r="R29" s="115">
        <f>171.85+11.02+121.64+114.9+147.43+292.07+36.7+68.05</f>
        <v>963.65999999999985</v>
      </c>
      <c r="S29" s="40" t="s">
        <v>31</v>
      </c>
      <c r="T29" s="115">
        <f>-2142.16-6592.02+196.48-64.94-279.63+339.21+27.85+2588.36</f>
        <v>-5926.85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>
        <v>1448.82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5119772</v>
      </c>
      <c r="H31" s="29"/>
      <c r="I31" s="152">
        <v>5123640</v>
      </c>
      <c r="J31" s="40"/>
      <c r="K31" s="40"/>
      <c r="L31" s="152">
        <v>4985862</v>
      </c>
      <c r="M31" s="129"/>
      <c r="N31" s="38">
        <v>3868.02</v>
      </c>
      <c r="O31" s="40"/>
      <c r="P31" s="45"/>
      <c r="Q31" s="40"/>
      <c r="R31" s="38">
        <f>4101.7+6199.96+5073.04+4354.59+3838.31+82881.27+4379.8+3868</f>
        <v>114696.67000000001</v>
      </c>
      <c r="S31" s="40"/>
      <c r="T31" s="45"/>
      <c r="U31" s="93"/>
      <c r="V31" s="38">
        <f>7606.67+7797.18+8493+6212.69+6541.11+55866.45+8420.51+5869.7</f>
        <v>106807.30999999998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-244216</v>
      </c>
      <c r="H32" s="29"/>
      <c r="I32" s="45">
        <v>-59699</v>
      </c>
      <c r="J32" s="40"/>
      <c r="K32" s="40"/>
      <c r="L32" s="45">
        <v>49442</v>
      </c>
      <c r="M32" s="129"/>
      <c r="N32" s="38">
        <v>0</v>
      </c>
      <c r="O32" s="40"/>
      <c r="P32" s="45">
        <v>181928.39</v>
      </c>
      <c r="Q32" s="40"/>
      <c r="R32" s="38">
        <v>0</v>
      </c>
      <c r="S32" s="40"/>
      <c r="T32" s="45">
        <f>-60004.04-236415.96-367180.49+339341.68-72300.54-138300.46+248722.08+181928.36</f>
        <v>-104209.37</v>
      </c>
      <c r="U32" s="119"/>
      <c r="V32" s="38"/>
      <c r="W32" s="93"/>
      <c r="X32" s="38">
        <f>253188.79-122675+320899.47+136944.13-43575.19+159618.23+36217.93+124802.64</f>
        <v>865421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4413710</v>
      </c>
      <c r="H35" s="29"/>
      <c r="I35" s="116">
        <f>SUM(I29:I34)</f>
        <v>4602163</v>
      </c>
      <c r="J35" s="40"/>
      <c r="K35" s="40"/>
      <c r="L35" s="116">
        <f>SUM(L29:L34)</f>
        <v>4572231</v>
      </c>
      <c r="M35" s="129"/>
      <c r="N35" s="116">
        <f>SUM(N29:N34)</f>
        <v>3936.07</v>
      </c>
      <c r="O35" s="40"/>
      <c r="P35" s="116">
        <f>SUM(P29:P34)</f>
        <v>184516.75</v>
      </c>
      <c r="Q35" s="40"/>
      <c r="R35" s="116">
        <f>SUM(R29:R34)</f>
        <v>115660.33000000002</v>
      </c>
      <c r="S35" s="40"/>
      <c r="T35" s="116">
        <f>SUM(T29:T34)</f>
        <v>-110136.22</v>
      </c>
      <c r="U35" s="120"/>
      <c r="V35" s="116">
        <f>SUM(V29:V34)</f>
        <v>106807.30999999998</v>
      </c>
      <c r="W35" s="40"/>
      <c r="X35" s="116">
        <f>SUM(X29:X34)</f>
        <v>866869.82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8881845.6500000004</v>
      </c>
      <c r="H37" s="29"/>
      <c r="I37" s="107">
        <f>+I35+I25+I19+I11</f>
        <v>9505974.6500000004</v>
      </c>
      <c r="J37" s="92"/>
      <c r="K37" s="92"/>
      <c r="L37" s="107">
        <f>+L35+L25+L19+L11</f>
        <v>10749061.65</v>
      </c>
      <c r="M37" s="129"/>
      <c r="N37" s="107">
        <f>+N35+N25+N19+N11</f>
        <v>4173.7300000000005</v>
      </c>
      <c r="O37" s="92"/>
      <c r="P37" s="107">
        <f>+P35+P25+P19+P11</f>
        <v>184516.75</v>
      </c>
      <c r="Q37" s="92"/>
      <c r="R37" s="107">
        <f>+R35+R25+R19+R11</f>
        <v>118066.71000000002</v>
      </c>
      <c r="S37" s="92"/>
      <c r="T37" s="107">
        <f>+T35+T25+T19+T11</f>
        <v>-110136.22</v>
      </c>
      <c r="U37" s="120"/>
      <c r="V37" s="107">
        <f>+V35+V25+V19+V11</f>
        <v>111915.12999999998</v>
      </c>
      <c r="W37" s="92"/>
      <c r="X37" s="107">
        <f>+X35+X25+X19+X11</f>
        <v>866869.82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February
 2012 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26" t="s">
        <v>227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39530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243</v>
      </c>
      <c r="H6" s="102"/>
      <c r="I6" s="80" t="s">
        <v>244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1172036</v>
      </c>
      <c r="H9" s="102"/>
      <c r="I9" s="103">
        <v>931052</v>
      </c>
      <c r="J9" s="92"/>
      <c r="K9" s="92"/>
      <c r="L9" s="103">
        <v>642760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1.2918823929362633E-4</v>
      </c>
      <c r="F10" s="111"/>
      <c r="G10" s="111">
        <v>2683969</v>
      </c>
      <c r="H10" s="102"/>
      <c r="I10" s="111">
        <v>2184276</v>
      </c>
      <c r="J10" s="92"/>
      <c r="K10" s="92"/>
      <c r="L10" s="111">
        <v>3679241</v>
      </c>
      <c r="M10" s="92"/>
      <c r="N10" s="56">
        <v>314.45999999999998</v>
      </c>
      <c r="O10" s="92"/>
      <c r="P10" s="72"/>
      <c r="Q10" s="42"/>
      <c r="R10" s="123">
        <f>438+301.98+528.61+479.38+330.85+89.9+237.66+314.46</f>
        <v>2720.84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3856005</v>
      </c>
      <c r="H11" s="102"/>
      <c r="I11" s="103">
        <f>SUM(I9:I10)</f>
        <v>3115328</v>
      </c>
      <c r="J11" s="92"/>
      <c r="K11" s="92"/>
      <c r="L11" s="103">
        <f>SUM(L9:L10)</f>
        <v>4322001</v>
      </c>
      <c r="M11" s="92"/>
      <c r="N11" s="120">
        <f>SUM(N9:N10)</f>
        <v>314.45999999999998</v>
      </c>
      <c r="O11" s="92"/>
      <c r="P11" s="120">
        <f>SUM(P9:P10)</f>
        <v>0</v>
      </c>
      <c r="Q11" s="85"/>
      <c r="R11" s="120">
        <f>SUM(R9:R10)</f>
        <v>2720.84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279375</v>
      </c>
      <c r="H24" s="29"/>
      <c r="I24" s="41">
        <v>245784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279375</v>
      </c>
      <c r="H25" s="29"/>
      <c r="I25" s="116">
        <f>SUM(I23:I24)</f>
        <v>245784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101299</v>
      </c>
      <c r="H29" s="29"/>
      <c r="I29" s="115">
        <v>101512</v>
      </c>
      <c r="J29" s="40"/>
      <c r="K29" s="40"/>
      <c r="L29" s="115">
        <v>100138</v>
      </c>
      <c r="M29" s="129"/>
      <c r="N29" s="115">
        <v>213.05</v>
      </c>
      <c r="O29" s="40" t="s">
        <v>31</v>
      </c>
      <c r="P29" s="115">
        <v>1005.2</v>
      </c>
      <c r="Q29" s="40"/>
      <c r="R29" s="115">
        <f>171.85+11.02+121.64+114.9+147.43+292.07+36.7+68.05+213.05</f>
        <v>1176.7099999999998</v>
      </c>
      <c r="S29" s="40" t="s">
        <v>31</v>
      </c>
      <c r="T29" s="115">
        <f>-2142.16-6592.02+196.48-64.94-279.63+339.21+27.85+2588.36+1005</f>
        <v>-4921.8500000000004</v>
      </c>
      <c r="U29" s="120"/>
      <c r="V29" s="115">
        <v>138</v>
      </c>
      <c r="W29" s="40"/>
      <c r="X29" s="152">
        <f>1448.82+997.76</f>
        <v>2446.58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5123640</v>
      </c>
      <c r="H31" s="29"/>
      <c r="I31" s="152">
        <v>5128668</v>
      </c>
      <c r="J31" s="40"/>
      <c r="K31" s="40"/>
      <c r="L31" s="152">
        <v>4994546</v>
      </c>
      <c r="M31" s="129"/>
      <c r="N31" s="38">
        <v>5028</v>
      </c>
      <c r="O31" s="40"/>
      <c r="P31" s="45"/>
      <c r="Q31" s="40"/>
      <c r="R31" s="38">
        <f>4101.7+6199.96+5073.04+4354.59+3838.31+82881.27+4379.8+3868+5028</f>
        <v>119724.67000000001</v>
      </c>
      <c r="S31" s="40"/>
      <c r="T31" s="45"/>
      <c r="U31" s="93"/>
      <c r="V31" s="38">
        <f>7606.67+7797.18+8493+6212.69+6541.11+55866.45+8420.51+5869.7+8684</f>
        <v>115491.30999999998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-59699</v>
      </c>
      <c r="H32" s="29"/>
      <c r="I32" s="45">
        <v>-37958</v>
      </c>
      <c r="J32" s="40"/>
      <c r="K32" s="40"/>
      <c r="L32" s="45">
        <v>29704</v>
      </c>
      <c r="M32" s="129"/>
      <c r="N32" s="38">
        <v>0</v>
      </c>
      <c r="O32" s="40"/>
      <c r="P32" s="45">
        <v>20735.87</v>
      </c>
      <c r="Q32" s="40"/>
      <c r="R32" s="38">
        <v>0</v>
      </c>
      <c r="S32" s="40"/>
      <c r="T32" s="45">
        <f>-60004.04-236415.96-367180.49+339341.68-72300.54-138300.46+248722.08+181928.36+20735.87</f>
        <v>-83473.5</v>
      </c>
      <c r="U32" s="119"/>
      <c r="V32" s="38"/>
      <c r="W32" s="93"/>
      <c r="X32" s="38">
        <f>253188.79-122675+320899.47+136944.13-43575.19+159618.23+36217.93+124802.64-20735.61</f>
        <v>844685.39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4602163</v>
      </c>
      <c r="H35" s="29"/>
      <c r="I35" s="116">
        <f>SUM(I29:I34)</f>
        <v>4629145</v>
      </c>
      <c r="J35" s="40"/>
      <c r="K35" s="40"/>
      <c r="L35" s="116">
        <f>SUM(L29:L34)</f>
        <v>4561311</v>
      </c>
      <c r="M35" s="129"/>
      <c r="N35" s="116">
        <f>SUM(N29:N34)</f>
        <v>5241.05</v>
      </c>
      <c r="O35" s="40"/>
      <c r="P35" s="116">
        <f>SUM(P29:P34)</f>
        <v>21741.07</v>
      </c>
      <c r="Q35" s="40"/>
      <c r="R35" s="116">
        <f>SUM(R29:R34)</f>
        <v>120901.38000000002</v>
      </c>
      <c r="S35" s="40"/>
      <c r="T35" s="116">
        <f>SUM(T29:T34)</f>
        <v>-88395.35</v>
      </c>
      <c r="U35" s="120"/>
      <c r="V35" s="116">
        <f>SUM(V29:V34)</f>
        <v>115629.30999999998</v>
      </c>
      <c r="W35" s="40"/>
      <c r="X35" s="116">
        <f>SUM(X29:X34)</f>
        <v>847131.97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9505974.6500000004</v>
      </c>
      <c r="H37" s="29"/>
      <c r="I37" s="107">
        <f>+I35+I25+I19+I11</f>
        <v>8758688.6500000004</v>
      </c>
      <c r="J37" s="92"/>
      <c r="K37" s="92"/>
      <c r="L37" s="107">
        <f>+L35+L25+L19+L11</f>
        <v>10065483.65</v>
      </c>
      <c r="M37" s="129"/>
      <c r="N37" s="107">
        <f>+N35+N25+N19+N11</f>
        <v>5555.51</v>
      </c>
      <c r="O37" s="92"/>
      <c r="P37" s="107">
        <f>+P35+P25+P19+P11</f>
        <v>21741.07</v>
      </c>
      <c r="Q37" s="92"/>
      <c r="R37" s="107">
        <f>+R35+R25+R19+R11</f>
        <v>123622.22000000002</v>
      </c>
      <c r="S37" s="92"/>
      <c r="T37" s="107">
        <f>+T35+T25+T19+T11</f>
        <v>-88395.35</v>
      </c>
      <c r="U37" s="120"/>
      <c r="V37" s="107">
        <f>+V35+V25+V19+V11</f>
        <v>120737.12999999998</v>
      </c>
      <c r="W37" s="92"/>
      <c r="X37" s="107">
        <f>+X35+X25+X19+X11</f>
        <v>847131.97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March
 2012 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Y49"/>
  <sheetViews>
    <sheetView showGridLines="0" zoomScaleNormal="100" workbookViewId="0">
      <selection activeCell="C35" sqref="C3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26" t="s">
        <v>227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39565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245</v>
      </c>
      <c r="H6" s="102"/>
      <c r="I6" s="80" t="s">
        <v>246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931052</v>
      </c>
      <c r="H9" s="102"/>
      <c r="I9" s="103">
        <v>576754</v>
      </c>
      <c r="J9" s="92"/>
      <c r="K9" s="92"/>
      <c r="L9" s="103">
        <v>1059826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1.2410224552779391E-4</v>
      </c>
      <c r="F10" s="111"/>
      <c r="G10" s="111">
        <v>2184276</v>
      </c>
      <c r="H10" s="102"/>
      <c r="I10" s="111">
        <v>2184541</v>
      </c>
      <c r="J10" s="92"/>
      <c r="K10" s="92"/>
      <c r="L10" s="111">
        <v>3180115</v>
      </c>
      <c r="M10" s="92"/>
      <c r="N10" s="56">
        <v>271.08999999999997</v>
      </c>
      <c r="O10" s="92"/>
      <c r="P10" s="72"/>
      <c r="Q10" s="42"/>
      <c r="R10" s="123">
        <f>438+301.98+528.61+479.38+330.85+89.9+237.66+314.46+271.09</f>
        <v>2991.9300000000003</v>
      </c>
      <c r="S10" s="42"/>
      <c r="T10" s="108"/>
      <c r="U10" s="86"/>
      <c r="V10" s="123">
        <f>512+310.74+862.66+1025.96+703+482.05+420.31+785.98+881.1</f>
        <v>5983.8000000000011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3115328</v>
      </c>
      <c r="H11" s="102"/>
      <c r="I11" s="103">
        <f>SUM(I9:I10)</f>
        <v>2761295</v>
      </c>
      <c r="J11" s="92"/>
      <c r="K11" s="92"/>
      <c r="L11" s="103">
        <f>SUM(L9:L10)</f>
        <v>4239941</v>
      </c>
      <c r="M11" s="92"/>
      <c r="N11" s="120">
        <f>SUM(N9:N10)</f>
        <v>271.08999999999997</v>
      </c>
      <c r="O11" s="92"/>
      <c r="P11" s="120">
        <f>SUM(P9:P10)</f>
        <v>0</v>
      </c>
      <c r="Q11" s="85"/>
      <c r="R11" s="120">
        <f>SUM(R9:R10)</f>
        <v>2991.9300000000003</v>
      </c>
      <c r="S11" s="85"/>
      <c r="T11" s="120">
        <f>SUM(T9:T10)</f>
        <v>0</v>
      </c>
      <c r="U11" s="120"/>
      <c r="V11" s="120">
        <f>SUM(V9:V10)</f>
        <v>5983.8000000000011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245784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1173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245784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1173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101512</v>
      </c>
      <c r="H29" s="29"/>
      <c r="I29" s="115">
        <v>101650</v>
      </c>
      <c r="J29" s="40"/>
      <c r="K29" s="40"/>
      <c r="L29" s="115">
        <v>100289</v>
      </c>
      <c r="M29" s="129"/>
      <c r="N29" s="115">
        <v>137.41</v>
      </c>
      <c r="O29" s="40" t="s">
        <v>31</v>
      </c>
      <c r="P29" s="115">
        <v>-407.74</v>
      </c>
      <c r="Q29" s="40"/>
      <c r="R29" s="115">
        <f>171.85+11.02+121.64+114.9+147.43+292.07+36.7+68.05+213.05+137.41</f>
        <v>1314.12</v>
      </c>
      <c r="S29" s="40" t="s">
        <v>31</v>
      </c>
      <c r="T29" s="115">
        <f>-2142.16-6592.02+196.48-64.94-279.63+339.21+27.85+2588.36+1005-407.74</f>
        <v>-5329.59</v>
      </c>
      <c r="U29" s="120"/>
      <c r="V29" s="115">
        <f>138+150.77</f>
        <v>288.77</v>
      </c>
      <c r="W29" s="40"/>
      <c r="X29" s="152">
        <f>1448.82+997.76+1445</f>
        <v>3891.58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5128668</v>
      </c>
      <c r="H31" s="29"/>
      <c r="I31" s="152">
        <v>5133340</v>
      </c>
      <c r="J31" s="40"/>
      <c r="K31" s="40"/>
      <c r="L31" s="152">
        <v>4999371</v>
      </c>
      <c r="M31" s="129"/>
      <c r="N31" s="38">
        <v>4672.29</v>
      </c>
      <c r="O31" s="40"/>
      <c r="P31" s="45"/>
      <c r="Q31" s="40"/>
      <c r="R31" s="38">
        <f>4101.7+6199.96+5073.04+4354.59+3838.31+82881.27+4379.8+3868+5028+4672.79</f>
        <v>124397.46</v>
      </c>
      <c r="S31" s="40"/>
      <c r="T31" s="45"/>
      <c r="U31" s="93"/>
      <c r="V31" s="38">
        <f>7606.67+7797.18+8493+6212.69+6541.11+55866.45+8420.51+5869.7+8684+4825.04</f>
        <v>120316.34999999998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-37958</v>
      </c>
      <c r="H32" s="29"/>
      <c r="I32" s="45">
        <v>-65937</v>
      </c>
      <c r="J32" s="40"/>
      <c r="K32" s="40"/>
      <c r="L32" s="45">
        <v>175233</v>
      </c>
      <c r="M32" s="129"/>
      <c r="N32" s="38">
        <v>0</v>
      </c>
      <c r="O32" s="40"/>
      <c r="P32" s="45">
        <v>-27571.71</v>
      </c>
      <c r="Q32" s="40"/>
      <c r="R32" s="38">
        <v>0</v>
      </c>
      <c r="S32" s="40"/>
      <c r="T32" s="45">
        <f>-60004.04-236415.96-367180.49+339341.68-72300.54-138300.46+248722.08+181928.36+20735.87-27571.71</f>
        <v>-111045.20999999999</v>
      </c>
      <c r="U32" s="119"/>
      <c r="V32" s="38"/>
      <c r="W32" s="93"/>
      <c r="X32" s="38">
        <f>253188.79-122675+320899.47+136944.13-43575.19+159618.23+36217.93+124802.64-20735.61+144084.23</f>
        <v>988769.62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4629145</v>
      </c>
      <c r="H35" s="29"/>
      <c r="I35" s="116">
        <f>SUM(I29:I34)</f>
        <v>4605976</v>
      </c>
      <c r="J35" s="40"/>
      <c r="K35" s="40"/>
      <c r="L35" s="116">
        <f>SUM(L29:L34)</f>
        <v>4711816</v>
      </c>
      <c r="M35" s="129"/>
      <c r="N35" s="116">
        <f>SUM(N29:N34)</f>
        <v>4809.7</v>
      </c>
      <c r="O35" s="40"/>
      <c r="P35" s="116">
        <f>SUM(P29:P34)</f>
        <v>-27979.45</v>
      </c>
      <c r="Q35" s="40"/>
      <c r="R35" s="116">
        <f>SUM(R29:R34)</f>
        <v>125711.58</v>
      </c>
      <c r="S35" s="40"/>
      <c r="T35" s="116">
        <f>SUM(T29:T34)</f>
        <v>-116374.79999999999</v>
      </c>
      <c r="U35" s="120"/>
      <c r="V35" s="116">
        <f>SUM(V29:V34)</f>
        <v>120605.11999999998</v>
      </c>
      <c r="W35" s="40"/>
      <c r="X35" s="116">
        <f>SUM(X29:X34)</f>
        <v>992661.2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8758688.6500000004</v>
      </c>
      <c r="H37" s="29"/>
      <c r="I37" s="107">
        <f>+I35+I25+I19+I11</f>
        <v>8135702.6500000004</v>
      </c>
      <c r="J37" s="92"/>
      <c r="K37" s="92"/>
      <c r="L37" s="107">
        <f>+L35+L25+L19+L11</f>
        <v>10133928.65</v>
      </c>
      <c r="M37" s="129"/>
      <c r="N37" s="107">
        <f>+N35+N25+N19+N11</f>
        <v>6253.79</v>
      </c>
      <c r="O37" s="92"/>
      <c r="P37" s="107">
        <f>+P35+P25+P19+P11</f>
        <v>-27979.45</v>
      </c>
      <c r="Q37" s="92"/>
      <c r="R37" s="107">
        <f>+R35+R25+R19+R11</f>
        <v>129876.51000000001</v>
      </c>
      <c r="S37" s="92"/>
      <c r="T37" s="107">
        <f>+T35+T25+T19+T11</f>
        <v>-116374.79999999999</v>
      </c>
      <c r="U37" s="120"/>
      <c r="V37" s="107">
        <f>+V35+V25+V19+V11</f>
        <v>126594.03999999998</v>
      </c>
      <c r="W37" s="92"/>
      <c r="X37" s="107">
        <f>+X35+X25+X19+X11</f>
        <v>992661.2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April
 2012 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26" t="s">
        <v>227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39593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247</v>
      </c>
      <c r="H6" s="102"/>
      <c r="I6" s="80" t="s">
        <v>248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576754</v>
      </c>
      <c r="H9" s="102"/>
      <c r="I9" s="103">
        <v>1511953</v>
      </c>
      <c r="J9" s="92"/>
      <c r="K9" s="92"/>
      <c r="L9" s="103">
        <v>913463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1.0233963847989016E-4</v>
      </c>
      <c r="F10" s="111"/>
      <c r="G10" s="111">
        <v>2184541</v>
      </c>
      <c r="H10" s="102"/>
      <c r="I10" s="111">
        <v>1684732</v>
      </c>
      <c r="J10" s="92"/>
      <c r="K10" s="92"/>
      <c r="L10" s="111">
        <v>3180945</v>
      </c>
      <c r="M10" s="92"/>
      <c r="N10" s="56">
        <v>197.99</v>
      </c>
      <c r="O10" s="92"/>
      <c r="P10" s="72"/>
      <c r="Q10" s="42"/>
      <c r="R10" s="123">
        <f>438+301.98+528.61+479.38+330.85+89.9+237.66+314.46+271.09+197.99</f>
        <v>3189.92</v>
      </c>
      <c r="S10" s="42"/>
      <c r="T10" s="108"/>
      <c r="U10" s="86"/>
      <c r="V10" s="123">
        <f>512+310.74+862.66+1025.96+703+482.05+420.31+785.98+881.1+836.41</f>
        <v>6820.2100000000009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2761295</v>
      </c>
      <c r="H11" s="102"/>
      <c r="I11" s="103">
        <f>SUM(I9:I10)</f>
        <v>3196685</v>
      </c>
      <c r="J11" s="92"/>
      <c r="K11" s="92"/>
      <c r="L11" s="103">
        <f>SUM(L9:L10)</f>
        <v>4094408</v>
      </c>
      <c r="M11" s="92"/>
      <c r="N11" s="120">
        <f>SUM(N9:N10)</f>
        <v>197.99</v>
      </c>
      <c r="O11" s="92"/>
      <c r="P11" s="120">
        <f>SUM(P9:P10)</f>
        <v>0</v>
      </c>
      <c r="Q11" s="85"/>
      <c r="R11" s="120">
        <f>SUM(R9:R10)</f>
        <v>3189.92</v>
      </c>
      <c r="S11" s="85"/>
      <c r="T11" s="120">
        <f>SUM(T9:T10)</f>
        <v>0</v>
      </c>
      <c r="U11" s="120"/>
      <c r="V11" s="120">
        <f>SUM(V9:V10)</f>
        <v>6820.2100000000009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101650</v>
      </c>
      <c r="H29" s="29"/>
      <c r="I29" s="115">
        <v>101711</v>
      </c>
      <c r="J29" s="40"/>
      <c r="K29" s="40"/>
      <c r="L29" s="115">
        <v>100313</v>
      </c>
      <c r="M29" s="129"/>
      <c r="N29" s="115">
        <v>61.85</v>
      </c>
      <c r="O29" s="40" t="s">
        <v>31</v>
      </c>
      <c r="P29" s="115">
        <v>-5881.08</v>
      </c>
      <c r="Q29" s="40"/>
      <c r="R29" s="115">
        <f>171.85+11.02+121.64+114.9+147.43+292.07+36.7+68.05+213.05+137.41+61.85</f>
        <v>1375.9699999999998</v>
      </c>
      <c r="S29" s="40" t="s">
        <v>31</v>
      </c>
      <c r="T29" s="115">
        <f>-2142.16-6592.02+196.48-64.94-279.63+339.21+27.85+2588.36+1005-407.74-5881</f>
        <v>-11210.59</v>
      </c>
      <c r="U29" s="120"/>
      <c r="V29" s="115">
        <f>138+150.77+24.42</f>
        <v>313.19</v>
      </c>
      <c r="W29" s="40"/>
      <c r="X29" s="152">
        <f>1448.82+997.76+1445+19.87</f>
        <v>3911.45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5133340</v>
      </c>
      <c r="H31" s="29"/>
      <c r="I31" s="152">
        <v>5137516</v>
      </c>
      <c r="J31" s="40"/>
      <c r="K31" s="40"/>
      <c r="L31" s="152">
        <v>5003340</v>
      </c>
      <c r="M31" s="129"/>
      <c r="N31" s="38">
        <v>4176.0600000000004</v>
      </c>
      <c r="O31" s="40"/>
      <c r="P31" s="45"/>
      <c r="Q31" s="40"/>
      <c r="R31" s="38">
        <f>4101.7+6199.96+5073.04+4354.59+3838.31+82881.27+4379.8+3868+5028+4672.79+4176</f>
        <v>128573.46</v>
      </c>
      <c r="S31" s="40"/>
      <c r="T31" s="45"/>
      <c r="U31" s="93"/>
      <c r="V31" s="38">
        <f>7606.67+7797.18+8493+6212.69+6541.11+55866.45+8420.51+5869.7+8684+4825.04+3968.7</f>
        <v>124285.04999999997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-65937</v>
      </c>
      <c r="H32" s="29"/>
      <c r="I32" s="45">
        <v>-389294</v>
      </c>
      <c r="J32" s="40"/>
      <c r="K32" s="40"/>
      <c r="L32" s="45">
        <v>119556</v>
      </c>
      <c r="M32" s="129"/>
      <c r="N32" s="38">
        <v>0</v>
      </c>
      <c r="O32" s="40"/>
      <c r="P32" s="45">
        <v>-317476.44</v>
      </c>
      <c r="Q32" s="40"/>
      <c r="R32" s="38">
        <v>0</v>
      </c>
      <c r="S32" s="40"/>
      <c r="T32" s="45">
        <f>-60004.04-236415.96-367180.49+339341.68-72300.54-138300.46+248722.08+181928.36+20735.87-27571.71-317476.44</f>
        <v>-428521.65</v>
      </c>
      <c r="U32" s="119"/>
      <c r="V32" s="38"/>
      <c r="W32" s="93"/>
      <c r="X32" s="38">
        <f>253188.79-122675+320899.47+136944.13-43575.19+159618.23+36217.93+124802.64-20735.61+144084.23-55697.29</f>
        <v>933072.33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4605976</v>
      </c>
      <c r="H35" s="29"/>
      <c r="I35" s="116">
        <f>SUM(I29:I34)</f>
        <v>4286856</v>
      </c>
      <c r="J35" s="40"/>
      <c r="K35" s="40"/>
      <c r="L35" s="116">
        <f>SUM(L29:L34)</f>
        <v>4660132</v>
      </c>
      <c r="M35" s="129"/>
      <c r="N35" s="116">
        <f>SUM(N29:N34)</f>
        <v>4237.9100000000008</v>
      </c>
      <c r="O35" s="40"/>
      <c r="P35" s="116">
        <f>SUM(P29:P34)</f>
        <v>-323357.52</v>
      </c>
      <c r="Q35" s="40"/>
      <c r="R35" s="116">
        <f>SUM(R29:R34)</f>
        <v>129949.43000000001</v>
      </c>
      <c r="S35" s="40"/>
      <c r="T35" s="116">
        <f>SUM(T29:T34)</f>
        <v>-439732.24000000005</v>
      </c>
      <c r="U35" s="120"/>
      <c r="V35" s="116">
        <f>SUM(V29:V34)</f>
        <v>124598.23999999998</v>
      </c>
      <c r="W35" s="40"/>
      <c r="X35" s="116">
        <f>SUM(X29:X34)</f>
        <v>936983.77999999991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8135702.6500000004</v>
      </c>
      <c r="H37" s="29"/>
      <c r="I37" s="107">
        <f>+I35+I25+I19+I11</f>
        <v>8251972.6500000004</v>
      </c>
      <c r="J37" s="92"/>
      <c r="K37" s="92"/>
      <c r="L37" s="107">
        <f>+L35+L25+L19+L11</f>
        <v>9936711.6500000004</v>
      </c>
      <c r="M37" s="129"/>
      <c r="N37" s="107">
        <f>+N35+N25+N19+N11</f>
        <v>4435.9000000000005</v>
      </c>
      <c r="O37" s="92"/>
      <c r="P37" s="107">
        <f>+P35+P25+P19+P11</f>
        <v>-323357.52</v>
      </c>
      <c r="Q37" s="92"/>
      <c r="R37" s="107">
        <f>+R35+R25+R19+R11</f>
        <v>134312.35</v>
      </c>
      <c r="S37" s="92"/>
      <c r="T37" s="107">
        <f>+T35+T25+T19+T11</f>
        <v>-439732.24000000005</v>
      </c>
      <c r="U37" s="120"/>
      <c r="V37" s="107">
        <f>+V35+V25+V19+V11</f>
        <v>131423.56999999998</v>
      </c>
      <c r="W37" s="92"/>
      <c r="X37" s="107">
        <f>+X35+X25+X19+X11</f>
        <v>936983.77999999991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May
 2012 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26" t="s">
        <v>227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39628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1196776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11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2881641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38">
        <v>0</v>
      </c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6109.15</v>
      </c>
      <c r="O35" s="40"/>
      <c r="P35" s="116">
        <f>SUM(P29:P34)</f>
        <v>150027.03</v>
      </c>
      <c r="Q35" s="40"/>
      <c r="R35" s="116">
        <f>SUM(R29:R34)</f>
        <v>136058.57999999999</v>
      </c>
      <c r="S35" s="40"/>
      <c r="T35" s="116">
        <f>SUM(T29:T34)</f>
        <v>-289705.2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8093064.6500000004</v>
      </c>
      <c r="J37" s="92"/>
      <c r="K37" s="92"/>
      <c r="L37" s="107">
        <f>+L35+L25+L19+L11</f>
        <v>8896381.6500000004</v>
      </c>
      <c r="M37" s="129"/>
      <c r="N37" s="107">
        <f>+N35+N25+N19+N11</f>
        <v>6249.46</v>
      </c>
      <c r="O37" s="92"/>
      <c r="P37" s="107">
        <f>+P35+P25+P19+P11</f>
        <v>150027.03</v>
      </c>
      <c r="Q37" s="92"/>
      <c r="R37" s="107">
        <f>+R35+R25+R19+R11</f>
        <v>140561.81</v>
      </c>
      <c r="S37" s="92"/>
      <c r="T37" s="107">
        <f>+T35+T25+T19+T11</f>
        <v>-289705.2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Y56"/>
  <sheetViews>
    <sheetView showGridLines="0" topLeftCell="A10" zoomScaleNormal="100" workbookViewId="0">
      <selection activeCell="G43" sqref="G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26" t="s">
        <v>227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39628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1181992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54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2866857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158">
        <v>-226917</v>
      </c>
      <c r="O30" s="40"/>
      <c r="P30" s="37">
        <v>0</v>
      </c>
      <c r="Q30" s="40"/>
      <c r="R30" s="158">
        <v>-226917</v>
      </c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158"/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59">
        <v>226917</v>
      </c>
      <c r="O33" s="40"/>
      <c r="P33" s="155">
        <v>58915.68</v>
      </c>
      <c r="Q33" s="40"/>
      <c r="R33" s="159">
        <v>226917</v>
      </c>
      <c r="S33" s="40"/>
      <c r="T33" s="155">
        <v>58915.68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57">
        <v>68220</v>
      </c>
      <c r="O34" s="40"/>
      <c r="P34" s="156">
        <v>-6773</v>
      </c>
      <c r="Q34" s="40"/>
      <c r="R34" s="157">
        <v>68220</v>
      </c>
      <c r="S34" s="40"/>
      <c r="T34" s="156">
        <v>-6773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74329.149999999994</v>
      </c>
      <c r="O35" s="40"/>
      <c r="P35" s="116">
        <f>SUM(P29:P34)</f>
        <v>202169.71</v>
      </c>
      <c r="Q35" s="40"/>
      <c r="R35" s="116">
        <f>SUM(R29:R34)</f>
        <v>204278.58</v>
      </c>
      <c r="S35" s="40"/>
      <c r="T35" s="116">
        <f>SUM(T29:T34)</f>
        <v>-237562.52000000002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8078280.6500000004</v>
      </c>
      <c r="J37" s="92"/>
      <c r="K37" s="92"/>
      <c r="L37" s="107">
        <f>+L35+L25+L19+L11</f>
        <v>8896381.6500000004</v>
      </c>
      <c r="M37" s="129"/>
      <c r="N37" s="107">
        <f>+N35+N25+N19+N11</f>
        <v>74469.459999999992</v>
      </c>
      <c r="O37" s="92"/>
      <c r="P37" s="107">
        <f>+P35+P25+P19+P11</f>
        <v>202169.71</v>
      </c>
      <c r="Q37" s="92"/>
      <c r="R37" s="107">
        <f>+R35+R25+R19+R11</f>
        <v>208781.81</v>
      </c>
      <c r="S37" s="92"/>
      <c r="T37" s="107">
        <f>+T35+T25+T19+T11</f>
        <v>-237562.52000000002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Y56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26" t="s">
        <v>252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39658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253</v>
      </c>
      <c r="H6" s="102"/>
      <c r="I6" s="80" t="s">
        <v>254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1181992</v>
      </c>
      <c r="H9" s="102"/>
      <c r="I9" s="103">
        <v>506139</v>
      </c>
      <c r="J9" s="92"/>
      <c r="K9" s="92"/>
      <c r="L9" s="103">
        <v>783593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8.767101173902503E-5</v>
      </c>
      <c r="F10" s="111"/>
      <c r="G10" s="111">
        <v>1684865</v>
      </c>
      <c r="H10" s="102"/>
      <c r="I10" s="111">
        <v>1685006</v>
      </c>
      <c r="J10" s="92"/>
      <c r="K10" s="92"/>
      <c r="L10" s="111">
        <v>1682050</v>
      </c>
      <c r="M10" s="92"/>
      <c r="N10" s="56">
        <v>147.72</v>
      </c>
      <c r="O10" s="92"/>
      <c r="P10" s="72"/>
      <c r="Q10" s="42"/>
      <c r="R10" s="56">
        <v>147.72</v>
      </c>
      <c r="S10" s="42"/>
      <c r="T10" s="108"/>
      <c r="U10" s="86"/>
      <c r="V10" s="123">
        <v>438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2866857</v>
      </c>
      <c r="H11" s="102"/>
      <c r="I11" s="103">
        <f>SUM(I9:I10)</f>
        <v>2191145</v>
      </c>
      <c r="J11" s="92"/>
      <c r="K11" s="92"/>
      <c r="L11" s="103">
        <f>SUM(L9:L10)</f>
        <v>2465643</v>
      </c>
      <c r="M11" s="92"/>
      <c r="N11" s="120">
        <f>SUM(N9:N10)</f>
        <v>147.72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438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102007</v>
      </c>
      <c r="H29" s="29"/>
      <c r="I29" s="115">
        <v>102294</v>
      </c>
      <c r="J29" s="40"/>
      <c r="K29" s="40"/>
      <c r="L29" s="115">
        <v>100507</v>
      </c>
      <c r="M29" s="129"/>
      <c r="N29" s="115">
        <v>286.75</v>
      </c>
      <c r="O29" s="40" t="s">
        <v>31</v>
      </c>
      <c r="P29" s="115">
        <v>64.900000000000006</v>
      </c>
      <c r="Q29" s="40"/>
      <c r="R29" s="115">
        <v>286.75</v>
      </c>
      <c r="S29" s="40" t="s">
        <v>31</v>
      </c>
      <c r="T29" s="115">
        <v>64.900000000000006</v>
      </c>
      <c r="U29" s="120"/>
      <c r="V29" s="115">
        <v>171.85</v>
      </c>
      <c r="W29" s="40" t="s">
        <v>31</v>
      </c>
      <c r="X29" s="115">
        <v>-2142.16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5143330</v>
      </c>
      <c r="H31" s="29"/>
      <c r="I31" s="152">
        <v>5144349</v>
      </c>
      <c r="J31" s="40"/>
      <c r="K31" s="40"/>
      <c r="L31" s="152">
        <v>5013045</v>
      </c>
      <c r="M31" s="129"/>
      <c r="N31" s="38">
        <v>0</v>
      </c>
      <c r="O31" s="40"/>
      <c r="P31" s="45">
        <v>0</v>
      </c>
      <c r="Q31" s="40"/>
      <c r="R31" s="38">
        <v>0</v>
      </c>
      <c r="S31" s="40"/>
      <c r="T31" s="45">
        <v>0</v>
      </c>
      <c r="U31" s="93"/>
      <c r="V31" s="38">
        <v>4101.7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-239268</v>
      </c>
      <c r="H32" s="29"/>
      <c r="I32" s="45">
        <v>-212351</v>
      </c>
      <c r="J32" s="40"/>
      <c r="K32" s="40"/>
      <c r="L32" s="45">
        <v>-11709</v>
      </c>
      <c r="M32" s="129"/>
      <c r="N32" s="38">
        <v>1019.02</v>
      </c>
      <c r="O32" s="40"/>
      <c r="P32" s="45">
        <v>26852.38</v>
      </c>
      <c r="Q32" s="40"/>
      <c r="R32" s="38">
        <v>1019.02</v>
      </c>
      <c r="S32" s="40"/>
      <c r="T32" s="45">
        <v>26852.38</v>
      </c>
      <c r="U32" s="119"/>
      <c r="V32" s="38">
        <v>0</v>
      </c>
      <c r="W32" s="40"/>
      <c r="X32" s="45">
        <v>-60004.04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4442992</v>
      </c>
      <c r="H35" s="29"/>
      <c r="I35" s="116">
        <f>SUM(I29:I34)</f>
        <v>4471215</v>
      </c>
      <c r="J35" s="40"/>
      <c r="K35" s="40"/>
      <c r="L35" s="116">
        <f>SUM(L29:L34)</f>
        <v>4538766</v>
      </c>
      <c r="M35" s="129"/>
      <c r="N35" s="116">
        <f>SUM(N29:N34)</f>
        <v>1305.77</v>
      </c>
      <c r="O35" s="40"/>
      <c r="P35" s="116">
        <f>SUM(P29:P34)</f>
        <v>26917.280000000002</v>
      </c>
      <c r="Q35" s="40"/>
      <c r="R35" s="116">
        <f>SUM(R29:R34)</f>
        <v>1305.77</v>
      </c>
      <c r="S35" s="40"/>
      <c r="T35" s="116">
        <f>SUM(T29:T34)</f>
        <v>26917.280000000002</v>
      </c>
      <c r="U35" s="120"/>
      <c r="V35" s="116">
        <f>SUM(V29:V34)</f>
        <v>4273.55</v>
      </c>
      <c r="W35" s="40"/>
      <c r="X35" s="116">
        <f>SUM(X29:X34)</f>
        <v>-62146.2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8078280.6500000004</v>
      </c>
      <c r="H37" s="29"/>
      <c r="I37" s="107">
        <f>+I35+I25+I19+I11</f>
        <v>7430791.6500000004</v>
      </c>
      <c r="J37" s="92"/>
      <c r="K37" s="92"/>
      <c r="L37" s="107">
        <f>+L35+L25+L19+L11</f>
        <v>8186580.6500000004</v>
      </c>
      <c r="M37" s="129"/>
      <c r="N37" s="107">
        <f>+N35+N25+N19+N11</f>
        <v>1453.49</v>
      </c>
      <c r="O37" s="92"/>
      <c r="P37" s="107">
        <f>+P35+P25+P19+P11</f>
        <v>26917.280000000002</v>
      </c>
      <c r="Q37" s="92"/>
      <c r="R37" s="107">
        <f>+R35+R25+R19+R11</f>
        <v>1453.49</v>
      </c>
      <c r="S37" s="92"/>
      <c r="T37" s="107">
        <f>+T35+T25+T19+T11</f>
        <v>26917.280000000002</v>
      </c>
      <c r="U37" s="120"/>
      <c r="V37" s="107">
        <f>+V35+V25+V19+V11</f>
        <v>4711.55</v>
      </c>
      <c r="W37" s="92"/>
      <c r="X37" s="107">
        <f>+X35+X25+X19+X11</f>
        <v>-62146.2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2012 
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37682</v>
      </c>
      <c r="I7" s="4"/>
      <c r="J7" s="18">
        <v>37654</v>
      </c>
      <c r="K7" s="4"/>
      <c r="L7" s="18">
        <v>37311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413</v>
      </c>
      <c r="O11" s="13"/>
      <c r="P11" s="12">
        <v>3450</v>
      </c>
      <c r="Q11" s="13"/>
      <c r="R11" s="12">
        <v>2595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125332</v>
      </c>
      <c r="I14" s="13"/>
      <c r="J14" s="12">
        <v>124832</v>
      </c>
      <c r="K14" s="13"/>
      <c r="L14" s="12">
        <v>126183</v>
      </c>
      <c r="M14" s="13"/>
      <c r="N14" s="12">
        <v>500</v>
      </c>
      <c r="O14" s="13"/>
      <c r="P14" s="12">
        <v>4209</v>
      </c>
      <c r="Q14" s="13"/>
      <c r="R14" s="12">
        <v>3163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72576</v>
      </c>
      <c r="I15" s="13"/>
      <c r="J15" s="15">
        <v>72376</v>
      </c>
      <c r="K15" s="13"/>
      <c r="L15" s="15">
        <v>69184</v>
      </c>
      <c r="M15" s="13"/>
      <c r="N15" s="15">
        <v>200</v>
      </c>
      <c r="O15" s="13"/>
      <c r="P15" s="15">
        <v>2123</v>
      </c>
      <c r="Q15" s="13"/>
      <c r="R15" s="15">
        <v>1413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760985</v>
      </c>
      <c r="I17" s="13"/>
      <c r="J17" s="16">
        <f>SUM(J11:J15)</f>
        <v>760285</v>
      </c>
      <c r="K17" s="13"/>
      <c r="L17" s="16">
        <f>SUM(L11:L15)</f>
        <v>758444</v>
      </c>
      <c r="M17" s="13"/>
      <c r="N17" s="16">
        <f>SUM(N11:N15)</f>
        <v>1113</v>
      </c>
      <c r="O17" s="13"/>
      <c r="P17" s="16">
        <f>SUM(P11:P15)</f>
        <v>9782</v>
      </c>
      <c r="Q17" s="13"/>
      <c r="R17" s="16">
        <f>SUM(R11:R15)</f>
        <v>7171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418287</v>
      </c>
      <c r="I24" s="13"/>
      <c r="J24" s="15">
        <v>416412</v>
      </c>
      <c r="K24" s="15">
        <v>425705</v>
      </c>
      <c r="L24" s="15">
        <v>442080</v>
      </c>
      <c r="M24" s="13"/>
      <c r="N24" s="15">
        <v>2407</v>
      </c>
      <c r="O24" s="13"/>
      <c r="P24" s="15">
        <v>17205</v>
      </c>
      <c r="Q24" s="13"/>
      <c r="R24" s="15">
        <v>11091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418287</v>
      </c>
      <c r="I26" s="13"/>
      <c r="J26" s="16">
        <f>SUM(J23:J24)</f>
        <v>416412</v>
      </c>
      <c r="K26" s="13"/>
      <c r="L26" s="16">
        <f>SUM(L23:L24)</f>
        <v>442080</v>
      </c>
      <c r="M26" s="13"/>
      <c r="N26" s="16">
        <f>SUM(N23:N24)</f>
        <v>2407</v>
      </c>
      <c r="O26" s="13"/>
      <c r="P26" s="16">
        <f>SUM(P23:P24)</f>
        <v>17205</v>
      </c>
      <c r="Q26" s="13"/>
      <c r="R26" s="16">
        <f>SUM(R23:R24)</f>
        <v>11091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4.41</v>
      </c>
      <c r="G32" s="7"/>
      <c r="H32" s="12">
        <v>1301063</v>
      </c>
      <c r="I32" s="13"/>
      <c r="J32" s="12">
        <v>1295529</v>
      </c>
      <c r="K32" s="13"/>
      <c r="L32" s="12">
        <v>1297019</v>
      </c>
      <c r="M32" s="13"/>
      <c r="N32" s="12">
        <v>5534</v>
      </c>
      <c r="O32" s="13" t="s">
        <v>31</v>
      </c>
      <c r="P32" s="12">
        <v>43627</v>
      </c>
      <c r="Q32" s="13"/>
      <c r="R32" s="12">
        <v>35680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4997</v>
      </c>
      <c r="I34" s="13"/>
      <c r="J34" s="12">
        <v>4977</v>
      </c>
      <c r="K34" s="13"/>
      <c r="L34" s="12">
        <v>4773</v>
      </c>
      <c r="M34" s="13"/>
      <c r="N34" s="12">
        <v>20</v>
      </c>
      <c r="O34" s="13"/>
      <c r="P34" s="12">
        <v>156</v>
      </c>
      <c r="Q34" s="13"/>
      <c r="R34" s="12">
        <v>103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5.38</v>
      </c>
      <c r="G35" s="7"/>
      <c r="H35" s="15">
        <v>9414390</v>
      </c>
      <c r="I35" s="13"/>
      <c r="J35" s="15">
        <v>8374104</v>
      </c>
      <c r="K35" s="13"/>
      <c r="L35" s="15">
        <v>7521918</v>
      </c>
      <c r="M35" s="13"/>
      <c r="N35" s="15">
        <v>39873</v>
      </c>
      <c r="O35" s="13"/>
      <c r="P35" s="15">
        <v>274544</v>
      </c>
      <c r="Q35" s="13"/>
      <c r="R35" s="15">
        <v>174516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10729074</v>
      </c>
      <c r="I37" s="13"/>
      <c r="J37" s="16">
        <f>SUM(J32:J35)</f>
        <v>9683234</v>
      </c>
      <c r="K37" s="13"/>
      <c r="L37" s="16">
        <f>SUM(L32:L35)</f>
        <v>8832333</v>
      </c>
      <c r="M37" s="13"/>
      <c r="N37" s="16">
        <f>SUM(N32:N35)</f>
        <v>45427</v>
      </c>
      <c r="O37" s="13"/>
      <c r="P37" s="16">
        <f>SUM(P32:P35)</f>
        <v>318327</v>
      </c>
      <c r="Q37" s="13"/>
      <c r="R37" s="16">
        <f>SUM(R32:R35)</f>
        <v>210299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Y57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26" t="s">
        <v>252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39689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255</v>
      </c>
      <c r="H6" s="102"/>
      <c r="I6" s="80" t="s">
        <v>256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506139</v>
      </c>
      <c r="H9" s="102"/>
      <c r="I9" s="103">
        <v>2895407</v>
      </c>
      <c r="J9" s="92"/>
      <c r="K9" s="92"/>
      <c r="L9" s="103">
        <v>2134153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7.8721502042773152E-5</v>
      </c>
      <c r="F10" s="111"/>
      <c r="G10" s="111">
        <v>1685006</v>
      </c>
      <c r="H10" s="102"/>
      <c r="I10" s="111">
        <v>1185112</v>
      </c>
      <c r="J10" s="92"/>
      <c r="K10" s="92"/>
      <c r="L10" s="111">
        <v>1182345</v>
      </c>
      <c r="M10" s="92"/>
      <c r="N10" s="56">
        <v>112.97</v>
      </c>
      <c r="O10" s="92"/>
      <c r="P10" s="72"/>
      <c r="Q10" s="42"/>
      <c r="R10" s="56">
        <v>147.72</v>
      </c>
      <c r="S10" s="42"/>
      <c r="T10" s="108"/>
      <c r="U10" s="86"/>
      <c r="V10" s="123">
        <f>438+301.98</f>
        <v>739.98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2191145</v>
      </c>
      <c r="H11" s="102"/>
      <c r="I11" s="103">
        <f>SUM(I9:I10)</f>
        <v>4080519</v>
      </c>
      <c r="J11" s="92"/>
      <c r="K11" s="92"/>
      <c r="L11" s="103">
        <f>SUM(L9:L10)</f>
        <v>3316498</v>
      </c>
      <c r="M11" s="92"/>
      <c r="N11" s="120">
        <f>SUM(N9:N10)</f>
        <v>112.97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739.98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102294</v>
      </c>
      <c r="H29" s="29"/>
      <c r="I29" s="115">
        <v>102385</v>
      </c>
      <c r="J29" s="40"/>
      <c r="K29" s="40"/>
      <c r="L29" s="115">
        <v>100518</v>
      </c>
      <c r="M29" s="129"/>
      <c r="N29" s="115">
        <v>90.69</v>
      </c>
      <c r="O29" s="40" t="s">
        <v>31</v>
      </c>
      <c r="P29" s="115">
        <v>2026.6</v>
      </c>
      <c r="Q29" s="40"/>
      <c r="R29" s="115">
        <f>286.75+90.69</f>
        <v>377.44</v>
      </c>
      <c r="S29" s="40" t="s">
        <v>31</v>
      </c>
      <c r="T29" s="115">
        <f>64.9+2026.6</f>
        <v>2091.5</v>
      </c>
      <c r="U29" s="120"/>
      <c r="V29" s="115">
        <f>171.85+11.02</f>
        <v>182.87</v>
      </c>
      <c r="W29" s="40" t="s">
        <v>31</v>
      </c>
      <c r="X29" s="115">
        <f>-2142.16-6592.02</f>
        <v>-8734.18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5144349</v>
      </c>
      <c r="H31" s="29"/>
      <c r="I31" s="152">
        <v>5148228</v>
      </c>
      <c r="J31" s="40"/>
      <c r="K31" s="40"/>
      <c r="L31" s="152">
        <v>5019245</v>
      </c>
      <c r="M31" s="129"/>
      <c r="N31" s="38">
        <v>3879.46</v>
      </c>
      <c r="O31" s="40"/>
      <c r="P31" s="45">
        <v>0</v>
      </c>
      <c r="Q31" s="40"/>
      <c r="R31" s="38">
        <f>1019.02+3879.46</f>
        <v>4898.4799999999996</v>
      </c>
      <c r="S31" s="40"/>
      <c r="T31" s="45">
        <v>0</v>
      </c>
      <c r="U31" s="93"/>
      <c r="V31" s="38">
        <f>4101.7+6199.96</f>
        <v>10301.66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-212351</v>
      </c>
      <c r="H32" s="29"/>
      <c r="I32" s="45">
        <v>-103996</v>
      </c>
      <c r="J32" s="40"/>
      <c r="K32" s="40"/>
      <c r="L32" s="45">
        <v>-254717</v>
      </c>
      <c r="M32" s="129"/>
      <c r="N32" s="38"/>
      <c r="O32" s="40"/>
      <c r="P32" s="45">
        <v>106328.21</v>
      </c>
      <c r="Q32" s="40"/>
      <c r="R32" s="38"/>
      <c r="S32" s="40"/>
      <c r="T32" s="45">
        <f>26852.38+106328.21</f>
        <v>133180.59</v>
      </c>
      <c r="U32" s="119"/>
      <c r="V32" s="38">
        <v>0</v>
      </c>
      <c r="W32" s="40"/>
      <c r="X32" s="45">
        <f>-60004.04-236415.96</f>
        <v>-296420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4471215</v>
      </c>
      <c r="H35" s="29"/>
      <c r="I35" s="116">
        <f>SUM(I29:I34)</f>
        <v>4583540</v>
      </c>
      <c r="J35" s="40"/>
      <c r="K35" s="40"/>
      <c r="L35" s="116">
        <f>SUM(L29:L34)</f>
        <v>4301969</v>
      </c>
      <c r="M35" s="129"/>
      <c r="N35" s="116">
        <f>SUM(N29:N34)</f>
        <v>3970.15</v>
      </c>
      <c r="O35" s="40"/>
      <c r="P35" s="116">
        <f>SUM(P29:P34)</f>
        <v>108354.81000000001</v>
      </c>
      <c r="Q35" s="40"/>
      <c r="R35" s="116">
        <f>SUM(R29:R34)</f>
        <v>5275.9199999999992</v>
      </c>
      <c r="S35" s="40"/>
      <c r="T35" s="116">
        <f>SUM(T29:T34)</f>
        <v>135272.09</v>
      </c>
      <c r="U35" s="120"/>
      <c r="V35" s="116">
        <f>SUM(V29:V34)</f>
        <v>10484.530000000001</v>
      </c>
      <c r="W35" s="40"/>
      <c r="X35" s="116">
        <f>SUM(X29:X34)</f>
        <v>-305154.18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7430791.6500000004</v>
      </c>
      <c r="H37" s="29"/>
      <c r="I37" s="107">
        <f>+I35+I25+I19+I11</f>
        <v>9432490.6500000004</v>
      </c>
      <c r="J37" s="92"/>
      <c r="K37" s="92"/>
      <c r="L37" s="107">
        <f>+L35+L25+L19+L11</f>
        <v>8800638.6500000004</v>
      </c>
      <c r="M37" s="129"/>
      <c r="N37" s="107">
        <f>+N35+N25+N19+N11</f>
        <v>4083.12</v>
      </c>
      <c r="O37" s="92"/>
      <c r="P37" s="107">
        <f>+P35+P25+P19+P11</f>
        <v>108354.81000000001</v>
      </c>
      <c r="Q37" s="92"/>
      <c r="R37" s="107">
        <f>+R35+R25+R19+R11</f>
        <v>5423.6399999999994</v>
      </c>
      <c r="S37" s="92"/>
      <c r="T37" s="107">
        <f>+T35+T25+T19+T11</f>
        <v>135272.09</v>
      </c>
      <c r="U37" s="120"/>
      <c r="V37" s="107">
        <f>+V35+V25+V19+V11</f>
        <v>11224.51</v>
      </c>
      <c r="W37" s="92"/>
      <c r="X37" s="107">
        <f>+X35+X25+X19+X11</f>
        <v>-305154.18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2012 
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B57"/>
  <sheetViews>
    <sheetView showGridLines="0" zoomScaleNormal="100" workbookViewId="0">
      <selection activeCell="B45" sqref="B4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26" t="s">
        <v>252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39719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257</v>
      </c>
      <c r="H6" s="102"/>
      <c r="I6" s="80" t="s">
        <v>258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2895407</v>
      </c>
      <c r="H9" s="102"/>
      <c r="I9" s="103">
        <v>1191385</v>
      </c>
      <c r="J9" s="92"/>
      <c r="K9" s="92"/>
      <c r="L9" s="103">
        <v>1808815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6.9957479764955026E-5</v>
      </c>
      <c r="F10" s="111"/>
      <c r="G10" s="111">
        <v>1185112</v>
      </c>
      <c r="H10" s="102"/>
      <c r="I10" s="111">
        <v>3685275</v>
      </c>
      <c r="J10" s="92"/>
      <c r="K10" s="92"/>
      <c r="L10" s="111">
        <v>4182866</v>
      </c>
      <c r="M10" s="92"/>
      <c r="N10" s="56">
        <v>170.36</v>
      </c>
      <c r="O10" s="92"/>
      <c r="P10" s="72"/>
      <c r="Q10" s="42"/>
      <c r="R10" s="56">
        <v>147.72</v>
      </c>
      <c r="S10" s="42"/>
      <c r="T10" s="108"/>
      <c r="U10" s="86"/>
      <c r="V10" s="123">
        <f>438+301.98+528.61</f>
        <v>1268.5900000000001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4080519</v>
      </c>
      <c r="H11" s="102"/>
      <c r="I11" s="103">
        <f>SUM(I9:I10)</f>
        <v>4876660</v>
      </c>
      <c r="J11" s="92"/>
      <c r="K11" s="92"/>
      <c r="L11" s="103">
        <f>SUM(L9:L10)</f>
        <v>5991681</v>
      </c>
      <c r="M11" s="92"/>
      <c r="N11" s="120">
        <f>SUM(N9:N10)</f>
        <v>170.36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1268.5900000000001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102385</v>
      </c>
      <c r="H29" s="29"/>
      <c r="I29" s="115">
        <v>102663</v>
      </c>
      <c r="J29" s="40"/>
      <c r="K29" s="40"/>
      <c r="L29" s="115">
        <v>100640</v>
      </c>
      <c r="M29" s="129"/>
      <c r="N29" s="115">
        <v>278.04000000000002</v>
      </c>
      <c r="O29" s="40" t="s">
        <v>31</v>
      </c>
      <c r="P29" s="115">
        <v>1813.64</v>
      </c>
      <c r="Q29" s="40"/>
      <c r="R29" s="115">
        <f>286.75+90.69+278</f>
        <v>655.44</v>
      </c>
      <c r="S29" s="40" t="s">
        <v>31</v>
      </c>
      <c r="T29" s="115">
        <f>64.9+2026.6+1814</f>
        <v>3905.5</v>
      </c>
      <c r="U29" s="120"/>
      <c r="V29" s="115">
        <f>171.85+11.02+121.64</f>
        <v>304.51</v>
      </c>
      <c r="W29" s="40" t="s">
        <v>31</v>
      </c>
      <c r="X29" s="115">
        <f>-2142.16-6592.02+196.48</f>
        <v>-8537.7000000000007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5148228</v>
      </c>
      <c r="H31" s="29"/>
      <c r="I31" s="152">
        <v>5153717</v>
      </c>
      <c r="J31" s="40"/>
      <c r="K31" s="40"/>
      <c r="L31" s="152">
        <v>5024318</v>
      </c>
      <c r="M31" s="129"/>
      <c r="N31" s="38">
        <v>5488.61</v>
      </c>
      <c r="O31" s="40"/>
      <c r="P31" s="45">
        <v>0</v>
      </c>
      <c r="Q31" s="40"/>
      <c r="R31" s="38">
        <f>1019.02+3879.46+5489</f>
        <v>10387.48</v>
      </c>
      <c r="S31" s="40"/>
      <c r="T31" s="45">
        <v>0</v>
      </c>
      <c r="U31" s="93"/>
      <c r="V31" s="38">
        <f>4101.7+6199.96+5073.04</f>
        <v>15374.7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-103996</v>
      </c>
      <c r="H32" s="29"/>
      <c r="I32" s="45">
        <v>14394</v>
      </c>
      <c r="J32" s="40"/>
      <c r="K32" s="40"/>
      <c r="L32" s="45">
        <v>-621702</v>
      </c>
      <c r="M32" s="129"/>
      <c r="N32" s="38"/>
      <c r="O32" s="40"/>
      <c r="P32" s="45">
        <v>116576.5</v>
      </c>
      <c r="Q32" s="40"/>
      <c r="R32" s="38"/>
      <c r="S32" s="40"/>
      <c r="T32" s="45">
        <f>26852.38+106328.21+116577</f>
        <v>249757.59</v>
      </c>
      <c r="U32" s="119"/>
      <c r="V32" s="38">
        <v>0</v>
      </c>
      <c r="W32" s="40"/>
      <c r="X32" s="45">
        <f>-60004.04-236415.96-367180.49</f>
        <v>-663600.49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4583540</v>
      </c>
      <c r="H35" s="29"/>
      <c r="I35" s="116">
        <f>SUM(I29:I34)</f>
        <v>4707697</v>
      </c>
      <c r="J35" s="40"/>
      <c r="K35" s="40"/>
      <c r="L35" s="116">
        <f>SUM(L29:L34)</f>
        <v>3940179</v>
      </c>
      <c r="M35" s="129"/>
      <c r="N35" s="116">
        <f>SUM(N29:N34)</f>
        <v>5766.65</v>
      </c>
      <c r="O35" s="40"/>
      <c r="P35" s="116">
        <f>SUM(P29:P34)</f>
        <v>118390.14</v>
      </c>
      <c r="Q35" s="40"/>
      <c r="R35" s="116">
        <f>SUM(R29:R34)</f>
        <v>11042.92</v>
      </c>
      <c r="S35" s="40"/>
      <c r="T35" s="116">
        <f>SUM(T29:T34)</f>
        <v>253663.09</v>
      </c>
      <c r="U35" s="120"/>
      <c r="V35" s="116">
        <f>SUM(V29:V34)</f>
        <v>15679.210000000001</v>
      </c>
      <c r="W35" s="40"/>
      <c r="X35" s="116">
        <f>SUM(X29:X34)</f>
        <v>-672138.19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9432490.6500000004</v>
      </c>
      <c r="H37" s="29"/>
      <c r="I37" s="107">
        <f>+I35+I25+I19+I11</f>
        <v>10352788.65</v>
      </c>
      <c r="J37" s="92"/>
      <c r="K37" s="92"/>
      <c r="L37" s="107">
        <f>+L35+L25+L19+L11</f>
        <v>11114031.65</v>
      </c>
      <c r="M37" s="129"/>
      <c r="N37" s="107">
        <f>+N35+N25+N19+N11</f>
        <v>5937.0099999999993</v>
      </c>
      <c r="O37" s="92"/>
      <c r="P37" s="107">
        <f>+P35+P25+P19+P11</f>
        <v>118390.14</v>
      </c>
      <c r="Q37" s="92"/>
      <c r="R37" s="107">
        <f>+R35+R25+R19+R11</f>
        <v>11190.64</v>
      </c>
      <c r="S37" s="92"/>
      <c r="T37" s="107">
        <f>+T35+T25+T19+T11</f>
        <v>253663.09</v>
      </c>
      <c r="U37" s="120"/>
      <c r="V37" s="107">
        <f>+V35+V25+V19+V11</f>
        <v>16947.800000000003</v>
      </c>
      <c r="W37" s="92"/>
      <c r="X37" s="107">
        <f>+X35+X25+X19+X11</f>
        <v>-672138.19</v>
      </c>
      <c r="Y37" s="120"/>
      <c r="Z37" s="22" t="s">
        <v>259</v>
      </c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2012 
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B57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26" t="s">
        <v>252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39749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260</v>
      </c>
      <c r="H6" s="102"/>
      <c r="I6" s="80" t="s">
        <v>261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1191385</v>
      </c>
      <c r="H9" s="102"/>
      <c r="I9" s="103">
        <v>268723</v>
      </c>
      <c r="J9" s="92"/>
      <c r="K9" s="92"/>
      <c r="L9" s="103">
        <v>522918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9.0407164630092819E-5</v>
      </c>
      <c r="F10" s="111"/>
      <c r="G10" s="111">
        <v>3685275</v>
      </c>
      <c r="H10" s="102"/>
      <c r="I10" s="111">
        <v>3685601</v>
      </c>
      <c r="J10" s="92"/>
      <c r="K10" s="92"/>
      <c r="L10" s="111">
        <v>2183339</v>
      </c>
      <c r="M10" s="92"/>
      <c r="N10" s="56">
        <v>333.19</v>
      </c>
      <c r="O10" s="92"/>
      <c r="P10" s="72"/>
      <c r="Q10" s="42"/>
      <c r="R10" s="56">
        <f>147.72+333.19</f>
        <v>480.90999999999997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4876660</v>
      </c>
      <c r="H11" s="102"/>
      <c r="I11" s="103">
        <f>SUM(I9:I10)</f>
        <v>3954324</v>
      </c>
      <c r="J11" s="92"/>
      <c r="K11" s="92"/>
      <c r="L11" s="103">
        <f>SUM(L9:L10)</f>
        <v>2706257</v>
      </c>
      <c r="M11" s="92"/>
      <c r="N11" s="120">
        <f>SUM(N9:N10)</f>
        <v>333.19</v>
      </c>
      <c r="O11" s="92"/>
      <c r="P11" s="120">
        <f>SUM(P9:P10)</f>
        <v>0</v>
      </c>
      <c r="Q11" s="85"/>
      <c r="R11" s="120">
        <f>SUM(R9:R10)</f>
        <v>480.90999999999997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102663</v>
      </c>
      <c r="H29" s="29"/>
      <c r="I29" s="115">
        <v>102749</v>
      </c>
      <c r="J29" s="40"/>
      <c r="K29" s="40"/>
      <c r="L29" s="115">
        <v>100755</v>
      </c>
      <c r="M29" s="129"/>
      <c r="N29" s="115">
        <v>86.71</v>
      </c>
      <c r="O29" s="40" t="s">
        <v>31</v>
      </c>
      <c r="P29" s="115">
        <v>-940.15</v>
      </c>
      <c r="Q29" s="40"/>
      <c r="R29" s="115">
        <f>286.75+90.69+86.71+278</f>
        <v>742.15</v>
      </c>
      <c r="S29" s="40" t="s">
        <v>31</v>
      </c>
      <c r="T29" s="115">
        <f>64.9+2026.6-940.15+1814</f>
        <v>2965.35</v>
      </c>
      <c r="U29" s="120"/>
      <c r="V29" s="115">
        <f>171.85+11.02+121.64+114.9</f>
        <v>419.40999999999997</v>
      </c>
      <c r="W29" s="40" t="s">
        <v>31</v>
      </c>
      <c r="X29" s="115">
        <f>-2142.16-6592.02+196.48-64.94</f>
        <v>-8602.6400000000012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5153717</v>
      </c>
      <c r="H31" s="29"/>
      <c r="I31" s="152">
        <v>5157585</v>
      </c>
      <c r="J31" s="40"/>
      <c r="K31" s="40"/>
      <c r="L31" s="152">
        <v>5028673</v>
      </c>
      <c r="M31" s="129"/>
      <c r="N31" s="38">
        <v>3868.27</v>
      </c>
      <c r="O31" s="40"/>
      <c r="P31" s="45">
        <v>0</v>
      </c>
      <c r="Q31" s="40"/>
      <c r="R31" s="38">
        <f>1019.02+3879.46+3868.27+5489</f>
        <v>14255.75</v>
      </c>
      <c r="S31" s="40"/>
      <c r="T31" s="45">
        <v>0</v>
      </c>
      <c r="U31" s="93"/>
      <c r="V31" s="38">
        <f>4101.7+6199.96+5073.04+4354.59</f>
        <v>19729.29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14394</v>
      </c>
      <c r="H32" s="29"/>
      <c r="I32" s="45">
        <v>-19973</v>
      </c>
      <c r="J32" s="40"/>
      <c r="K32" s="40"/>
      <c r="L32" s="45">
        <v>-282425</v>
      </c>
      <c r="M32" s="129"/>
      <c r="N32" s="38"/>
      <c r="O32" s="40"/>
      <c r="P32" s="45">
        <v>-33427.410000000003</v>
      </c>
      <c r="Q32" s="40"/>
      <c r="R32" s="38"/>
      <c r="S32" s="40"/>
      <c r="T32" s="45">
        <f>26852.38+106328.21-33427.41+116577</f>
        <v>216330.18</v>
      </c>
      <c r="U32" s="119"/>
      <c r="V32" s="38">
        <v>0</v>
      </c>
      <c r="W32" s="40"/>
      <c r="X32" s="45">
        <f>-60004.04-236415.96-367180.49+339341.68</f>
        <v>-324258.81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4707697</v>
      </c>
      <c r="H35" s="29"/>
      <c r="I35" s="116">
        <f>SUM(I29:I34)</f>
        <v>4677284</v>
      </c>
      <c r="J35" s="40"/>
      <c r="K35" s="40"/>
      <c r="L35" s="116">
        <f>SUM(L29:L34)</f>
        <v>4283926</v>
      </c>
      <c r="M35" s="129"/>
      <c r="N35" s="116">
        <f>SUM(N29:N34)</f>
        <v>3954.98</v>
      </c>
      <c r="O35" s="40"/>
      <c r="P35" s="116">
        <f>SUM(P29:P34)</f>
        <v>-34367.560000000005</v>
      </c>
      <c r="Q35" s="40"/>
      <c r="R35" s="116">
        <f>SUM(R29:R34)</f>
        <v>14997.9</v>
      </c>
      <c r="S35" s="40"/>
      <c r="T35" s="116">
        <f>SUM(T29:T34)</f>
        <v>219295.53</v>
      </c>
      <c r="U35" s="120"/>
      <c r="V35" s="116">
        <f>SUM(V29:V34)</f>
        <v>20148.7</v>
      </c>
      <c r="W35" s="40"/>
      <c r="X35" s="116">
        <f>SUM(X29:X34)</f>
        <v>-332861.45</v>
      </c>
      <c r="Y35" s="120"/>
      <c r="Z35" s="22" t="s">
        <v>259</v>
      </c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10352788.65</v>
      </c>
      <c r="H37" s="29"/>
      <c r="I37" s="107">
        <f>+I35+I25+I19+I11</f>
        <v>9400039.6500000004</v>
      </c>
      <c r="J37" s="92"/>
      <c r="K37" s="92"/>
      <c r="L37" s="107">
        <f>+L35+L25+L19+L11</f>
        <v>8172354.6500000004</v>
      </c>
      <c r="M37" s="129"/>
      <c r="N37" s="107">
        <f>+N35+N25+N19+N11</f>
        <v>4288.17</v>
      </c>
      <c r="O37" s="92"/>
      <c r="P37" s="107">
        <f>+P35+P25+P19+P11</f>
        <v>-34367.560000000005</v>
      </c>
      <c r="Q37" s="92"/>
      <c r="R37" s="107">
        <f>+R35+R25+R19+R11</f>
        <v>15478.81</v>
      </c>
      <c r="S37" s="92"/>
      <c r="T37" s="107">
        <f>+T35+T25+T19+T11</f>
        <v>219295.53</v>
      </c>
      <c r="U37" s="120"/>
      <c r="V37" s="107">
        <f>+V35+V25+V19+V11</f>
        <v>21896.670000000002</v>
      </c>
      <c r="W37" s="92"/>
      <c r="X37" s="107">
        <f>+X35+X25+X19+X11</f>
        <v>-332861.45</v>
      </c>
      <c r="Y37" s="120"/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2012 
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B57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26" t="s">
        <v>252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39781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262</v>
      </c>
      <c r="H6" s="102"/>
      <c r="I6" s="80" t="s">
        <v>263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268723</v>
      </c>
      <c r="H9" s="102"/>
      <c r="I9" s="103">
        <v>-16157</v>
      </c>
      <c r="J9" s="92"/>
      <c r="K9" s="92"/>
      <c r="L9" s="103">
        <v>265590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8.2602193497968604E-5</v>
      </c>
      <c r="F10" s="111"/>
      <c r="G10" s="111">
        <v>3685601</v>
      </c>
      <c r="H10" s="102"/>
      <c r="I10" s="111">
        <v>2686869</v>
      </c>
      <c r="J10" s="92"/>
      <c r="K10" s="92"/>
      <c r="L10" s="111">
        <v>2183339</v>
      </c>
      <c r="M10" s="92"/>
      <c r="N10" s="56">
        <v>263.19</v>
      </c>
      <c r="O10" s="92"/>
      <c r="P10" s="72"/>
      <c r="Q10" s="42"/>
      <c r="R10" s="56">
        <f>147.72+333.19+263.19</f>
        <v>744.09999999999991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3954324</v>
      </c>
      <c r="H11" s="102"/>
      <c r="I11" s="103">
        <f>SUM(I9:I10)</f>
        <v>2670712</v>
      </c>
      <c r="J11" s="92"/>
      <c r="K11" s="92"/>
      <c r="L11" s="103">
        <f>SUM(L9:L10)</f>
        <v>2448929</v>
      </c>
      <c r="M11" s="92"/>
      <c r="N11" s="120">
        <f>SUM(N9:N10)</f>
        <v>263.19</v>
      </c>
      <c r="O11" s="92"/>
      <c r="P11" s="120">
        <f>SUM(P9:P10)</f>
        <v>0</v>
      </c>
      <c r="Q11" s="85"/>
      <c r="R11" s="120">
        <f>SUM(R9:R10)</f>
        <v>744.09999999999991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380149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380149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102749</v>
      </c>
      <c r="H29" s="29"/>
      <c r="I29" s="115">
        <v>102840</v>
      </c>
      <c r="J29" s="40"/>
      <c r="K29" s="40"/>
      <c r="L29" s="115">
        <v>100902</v>
      </c>
      <c r="M29" s="129"/>
      <c r="N29" s="115">
        <v>90.21</v>
      </c>
      <c r="O29" s="40" t="s">
        <v>31</v>
      </c>
      <c r="P29" s="115">
        <v>1011.79</v>
      </c>
      <c r="Q29" s="40"/>
      <c r="R29" s="115">
        <f>286.75+90.69+86.71+90.21+278</f>
        <v>832.36</v>
      </c>
      <c r="S29" s="40" t="s">
        <v>31</v>
      </c>
      <c r="T29" s="115">
        <f>64.9+2026.6-940.15+1011.79+1814</f>
        <v>3977.14</v>
      </c>
      <c r="U29" s="120"/>
      <c r="V29" s="115">
        <f>171.85+11.02+121.64+114.9+147.43</f>
        <v>566.83999999999992</v>
      </c>
      <c r="W29" s="40" t="s">
        <v>31</v>
      </c>
      <c r="X29" s="115">
        <f>-2142.16-6592.02+196.48-64.94-279.63</f>
        <v>-8882.27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5157585</v>
      </c>
      <c r="H31" s="29"/>
      <c r="I31" s="152">
        <v>5162266</v>
      </c>
      <c r="J31" s="40"/>
      <c r="K31" s="40"/>
      <c r="L31" s="152">
        <v>5032511</v>
      </c>
      <c r="M31" s="129"/>
      <c r="N31" s="38">
        <v>4681</v>
      </c>
      <c r="O31" s="40"/>
      <c r="P31" s="45">
        <v>0</v>
      </c>
      <c r="Q31" s="40"/>
      <c r="R31" s="38">
        <f>1019.02+3879.46+3868.27+4681+5489</f>
        <v>18936.75</v>
      </c>
      <c r="S31" s="40"/>
      <c r="T31" s="45">
        <v>0</v>
      </c>
      <c r="U31" s="93"/>
      <c r="V31" s="38">
        <f>4101.7+6199.96+5073.04+4354.59+3838.31</f>
        <v>23567.600000000002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-19973</v>
      </c>
      <c r="H32" s="29"/>
      <c r="I32" s="45">
        <v>29558</v>
      </c>
      <c r="J32" s="40"/>
      <c r="K32" s="40"/>
      <c r="L32" s="45">
        <v>-355004</v>
      </c>
      <c r="M32" s="129"/>
      <c r="N32" s="38"/>
      <c r="O32" s="40"/>
      <c r="P32" s="45">
        <v>49531</v>
      </c>
      <c r="Q32" s="40"/>
      <c r="R32" s="38"/>
      <c r="S32" s="40"/>
      <c r="T32" s="45">
        <f>26852.38+106328.21-33427.41+49531+116577</f>
        <v>265861.18</v>
      </c>
      <c r="U32" s="119"/>
      <c r="V32" s="38">
        <v>0</v>
      </c>
      <c r="W32" s="40"/>
      <c r="X32" s="45">
        <f>-60004.04-236415.96-367180.49+339341.68-72300.54</f>
        <v>-396559.35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  <c r="Z34" s="22" t="s">
        <v>264</v>
      </c>
    </row>
    <row r="35" spans="1:26">
      <c r="B35" s="28" t="s">
        <v>137</v>
      </c>
      <c r="C35" s="23"/>
      <c r="D35" s="23"/>
      <c r="E35" s="23"/>
      <c r="F35" s="32"/>
      <c r="G35" s="116">
        <f>SUM(G29:G34)</f>
        <v>4677284</v>
      </c>
      <c r="H35" s="29"/>
      <c r="I35" s="116">
        <f>SUM(I29:I34)</f>
        <v>4731587</v>
      </c>
      <c r="J35" s="40"/>
      <c r="K35" s="40"/>
      <c r="L35" s="116">
        <f>SUM(L29:L34)</f>
        <v>4215332</v>
      </c>
      <c r="M35" s="129"/>
      <c r="N35" s="116">
        <f>SUM(N29:N34)</f>
        <v>4771.21</v>
      </c>
      <c r="O35" s="40"/>
      <c r="P35" s="116">
        <f>SUM(P29:P34)</f>
        <v>50542.79</v>
      </c>
      <c r="Q35" s="40"/>
      <c r="R35" s="116">
        <f>SUM(R29:R34)</f>
        <v>19769.11</v>
      </c>
      <c r="S35" s="40"/>
      <c r="T35" s="116">
        <f>SUM(T29:T34)</f>
        <v>269838.32</v>
      </c>
      <c r="U35" s="120"/>
      <c r="V35" s="116">
        <f>SUM(V29:V34)</f>
        <v>24134.440000000002</v>
      </c>
      <c r="W35" s="40"/>
      <c r="X35" s="116">
        <f>SUM(X29:X34)</f>
        <v>-405441.62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9400039.6500000004</v>
      </c>
      <c r="H37" s="29"/>
      <c r="I37" s="107">
        <f>+I35+I25+I19+I11</f>
        <v>8170730.6500000004</v>
      </c>
      <c r="J37" s="92"/>
      <c r="K37" s="92"/>
      <c r="L37" s="107">
        <f>+L35+L25+L19+L11</f>
        <v>7812841.6500000004</v>
      </c>
      <c r="M37" s="129"/>
      <c r="N37" s="107">
        <f>+N35+N25+N19+N11</f>
        <v>5034.3999999999996</v>
      </c>
      <c r="O37" s="92"/>
      <c r="P37" s="107">
        <f>+P35+P25+P19+P11</f>
        <v>50542.79</v>
      </c>
      <c r="Q37" s="92"/>
      <c r="R37" s="107">
        <f>+R35+R25+R19+R11</f>
        <v>20513.21</v>
      </c>
      <c r="S37" s="92"/>
      <c r="T37" s="107">
        <f>+T35+T25+T19+T11</f>
        <v>269838.32</v>
      </c>
      <c r="U37" s="120"/>
      <c r="V37" s="107">
        <f>+V35+V25+V19+V11</f>
        <v>25882.410000000003</v>
      </c>
      <c r="W37" s="92"/>
      <c r="X37" s="107">
        <f>+X35+X25+X19+X11</f>
        <v>-405441.62</v>
      </c>
      <c r="Y37" s="120"/>
    </row>
    <row r="38" spans="1:26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 2012 
</oddFoot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B60"/>
  <sheetViews>
    <sheetView showGridLines="0" zoomScaleNormal="100" workbookViewId="0">
      <selection activeCell="N44" sqref="N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26" t="s">
        <v>252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39812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265</v>
      </c>
      <c r="H6" s="102"/>
      <c r="I6" s="80" t="s">
        <v>266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-16157</v>
      </c>
      <c r="H9" s="102"/>
      <c r="I9" s="103">
        <v>427060</v>
      </c>
      <c r="J9" s="92"/>
      <c r="K9" s="92"/>
      <c r="L9" s="103">
        <v>922194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7.8666493173509242E-5</v>
      </c>
      <c r="F10" s="111"/>
      <c r="G10" s="111">
        <v>2686869</v>
      </c>
      <c r="H10" s="102"/>
      <c r="I10" s="111">
        <v>1686022</v>
      </c>
      <c r="J10" s="92"/>
      <c r="K10" s="92"/>
      <c r="L10" s="111">
        <v>683655</v>
      </c>
      <c r="M10" s="92"/>
      <c r="N10" s="56">
        <v>172</v>
      </c>
      <c r="O10" s="92"/>
      <c r="P10" s="72"/>
      <c r="Q10" s="42"/>
      <c r="R10" s="56">
        <f>147.72+333.19+263.19+172</f>
        <v>916.09999999999991</v>
      </c>
      <c r="S10" s="42"/>
      <c r="T10" s="108"/>
      <c r="U10" s="86"/>
      <c r="V10" s="123">
        <f>438+301.98+528.61+479.38+330.85</f>
        <v>2078.8200000000002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2670712</v>
      </c>
      <c r="H11" s="102"/>
      <c r="I11" s="103">
        <f>SUM(I9:I10)</f>
        <v>2113082</v>
      </c>
      <c r="J11" s="92"/>
      <c r="K11" s="92"/>
      <c r="L11" s="103">
        <f>SUM(L9:L10)</f>
        <v>1605849</v>
      </c>
      <c r="M11" s="92"/>
      <c r="N11" s="120">
        <f>SUM(N9:N10)</f>
        <v>172</v>
      </c>
      <c r="O11" s="92"/>
      <c r="P11" s="120">
        <f>SUM(P9:P10)</f>
        <v>0</v>
      </c>
      <c r="Q11" s="85"/>
      <c r="R11" s="120">
        <f>SUM(R9:R10)</f>
        <v>916.09999999999991</v>
      </c>
      <c r="S11" s="85"/>
      <c r="T11" s="120">
        <f>SUM(T9:T10)</f>
        <v>0</v>
      </c>
      <c r="U11" s="120"/>
      <c r="V11" s="120">
        <f>SUM(V9:V10)</f>
        <v>2078.8200000000002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346558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346558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102840</v>
      </c>
      <c r="H29" s="29"/>
      <c r="I29" s="115">
        <v>103807</v>
      </c>
      <c r="J29" s="40"/>
      <c r="K29" s="40"/>
      <c r="L29" s="115">
        <v>101194</v>
      </c>
      <c r="M29" s="129"/>
      <c r="N29" s="115">
        <v>967.82</v>
      </c>
      <c r="O29" s="40" t="s">
        <v>31</v>
      </c>
      <c r="P29" s="115">
        <v>944.85</v>
      </c>
      <c r="Q29" s="40"/>
      <c r="R29" s="115">
        <f>286.75+90.69+278+86.71+90.21+967.82</f>
        <v>1800.1800000000003</v>
      </c>
      <c r="S29" s="40" t="s">
        <v>31</v>
      </c>
      <c r="T29" s="115">
        <f>64.9+2026.6+1814-940.15+1011.79+944.85</f>
        <v>4921.99</v>
      </c>
      <c r="U29" s="120"/>
      <c r="V29" s="115">
        <f>171.85+11.02+121.64+114.9+147.43+292.07</f>
        <v>858.90999999999985</v>
      </c>
      <c r="W29" s="40" t="s">
        <v>31</v>
      </c>
      <c r="X29" s="115">
        <f>-2142.16-6592.02+196.48-64.94-279.63+339.21</f>
        <v>-8543.0600000000013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5162266</v>
      </c>
      <c r="H31" s="29"/>
      <c r="I31" s="152">
        <v>5296714</v>
      </c>
      <c r="J31" s="40"/>
      <c r="K31" s="40"/>
      <c r="L31" s="152">
        <v>5115392</v>
      </c>
      <c r="M31" s="129"/>
      <c r="N31" s="38">
        <v>134447</v>
      </c>
      <c r="O31" s="40"/>
      <c r="P31" s="45">
        <v>0</v>
      </c>
      <c r="Q31" s="40"/>
      <c r="R31" s="38">
        <f>1019.02+3879.46+5489+3868.27+4681+134447</f>
        <v>153383.75</v>
      </c>
      <c r="S31" s="40"/>
      <c r="T31" s="45">
        <v>0</v>
      </c>
      <c r="U31" s="93"/>
      <c r="V31" s="38">
        <f>4101.7+6199.96+5073.04+4354.59+3838.31+82881.27</f>
        <v>106448.87000000001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29558</v>
      </c>
      <c r="H32" s="29"/>
      <c r="I32" s="45">
        <v>10623</v>
      </c>
      <c r="J32" s="40"/>
      <c r="K32" s="40"/>
      <c r="L32" s="45">
        <v>-492965</v>
      </c>
      <c r="M32" s="129"/>
      <c r="N32" s="38"/>
      <c r="O32" s="40"/>
      <c r="P32" s="45">
        <v>-20891</v>
      </c>
      <c r="Q32" s="40"/>
      <c r="R32" s="38"/>
      <c r="S32" s="40"/>
      <c r="T32" s="45">
        <f>26852.38+106328.21+116577-33427.41+49531-20891</f>
        <v>244970.18</v>
      </c>
      <c r="U32" s="119"/>
      <c r="V32" s="38">
        <v>0</v>
      </c>
      <c r="W32" s="40"/>
      <c r="X32" s="45">
        <f>-60004.04-236415.96-367180.49+339341.68-72300.54-138300.46</f>
        <v>-534859.80999999994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4731587</v>
      </c>
      <c r="H35" s="29"/>
      <c r="I35" s="116">
        <f>SUM(I29:I34)</f>
        <v>4848067</v>
      </c>
      <c r="J35" s="40"/>
      <c r="K35" s="40"/>
      <c r="L35" s="116">
        <f>SUM(L29:L34)</f>
        <v>4160544</v>
      </c>
      <c r="M35" s="129"/>
      <c r="N35" s="116">
        <f>SUM(N29:N34)</f>
        <v>135414.82</v>
      </c>
      <c r="O35" s="40"/>
      <c r="P35" s="116">
        <f>SUM(P29:P34)</f>
        <v>-19946.150000000001</v>
      </c>
      <c r="Q35" s="40"/>
      <c r="R35" s="116">
        <f>SUM(R29:R34)</f>
        <v>155183.93</v>
      </c>
      <c r="S35" s="40"/>
      <c r="T35" s="116">
        <f>SUM(T29:T34)</f>
        <v>249892.16999999998</v>
      </c>
      <c r="U35" s="120"/>
      <c r="V35" s="116">
        <f>SUM(V29:V34)</f>
        <v>107307.78000000001</v>
      </c>
      <c r="W35" s="40"/>
      <c r="X35" s="116">
        <f>SUM(X29:X34)</f>
        <v>-543402.87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8170730.6500000004</v>
      </c>
      <c r="H37" s="29"/>
      <c r="I37" s="107">
        <f>+I35+I25+I19+I11</f>
        <v>7729580.6500000004</v>
      </c>
      <c r="J37" s="92"/>
      <c r="K37" s="92"/>
      <c r="L37" s="107">
        <f>+L35+L25+L19+L11</f>
        <v>6881382.6500000004</v>
      </c>
      <c r="M37" s="129"/>
      <c r="N37" s="107">
        <f>+N35+N25+N19+N11</f>
        <v>135586.82</v>
      </c>
      <c r="O37" s="92"/>
      <c r="P37" s="107">
        <f>+P35+P25+P19+P11</f>
        <v>-19946.150000000001</v>
      </c>
      <c r="Q37" s="92"/>
      <c r="R37" s="107">
        <f>+R35+R25+R19+R11</f>
        <v>156100.03</v>
      </c>
      <c r="S37" s="92"/>
      <c r="T37" s="107">
        <f>+T35+T25+T19+T11</f>
        <v>249892.16999999998</v>
      </c>
      <c r="U37" s="120"/>
      <c r="V37" s="107">
        <f>+V35+V25+V19+V11</f>
        <v>109386.60000000002</v>
      </c>
      <c r="W37" s="92"/>
      <c r="X37" s="107">
        <f>+X35+X25+X19+X11</f>
        <v>-543402.87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1622749</v>
      </c>
      <c r="H39" s="162"/>
      <c r="I39" s="164">
        <v>1650457</v>
      </c>
      <c r="J39" s="165"/>
      <c r="K39" s="165"/>
      <c r="L39" s="164">
        <v>1044794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 2012 
</oddFoot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B60"/>
  <sheetViews>
    <sheetView showGridLines="0" zoomScaleNormal="100" workbookViewId="0">
      <selection activeCell="I20" sqref="I2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26" t="s">
        <v>252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39843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268</v>
      </c>
      <c r="H6" s="102"/>
      <c r="I6" s="80" t="s">
        <v>269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427060</v>
      </c>
      <c r="H9" s="102"/>
      <c r="I9" s="103">
        <v>2038515</v>
      </c>
      <c r="J9" s="92"/>
      <c r="K9" s="92"/>
      <c r="L9" s="103">
        <v>2703000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7.7170560349148939E-5</v>
      </c>
      <c r="F10" s="111"/>
      <c r="G10" s="111">
        <v>1686022</v>
      </c>
      <c r="H10" s="102"/>
      <c r="I10" s="111">
        <v>1386134</v>
      </c>
      <c r="J10" s="92"/>
      <c r="K10" s="92"/>
      <c r="L10" s="111">
        <v>683738</v>
      </c>
      <c r="M10" s="92"/>
      <c r="N10" s="56">
        <v>118.54</v>
      </c>
      <c r="O10" s="92"/>
      <c r="P10" s="72"/>
      <c r="Q10" s="42"/>
      <c r="R10" s="56">
        <f>147.72+333.19+263.19+172+118.54</f>
        <v>1034.6399999999999</v>
      </c>
      <c r="S10" s="42"/>
      <c r="T10" s="108"/>
      <c r="U10" s="86"/>
      <c r="V10" s="123">
        <f>438+301.98+528.61+479.38+330.85+89.9</f>
        <v>2168.7200000000003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2113082</v>
      </c>
      <c r="H11" s="102"/>
      <c r="I11" s="103">
        <f>SUM(I9:I10)</f>
        <v>3424649</v>
      </c>
      <c r="J11" s="92"/>
      <c r="K11" s="92"/>
      <c r="L11" s="103">
        <f>SUM(L9:L10)</f>
        <v>3386738</v>
      </c>
      <c r="M11" s="92"/>
      <c r="N11" s="120">
        <f>SUM(N9:N10)</f>
        <v>118.54</v>
      </c>
      <c r="O11" s="92"/>
      <c r="P11" s="120">
        <f>SUM(P9:P10)</f>
        <v>0</v>
      </c>
      <c r="Q11" s="85"/>
      <c r="R11" s="120">
        <f>SUM(R9:R10)</f>
        <v>1034.6399999999999</v>
      </c>
      <c r="S11" s="85"/>
      <c r="T11" s="120">
        <f>SUM(T9:T10)</f>
        <v>0</v>
      </c>
      <c r="U11" s="120"/>
      <c r="V11" s="120">
        <f>SUM(V9:V10)</f>
        <v>2168.7200000000003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312966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312966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103807</v>
      </c>
      <c r="H29" s="29"/>
      <c r="I29" s="115">
        <v>103861</v>
      </c>
      <c r="J29" s="40"/>
      <c r="K29" s="40"/>
      <c r="L29" s="115">
        <v>101231</v>
      </c>
      <c r="M29" s="129"/>
      <c r="N29" s="115">
        <v>54</v>
      </c>
      <c r="O29" s="40" t="s">
        <v>31</v>
      </c>
      <c r="P29" s="115">
        <v>4327.01</v>
      </c>
      <c r="Q29" s="40"/>
      <c r="R29" s="115">
        <f>286.75+90.69+278+86.71+90.21+967.82+54</f>
        <v>1854.1800000000003</v>
      </c>
      <c r="S29" s="40" t="s">
        <v>31</v>
      </c>
      <c r="T29" s="115">
        <f>64.9+2026.6+1814-940.15+1011.79+944.85+4327</f>
        <v>9248.99</v>
      </c>
      <c r="U29" s="120"/>
      <c r="V29" s="115">
        <f>171.85+11.02+121.64+114.9+147.43+292.07+36.7</f>
        <v>895.6099999999999</v>
      </c>
      <c r="W29" s="40" t="s">
        <v>31</v>
      </c>
      <c r="X29" s="115">
        <f>-2142.16-6592.02+196.48-64.94-279.63+339.21+27.85</f>
        <v>-8515.2100000000009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5296714</v>
      </c>
      <c r="H31" s="29"/>
      <c r="I31" s="152">
        <v>5304501</v>
      </c>
      <c r="J31" s="40"/>
      <c r="K31" s="40"/>
      <c r="L31" s="152">
        <v>5119772</v>
      </c>
      <c r="M31" s="129"/>
      <c r="N31" s="38">
        <v>7787</v>
      </c>
      <c r="O31" s="40"/>
      <c r="P31" s="45">
        <v>0</v>
      </c>
      <c r="Q31" s="40"/>
      <c r="R31" s="38">
        <f>1019.02+3879.46+5489+3868.27+4681+134447+7787</f>
        <v>161170.75</v>
      </c>
      <c r="S31" s="40"/>
      <c r="T31" s="45">
        <v>0</v>
      </c>
      <c r="U31" s="93"/>
      <c r="V31" s="38">
        <f>4101.7+6199.96+5073.04+4354.59+3838.31+82881.27+4379.8</f>
        <v>110828.67000000001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10623</v>
      </c>
      <c r="H32" s="29"/>
      <c r="I32" s="45">
        <v>160064</v>
      </c>
      <c r="J32" s="40"/>
      <c r="K32" s="40"/>
      <c r="L32" s="45">
        <v>-244216</v>
      </c>
      <c r="M32" s="129"/>
      <c r="N32" s="38"/>
      <c r="O32" s="40"/>
      <c r="P32" s="45">
        <v>145114</v>
      </c>
      <c r="Q32" s="40"/>
      <c r="R32" s="38"/>
      <c r="S32" s="40"/>
      <c r="T32" s="45">
        <f>26852.38+106328.21+116577-33427.41+49531-20891+145114</f>
        <v>390084.18</v>
      </c>
      <c r="U32" s="119"/>
      <c r="V32" s="38">
        <v>0</v>
      </c>
      <c r="W32" s="40"/>
      <c r="X32" s="45">
        <f>-60004.04-236415.96-367180.49+339341.68-72300.54-138300.46+248722.08</f>
        <v>-286137.73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4848067</v>
      </c>
      <c r="H35" s="29"/>
      <c r="I35" s="116">
        <f>SUM(I29:I34)</f>
        <v>5005349</v>
      </c>
      <c r="J35" s="40"/>
      <c r="K35" s="40"/>
      <c r="L35" s="116">
        <f>SUM(L29:L34)</f>
        <v>4413710</v>
      </c>
      <c r="M35" s="129"/>
      <c r="N35" s="116">
        <f>SUM(N29:N34)</f>
        <v>7841</v>
      </c>
      <c r="O35" s="40"/>
      <c r="P35" s="116">
        <f>SUM(P29:P34)</f>
        <v>149441.01</v>
      </c>
      <c r="Q35" s="40"/>
      <c r="R35" s="116">
        <f>SUM(R29:R34)</f>
        <v>163024.93</v>
      </c>
      <c r="S35" s="40"/>
      <c r="T35" s="116">
        <f>SUM(T29:T34)</f>
        <v>399333.17</v>
      </c>
      <c r="U35" s="120"/>
      <c r="V35" s="116">
        <f>SUM(V29:V34)</f>
        <v>111724.28000000001</v>
      </c>
      <c r="W35" s="40"/>
      <c r="X35" s="116">
        <f>SUM(X29:X34)</f>
        <v>-294652.94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7729580.6500000004</v>
      </c>
      <c r="H37" s="29"/>
      <c r="I37" s="107">
        <f>+I35+I25+I19+I11</f>
        <v>9198429.6500000004</v>
      </c>
      <c r="J37" s="92"/>
      <c r="K37" s="92"/>
      <c r="L37" s="107">
        <f>+L35+L25+L19+L11</f>
        <v>8881845.6500000004</v>
      </c>
      <c r="M37" s="129"/>
      <c r="N37" s="107">
        <f>+N35+N25+N19+N11</f>
        <v>7959.54</v>
      </c>
      <c r="O37" s="92"/>
      <c r="P37" s="107">
        <f>+P35+P25+P19+P11</f>
        <v>149441.01</v>
      </c>
      <c r="Q37" s="92"/>
      <c r="R37" s="107">
        <f>+R35+R25+R19+R11</f>
        <v>164059.57</v>
      </c>
      <c r="S37" s="92"/>
      <c r="T37" s="107">
        <f>+T35+T25+T19+T11</f>
        <v>399333.17</v>
      </c>
      <c r="U37" s="120"/>
      <c r="V37" s="107">
        <f>+V35+V25+V19+V11</f>
        <v>113893.00000000001</v>
      </c>
      <c r="W37" s="92"/>
      <c r="X37" s="107">
        <f>+X35+X25+X19+X11</f>
        <v>-294652.94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1650457</v>
      </c>
      <c r="H39" s="162"/>
      <c r="I39" s="164">
        <v>1690051</v>
      </c>
      <c r="J39" s="165"/>
      <c r="K39" s="165"/>
      <c r="L39" s="164">
        <v>1088867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2013 
</oddFoot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B60"/>
  <sheetViews>
    <sheetView showGridLines="0" zoomScaleNormal="100" workbookViewId="0">
      <selection activeCell="A36" sqref="A3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26" t="s">
        <v>252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39871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270</v>
      </c>
      <c r="H6" s="102"/>
      <c r="I6" s="80" t="s">
        <v>271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2038515</v>
      </c>
      <c r="H9" s="102"/>
      <c r="I9" s="103">
        <v>643591</v>
      </c>
      <c r="J9" s="92"/>
      <c r="K9" s="92"/>
      <c r="L9" s="103">
        <v>1172036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9.4535691283913374E-5</v>
      </c>
      <c r="F10" s="111"/>
      <c r="G10" s="111">
        <v>1386134</v>
      </c>
      <c r="H10" s="102"/>
      <c r="I10" s="111">
        <v>3416285</v>
      </c>
      <c r="J10" s="92"/>
      <c r="K10" s="92"/>
      <c r="L10" s="111">
        <v>2683969</v>
      </c>
      <c r="M10" s="92"/>
      <c r="N10" s="56">
        <v>227</v>
      </c>
      <c r="O10" s="92"/>
      <c r="P10" s="72"/>
      <c r="Q10" s="42"/>
      <c r="R10" s="56">
        <f>147.72+333.19+263.19+172+118.54+227</f>
        <v>1261.6399999999999</v>
      </c>
      <c r="S10" s="42"/>
      <c r="T10" s="108"/>
      <c r="U10" s="86"/>
      <c r="V10" s="123">
        <f>438+301.98+528.61+479.38+330.85+89.9+237.66</f>
        <v>2406.38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3424649</v>
      </c>
      <c r="H11" s="102"/>
      <c r="I11" s="103">
        <f>SUM(I9:I10)</f>
        <v>4059876</v>
      </c>
      <c r="J11" s="92"/>
      <c r="K11" s="92"/>
      <c r="L11" s="103">
        <f>SUM(L9:L10)</f>
        <v>3856005</v>
      </c>
      <c r="M11" s="92"/>
      <c r="N11" s="120">
        <f>SUM(N9:N10)</f>
        <v>227</v>
      </c>
      <c r="O11" s="92"/>
      <c r="P11" s="120">
        <f>SUM(P9:P10)</f>
        <v>0</v>
      </c>
      <c r="Q11" s="85"/>
      <c r="R11" s="120">
        <f>SUM(R9:R10)</f>
        <v>1261.6399999999999</v>
      </c>
      <c r="S11" s="85"/>
      <c r="T11" s="120">
        <f>SUM(T9:T10)</f>
        <v>0</v>
      </c>
      <c r="U11" s="120"/>
      <c r="V11" s="120">
        <f>SUM(V9:V10)</f>
        <v>2406.38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279375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279375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103861</v>
      </c>
      <c r="H29" s="29"/>
      <c r="I29" s="115">
        <v>104004</v>
      </c>
      <c r="J29" s="40"/>
      <c r="K29" s="40"/>
      <c r="L29" s="115">
        <v>101299</v>
      </c>
      <c r="M29" s="129"/>
      <c r="N29" s="115">
        <v>143</v>
      </c>
      <c r="O29" s="40" t="s">
        <v>31</v>
      </c>
      <c r="P29" s="115">
        <v>1514</v>
      </c>
      <c r="Q29" s="40"/>
      <c r="R29" s="115">
        <f>286.75+90.69+278+86.71+90.21+967.82+54+143</f>
        <v>1997.1800000000003</v>
      </c>
      <c r="S29" s="40" t="s">
        <v>31</v>
      </c>
      <c r="T29" s="115">
        <f>64.9+2026.6+1814-940.15+1011.79+944.85+4327+1514</f>
        <v>10762.99</v>
      </c>
      <c r="U29" s="120"/>
      <c r="V29" s="115">
        <f>171.85+11.02+121.64+114.9+147.43+292.07+36.7+68.05</f>
        <v>963.65999999999985</v>
      </c>
      <c r="W29" s="40" t="s">
        <v>31</v>
      </c>
      <c r="X29" s="115">
        <f>-2142.16-6592.02+196.48-64.94-279.63+339.21+27.85+2588.36</f>
        <v>-5926.85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5304501</v>
      </c>
      <c r="H31" s="29"/>
      <c r="I31" s="152">
        <v>5307742</v>
      </c>
      <c r="J31" s="40"/>
      <c r="K31" s="40"/>
      <c r="L31" s="152">
        <v>5123640</v>
      </c>
      <c r="M31" s="129"/>
      <c r="N31" s="38">
        <v>3242</v>
      </c>
      <c r="O31" s="40"/>
      <c r="P31" s="45">
        <v>0</v>
      </c>
      <c r="Q31" s="40"/>
      <c r="R31" s="38">
        <f>1019.02+3879.46+5489+3868.27+4681+134447+7787+3242</f>
        <v>164412.75</v>
      </c>
      <c r="S31" s="40"/>
      <c r="T31" s="45">
        <v>0</v>
      </c>
      <c r="U31" s="93"/>
      <c r="V31" s="38">
        <f>4101.7+6199.96+5073.04+4354.59+3838.31+82881.27+4379.8+3868</f>
        <v>114696.67000000001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160064</v>
      </c>
      <c r="H32" s="29"/>
      <c r="I32" s="45">
        <v>161579</v>
      </c>
      <c r="J32" s="40"/>
      <c r="K32" s="40"/>
      <c r="L32" s="45">
        <v>-59699</v>
      </c>
      <c r="M32" s="129"/>
      <c r="N32" s="38"/>
      <c r="O32" s="40"/>
      <c r="P32" s="45">
        <v>29931</v>
      </c>
      <c r="Q32" s="40"/>
      <c r="R32" s="38"/>
      <c r="S32" s="40"/>
      <c r="T32" s="45">
        <f>26852.38+106328.21+116577-33427.41+49531-20891+145114+29931</f>
        <v>420015.18</v>
      </c>
      <c r="U32" s="119"/>
      <c r="V32" s="38">
        <v>0</v>
      </c>
      <c r="W32" s="40"/>
      <c r="X32" s="45">
        <f>-60004.04-236415.96-367180.49+339341.68-72300.54-138300.46+248722.08+181928.36</f>
        <v>-104209.37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5005349</v>
      </c>
      <c r="H35" s="29"/>
      <c r="I35" s="116">
        <f>SUM(I29:I34)</f>
        <v>5010248</v>
      </c>
      <c r="J35" s="40"/>
      <c r="K35" s="40"/>
      <c r="L35" s="116">
        <f>SUM(L29:L34)</f>
        <v>4602163</v>
      </c>
      <c r="M35" s="129"/>
      <c r="N35" s="116">
        <f>SUM(N29:N34)</f>
        <v>3385</v>
      </c>
      <c r="O35" s="40"/>
      <c r="P35" s="116">
        <f>SUM(P29:P34)</f>
        <v>31445</v>
      </c>
      <c r="Q35" s="40"/>
      <c r="R35" s="116">
        <f>SUM(R29:R34)</f>
        <v>166409.93</v>
      </c>
      <c r="S35" s="40"/>
      <c r="T35" s="116">
        <f>SUM(T29:T34)</f>
        <v>430778.17</v>
      </c>
      <c r="U35" s="120"/>
      <c r="V35" s="116">
        <f>SUM(V29:V34)</f>
        <v>115660.33000000002</v>
      </c>
      <c r="W35" s="40"/>
      <c r="X35" s="116">
        <f>SUM(X29:X34)</f>
        <v>-110136.22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9198429.6500000004</v>
      </c>
      <c r="H37" s="29"/>
      <c r="I37" s="107">
        <f>+I35+I25+I19+I11</f>
        <v>9838555.6500000004</v>
      </c>
      <c r="J37" s="92"/>
      <c r="K37" s="92"/>
      <c r="L37" s="107">
        <f>+L35+L25+L19+L11</f>
        <v>9505974.6500000004</v>
      </c>
      <c r="M37" s="129"/>
      <c r="N37" s="107">
        <f>+N35+N25+N19+N11</f>
        <v>3612</v>
      </c>
      <c r="O37" s="92"/>
      <c r="P37" s="107">
        <f>+P35+P25+P19+P11</f>
        <v>31445</v>
      </c>
      <c r="Q37" s="92"/>
      <c r="R37" s="107">
        <f>+R35+R25+R19+R11</f>
        <v>167671.57</v>
      </c>
      <c r="S37" s="92"/>
      <c r="T37" s="107">
        <f>+T35+T25+T19+T11</f>
        <v>430778.17</v>
      </c>
      <c r="U37" s="120"/>
      <c r="V37" s="107">
        <f>+V35+V25+V19+V11</f>
        <v>118066.71000000002</v>
      </c>
      <c r="W37" s="92"/>
      <c r="X37" s="107">
        <f>+X35+X25+X19+X11</f>
        <v>-110136.22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1690051</v>
      </c>
      <c r="H39" s="167"/>
      <c r="I39" s="169">
        <v>1682073</v>
      </c>
      <c r="J39" s="170"/>
      <c r="K39" s="170"/>
      <c r="L39" s="169">
        <v>1088667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2013 
</oddFoot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26" t="s">
        <v>252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39902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277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643591</v>
      </c>
      <c r="H9" s="102"/>
      <c r="I9" s="103">
        <v>381941</v>
      </c>
      <c r="J9" s="92"/>
      <c r="K9" s="92"/>
      <c r="L9" s="103">
        <v>931052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7.9083908467872749E-5</v>
      </c>
      <c r="F10" s="111"/>
      <c r="G10" s="111">
        <v>3416285</v>
      </c>
      <c r="H10" s="102"/>
      <c r="I10" s="111">
        <v>3386616</v>
      </c>
      <c r="J10" s="92"/>
      <c r="K10" s="92"/>
      <c r="L10" s="111">
        <v>2184276</v>
      </c>
      <c r="M10" s="92"/>
      <c r="N10" s="56">
        <v>269</v>
      </c>
      <c r="O10" s="92"/>
      <c r="P10" s="72"/>
      <c r="Q10" s="42"/>
      <c r="R10" s="56">
        <f>147.72+333.19+263.19+172+118.54+227+269</f>
        <v>1530.6399999999999</v>
      </c>
      <c r="S10" s="42"/>
      <c r="T10" s="108"/>
      <c r="U10" s="86"/>
      <c r="V10" s="123">
        <f>438+301.98+528.61+479.38+330.85+89.9+237.66+314.46</f>
        <v>2720.84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4059876</v>
      </c>
      <c r="H11" s="102"/>
      <c r="I11" s="103">
        <f>SUM(I9:I10)</f>
        <v>3768557</v>
      </c>
      <c r="J11" s="92"/>
      <c r="K11" s="92"/>
      <c r="L11" s="103">
        <f>SUM(L9:L10)</f>
        <v>3115328</v>
      </c>
      <c r="M11" s="92"/>
      <c r="N11" s="120">
        <f>SUM(N9:N10)</f>
        <v>269</v>
      </c>
      <c r="O11" s="92"/>
      <c r="P11" s="120">
        <f>SUM(P9:P10)</f>
        <v>0</v>
      </c>
      <c r="Q11" s="85"/>
      <c r="R11" s="120">
        <f>SUM(R9:R10)</f>
        <v>1530.6399999999999</v>
      </c>
      <c r="S11" s="85"/>
      <c r="T11" s="120">
        <f>SUM(T9:T10)</f>
        <v>0</v>
      </c>
      <c r="U11" s="120"/>
      <c r="V11" s="120">
        <f>SUM(V9:V10)</f>
        <v>2720.84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245784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245784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104004</v>
      </c>
      <c r="H29" s="29"/>
      <c r="I29" s="115">
        <v>104150</v>
      </c>
      <c r="J29" s="40"/>
      <c r="K29" s="40"/>
      <c r="L29" s="115">
        <v>101512</v>
      </c>
      <c r="M29" s="129"/>
      <c r="N29" s="115">
        <v>145.97</v>
      </c>
      <c r="O29" s="40" t="s">
        <v>31</v>
      </c>
      <c r="P29" s="115">
        <v>3299.08</v>
      </c>
      <c r="Q29" s="40"/>
      <c r="R29" s="115">
        <f>286.75+90.69+278+86.71+90.21+967.82+54+143+145.97</f>
        <v>2143.15</v>
      </c>
      <c r="S29" s="40" t="s">
        <v>31</v>
      </c>
      <c r="T29" s="115">
        <f>64.9+2026.6+1814-940.15+1011.79+944.85+4327+1514+3299.08</f>
        <v>14062.07</v>
      </c>
      <c r="U29" s="120"/>
      <c r="V29" s="115">
        <f>171.85+11.02+121.64+114.9+147.43+292.07+36.7+68.05+213.05</f>
        <v>1176.7099999999998</v>
      </c>
      <c r="W29" s="40" t="s">
        <v>31</v>
      </c>
      <c r="X29" s="115">
        <f>-2142.16-6592.02+196.48-64.94-279.63+339.21+27.85+2588.36+1005</f>
        <v>-4921.8500000000004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5307742</v>
      </c>
      <c r="H31" s="29"/>
      <c r="I31" s="152">
        <v>5312268</v>
      </c>
      <c r="J31" s="40"/>
      <c r="K31" s="40"/>
      <c r="L31" s="152">
        <v>5128668</v>
      </c>
      <c r="M31" s="129"/>
      <c r="N31" s="38">
        <v>4525</v>
      </c>
      <c r="O31" s="40"/>
      <c r="P31" s="45">
        <v>0</v>
      </c>
      <c r="Q31" s="40"/>
      <c r="R31" s="38">
        <f>1019.02+3879.46+5489+3868.27+4681+134447+7787+3242+4525</f>
        <v>168937.75</v>
      </c>
      <c r="S31" s="40"/>
      <c r="T31" s="45">
        <v>0</v>
      </c>
      <c r="U31" s="93"/>
      <c r="V31" s="38">
        <f>4101.7+6199.96+5073.04+4354.59+3838.31+82881.27+4379.8+3868+5028</f>
        <v>119724.67000000001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161579</v>
      </c>
      <c r="H32" s="29"/>
      <c r="I32" s="45">
        <v>265633</v>
      </c>
      <c r="J32" s="40"/>
      <c r="K32" s="40"/>
      <c r="L32" s="45">
        <v>-37958</v>
      </c>
      <c r="M32" s="129"/>
      <c r="N32" s="38"/>
      <c r="O32" s="40"/>
      <c r="P32" s="45">
        <v>70824.39</v>
      </c>
      <c r="Q32" s="40"/>
      <c r="R32" s="38"/>
      <c r="S32" s="40"/>
      <c r="T32" s="45">
        <f>26852.38+106328.21+116577-33427.41+49531-20891+145114+29931+70824.39</f>
        <v>490839.57</v>
      </c>
      <c r="U32" s="119"/>
      <c r="V32" s="38">
        <v>0</v>
      </c>
      <c r="W32" s="40"/>
      <c r="X32" s="45">
        <f>-60004.04-236415.96-367180.49+339341.68-72300.54-138300.46+248722.08+181928.36+20735.87</f>
        <v>-83473.5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5010248</v>
      </c>
      <c r="H35" s="29"/>
      <c r="I35" s="116">
        <f>SUM(I29:I34)</f>
        <v>5118974</v>
      </c>
      <c r="J35" s="40"/>
      <c r="K35" s="40"/>
      <c r="L35" s="116">
        <f>SUM(L29:L34)</f>
        <v>4629145</v>
      </c>
      <c r="M35" s="129"/>
      <c r="N35" s="116">
        <f>SUM(N29:N34)</f>
        <v>4670.97</v>
      </c>
      <c r="O35" s="40"/>
      <c r="P35" s="116">
        <f>SUM(P29:P34)</f>
        <v>74123.47</v>
      </c>
      <c r="Q35" s="40"/>
      <c r="R35" s="116">
        <f>SUM(R29:R34)</f>
        <v>171080.9</v>
      </c>
      <c r="S35" s="40"/>
      <c r="T35" s="116">
        <f>SUM(T29:T34)</f>
        <v>504901.64</v>
      </c>
      <c r="U35" s="120"/>
      <c r="V35" s="116">
        <f>SUM(V29:V34)</f>
        <v>120901.38000000002</v>
      </c>
      <c r="W35" s="40"/>
      <c r="X35" s="116">
        <f>SUM(X29:X34)</f>
        <v>-88395.35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9838555.6500000004</v>
      </c>
      <c r="H37" s="29"/>
      <c r="I37" s="107">
        <f>+I35+I25+I19+I11</f>
        <v>9655962.6500000004</v>
      </c>
      <c r="J37" s="92"/>
      <c r="K37" s="92"/>
      <c r="L37" s="107">
        <f>+L35+L25+L19+L11</f>
        <v>8758688.6500000004</v>
      </c>
      <c r="M37" s="129"/>
      <c r="N37" s="107">
        <f>+N35+N25+N19+N11</f>
        <v>4939.97</v>
      </c>
      <c r="O37" s="92"/>
      <c r="P37" s="107">
        <f>+P35+P25+P19+P11</f>
        <v>74123.47</v>
      </c>
      <c r="Q37" s="92"/>
      <c r="R37" s="107">
        <f>+R35+R25+R19+R11</f>
        <v>172611.54</v>
      </c>
      <c r="S37" s="92"/>
      <c r="T37" s="107">
        <f>+T35+T25+T19+T11</f>
        <v>504901.64</v>
      </c>
      <c r="U37" s="120"/>
      <c r="V37" s="107">
        <f>+V35+V25+V19+V11</f>
        <v>123622.22000000002</v>
      </c>
      <c r="W37" s="92"/>
      <c r="X37" s="107">
        <f>+X35+X25+X19+X11</f>
        <v>-88395.35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1682073</v>
      </c>
      <c r="H39" s="167"/>
      <c r="I39" s="169">
        <v>1702815.7</v>
      </c>
      <c r="J39" s="170"/>
      <c r="K39" s="170"/>
      <c r="L39" s="169">
        <v>1083277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2013 
</oddFoot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B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26" t="s">
        <v>252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39932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279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381941</v>
      </c>
      <c r="H9" s="102"/>
      <c r="I9" s="103">
        <v>350122</v>
      </c>
      <c r="J9" s="92"/>
      <c r="K9" s="92"/>
      <c r="L9" s="103">
        <v>576754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8.4610001769350066E-5</v>
      </c>
      <c r="F10" s="111"/>
      <c r="G10" s="111">
        <v>3386616</v>
      </c>
      <c r="H10" s="102"/>
      <c r="I10" s="111">
        <v>2886874</v>
      </c>
      <c r="J10" s="92"/>
      <c r="K10" s="92"/>
      <c r="L10" s="111">
        <v>2184541</v>
      </c>
      <c r="M10" s="92"/>
      <c r="N10" s="56">
        <v>265.39999999999998</v>
      </c>
      <c r="O10" s="92"/>
      <c r="P10" s="72"/>
      <c r="Q10" s="42"/>
      <c r="R10" s="56">
        <f>147.72+333.19+263.19+172+118.54+227+269+265.4</f>
        <v>1796.04</v>
      </c>
      <c r="S10" s="42"/>
      <c r="T10" s="108"/>
      <c r="U10" s="86"/>
      <c r="V10" s="123">
        <f>438+301.98+528.61+479.38+330.85+89.9+237.66+314.46+271.09</f>
        <v>2991.9300000000003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3768557</v>
      </c>
      <c r="H11" s="102"/>
      <c r="I11" s="103">
        <f>SUM(I9:I10)</f>
        <v>3236996</v>
      </c>
      <c r="J11" s="92"/>
      <c r="K11" s="92"/>
      <c r="L11" s="103">
        <f>SUM(L9:L10)</f>
        <v>2761295</v>
      </c>
      <c r="M11" s="92"/>
      <c r="N11" s="120">
        <f>SUM(N9:N10)</f>
        <v>265.39999999999998</v>
      </c>
      <c r="O11" s="92"/>
      <c r="P11" s="120">
        <f>SUM(P9:P10)</f>
        <v>0</v>
      </c>
      <c r="Q11" s="85"/>
      <c r="R11" s="120">
        <f>SUM(R9:R10)</f>
        <v>1796.04</v>
      </c>
      <c r="S11" s="85"/>
      <c r="T11" s="120">
        <f>SUM(T9:T10)</f>
        <v>0</v>
      </c>
      <c r="U11" s="120"/>
      <c r="V11" s="120">
        <f>SUM(V9:V10)</f>
        <v>2991.9300000000003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104150</v>
      </c>
      <c r="H29" s="29"/>
      <c r="I29" s="115">
        <v>104500</v>
      </c>
      <c r="J29" s="40"/>
      <c r="K29" s="40"/>
      <c r="L29" s="115">
        <v>101650</v>
      </c>
      <c r="M29" s="129"/>
      <c r="N29" s="115">
        <v>349.63</v>
      </c>
      <c r="O29" s="40" t="s">
        <v>31</v>
      </c>
      <c r="P29" s="115">
        <v>1563.36</v>
      </c>
      <c r="Q29" s="40"/>
      <c r="R29" s="115">
        <f>286.75+90.69+278+86.71+90.21+967.82+54+143+145.97+349.63</f>
        <v>2492.7800000000002</v>
      </c>
      <c r="S29" s="40" t="s">
        <v>31</v>
      </c>
      <c r="T29" s="115">
        <f>64.9+2026.6+1814-940.15+1011.79+944.85+4327+1514+3299.08+1563.36</f>
        <v>15625.43</v>
      </c>
      <c r="U29" s="120"/>
      <c r="V29" s="115">
        <f>171.85+11.02+121.64+114.9+147.43+292.07+36.7+68.05+213.05+137.41</f>
        <v>1314.12</v>
      </c>
      <c r="W29" s="40" t="s">
        <v>31</v>
      </c>
      <c r="X29" s="115">
        <f>-2142.16-6592.02+196.48-64.94-279.63+339.21+27.85+2588.36+1005-407.74</f>
        <v>-5329.59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5312268</v>
      </c>
      <c r="H31" s="29"/>
      <c r="I31" s="152">
        <v>5316300</v>
      </c>
      <c r="J31" s="40"/>
      <c r="K31" s="40"/>
      <c r="L31" s="152">
        <v>5133340</v>
      </c>
      <c r="M31" s="129"/>
      <c r="N31" s="38">
        <v>4031.8</v>
      </c>
      <c r="O31" s="40"/>
      <c r="P31" s="45">
        <v>0</v>
      </c>
      <c r="Q31" s="40"/>
      <c r="R31" s="38">
        <f>1019.02+3879.46+5489+3868.27+4681+134447+7787+3242+4525+4031.8</f>
        <v>172969.55</v>
      </c>
      <c r="S31" s="40"/>
      <c r="T31" s="45">
        <v>0</v>
      </c>
      <c r="U31" s="93"/>
      <c r="V31" s="38">
        <f>4101.7+6199.96+5073.04+4354.59+3838.31+82881.27+4379.8+3868+5028+4672.79</f>
        <v>124397.46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265633</v>
      </c>
      <c r="H32" s="29"/>
      <c r="I32" s="45">
        <v>338663</v>
      </c>
      <c r="J32" s="40"/>
      <c r="K32" s="40"/>
      <c r="L32" s="45">
        <v>-65937</v>
      </c>
      <c r="M32" s="129"/>
      <c r="N32" s="38"/>
      <c r="O32" s="40"/>
      <c r="P32" s="45">
        <f>82960.92-11494.39</f>
        <v>71466.53</v>
      </c>
      <c r="Q32" s="40"/>
      <c r="R32" s="38"/>
      <c r="S32" s="40"/>
      <c r="T32" s="45">
        <f>26852.38+106328.21+116577-33427.41+49531-20891+145114+29931+70824.39+82960.92-11494.39</f>
        <v>562306.1</v>
      </c>
      <c r="U32" s="119"/>
      <c r="V32" s="38">
        <v>0</v>
      </c>
      <c r="W32" s="40"/>
      <c r="X32" s="45">
        <f>-60004.04-236415.96-367180.49+339341.68-72300.54-138300.46+248722.08+181928.36+20735.87-27571.71</f>
        <v>-111045.20999999999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5118974</v>
      </c>
      <c r="H35" s="29"/>
      <c r="I35" s="116">
        <f>SUM(I29:I34)</f>
        <v>5196386</v>
      </c>
      <c r="J35" s="40"/>
      <c r="K35" s="40"/>
      <c r="L35" s="116">
        <f>SUM(L29:L34)</f>
        <v>4605976</v>
      </c>
      <c r="M35" s="129"/>
      <c r="N35" s="116">
        <f>SUM(N29:N34)</f>
        <v>4381.43</v>
      </c>
      <c r="O35" s="40"/>
      <c r="P35" s="116">
        <f>SUM(P29:P34)</f>
        <v>73029.89</v>
      </c>
      <c r="Q35" s="40"/>
      <c r="R35" s="116">
        <f>SUM(R29:R34)</f>
        <v>175462.33</v>
      </c>
      <c r="S35" s="40"/>
      <c r="T35" s="116">
        <f>SUM(T29:T34)</f>
        <v>577931.53</v>
      </c>
      <c r="U35" s="120"/>
      <c r="V35" s="116">
        <f>SUM(V29:V34)</f>
        <v>125711.58</v>
      </c>
      <c r="W35" s="40"/>
      <c r="X35" s="116">
        <f>SUM(X29:X34)</f>
        <v>-116374.79999999999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9655962.6500000004</v>
      </c>
      <c r="H37" s="29"/>
      <c r="I37" s="107">
        <f>+I35+I25+I19+I11</f>
        <v>9201813.6500000004</v>
      </c>
      <c r="J37" s="92"/>
      <c r="K37" s="92"/>
      <c r="L37" s="107">
        <f>+L35+L25+L19+L11</f>
        <v>8135702.6500000004</v>
      </c>
      <c r="M37" s="129"/>
      <c r="N37" s="107">
        <f>+N35+N25+N19+N11</f>
        <v>4646.83</v>
      </c>
      <c r="O37" s="92"/>
      <c r="P37" s="107">
        <f>+P35+P25+P19+P11</f>
        <v>73029.89</v>
      </c>
      <c r="Q37" s="92"/>
      <c r="R37" s="107">
        <f>+R35+R25+R19+R11</f>
        <v>177258.37</v>
      </c>
      <c r="S37" s="92"/>
      <c r="T37" s="107">
        <f>+T35+T25+T19+T11</f>
        <v>577931.53</v>
      </c>
      <c r="U37" s="120"/>
      <c r="V37" s="107">
        <f>+V35+V25+V19+V11</f>
        <v>129876.51000000001</v>
      </c>
      <c r="W37" s="92"/>
      <c r="X37" s="107">
        <f>+X35+X25+X19+X11</f>
        <v>-116374.79999999999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1702815.7</v>
      </c>
      <c r="H39" s="167"/>
      <c r="I39" s="169">
        <v>1737729</v>
      </c>
      <c r="J39" s="170"/>
      <c r="K39" s="170"/>
      <c r="L39" s="169">
        <v>1045282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 2013 
</oddFoot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26" t="s">
        <v>252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39962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280</v>
      </c>
      <c r="H6" s="102"/>
      <c r="I6" s="80" t="s">
        <v>281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350122</v>
      </c>
      <c r="H9" s="102"/>
      <c r="I9" s="103">
        <v>736907</v>
      </c>
      <c r="J9" s="92"/>
      <c r="K9" s="92"/>
      <c r="L9" s="103">
        <v>1511953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7.7361443852751597E-5</v>
      </c>
      <c r="F10" s="111"/>
      <c r="G10" s="111">
        <v>2886874</v>
      </c>
      <c r="H10" s="102"/>
      <c r="I10" s="111">
        <v>2387071</v>
      </c>
      <c r="J10" s="92"/>
      <c r="K10" s="92"/>
      <c r="L10" s="111">
        <v>1684732</v>
      </c>
      <c r="M10" s="92"/>
      <c r="N10" s="56">
        <v>204</v>
      </c>
      <c r="O10" s="92"/>
      <c r="P10" s="72"/>
      <c r="Q10" s="42"/>
      <c r="R10" s="56">
        <f>147.72+333.19+263.19+172+118.54+227+269+265.4+204</f>
        <v>2000.04</v>
      </c>
      <c r="S10" s="42"/>
      <c r="T10" s="108"/>
      <c r="U10" s="86"/>
      <c r="V10" s="123">
        <f>438+301.98+528.61+479.38+330.85+89.9+237.66+314.46+271.09+197.99</f>
        <v>3189.92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3236996</v>
      </c>
      <c r="H11" s="102"/>
      <c r="I11" s="103">
        <f>SUM(I9:I10)</f>
        <v>3123978</v>
      </c>
      <c r="J11" s="92"/>
      <c r="K11" s="92"/>
      <c r="L11" s="103">
        <f>SUM(L9:L10)</f>
        <v>3196685</v>
      </c>
      <c r="M11" s="92"/>
      <c r="N11" s="120">
        <f>SUM(N9:N10)</f>
        <v>204</v>
      </c>
      <c r="O11" s="92"/>
      <c r="P11" s="120">
        <f>SUM(P9:P10)</f>
        <v>0</v>
      </c>
      <c r="Q11" s="85"/>
      <c r="R11" s="120">
        <f>SUM(R9:R10)</f>
        <v>2000.04</v>
      </c>
      <c r="S11" s="85"/>
      <c r="T11" s="120">
        <f>SUM(T9:T10)</f>
        <v>0</v>
      </c>
      <c r="U11" s="120"/>
      <c r="V11" s="120">
        <f>SUM(V9:V10)</f>
        <v>3189.92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104500</v>
      </c>
      <c r="H29" s="29"/>
      <c r="I29" s="115">
        <v>104642</v>
      </c>
      <c r="J29" s="40"/>
      <c r="K29" s="40"/>
      <c r="L29" s="115">
        <v>101711</v>
      </c>
      <c r="M29" s="129"/>
      <c r="N29" s="115">
        <v>142.38</v>
      </c>
      <c r="O29" s="40" t="s">
        <v>31</v>
      </c>
      <c r="P29" s="115">
        <v>372.7</v>
      </c>
      <c r="Q29" s="40"/>
      <c r="R29" s="115">
        <f>286.75+90.69+278+86.71+90.21+967.82+54+143+145.97+349.63+142.38</f>
        <v>2635.1600000000003</v>
      </c>
      <c r="S29" s="40" t="s">
        <v>31</v>
      </c>
      <c r="T29" s="115">
        <f>64.9+2026.6+1814-940.15+1011.79+944.85+4327+1514+3299.08+1563.36+372.7</f>
        <v>15998.130000000001</v>
      </c>
      <c r="U29" s="120"/>
      <c r="V29" s="115">
        <f>171.85+11.02+121.64+114.9+147.43+292.07+36.7+68.05+213.05+137.41+61.85</f>
        <v>1375.9699999999998</v>
      </c>
      <c r="W29" s="40" t="s">
        <v>31</v>
      </c>
      <c r="X29" s="115">
        <f>-2142.16-6592.02+196.48-64.94-279.63+339.21+27.85+2588.36+1005-407.74-5881</f>
        <v>-11210.59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5316300</v>
      </c>
      <c r="H31" s="29"/>
      <c r="I31" s="152">
        <v>5320431</v>
      </c>
      <c r="J31" s="40"/>
      <c r="K31" s="40"/>
      <c r="L31" s="152">
        <v>5137516</v>
      </c>
      <c r="M31" s="129"/>
      <c r="N31" s="38">
        <v>4131</v>
      </c>
      <c r="O31" s="40"/>
      <c r="P31" s="45">
        <v>0</v>
      </c>
      <c r="Q31" s="40"/>
      <c r="R31" s="38">
        <f>1019.02+3879.46+5489+3868.27+4681+134447+7787+3242+4525+4031.8+4131</f>
        <v>177100.55</v>
      </c>
      <c r="S31" s="40"/>
      <c r="T31" s="45">
        <v>0</v>
      </c>
      <c r="U31" s="93"/>
      <c r="V31" s="38">
        <f>4101.7+6199.96+5073.04+4354.59+3838.31+82881.27+4379.8+3868+5028+4672.79+4176</f>
        <v>128573.46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338663</v>
      </c>
      <c r="H32" s="29"/>
      <c r="I32" s="45">
        <v>342949</v>
      </c>
      <c r="J32" s="40"/>
      <c r="K32" s="40"/>
      <c r="L32" s="45">
        <v>-389294</v>
      </c>
      <c r="M32" s="129"/>
      <c r="N32" s="38"/>
      <c r="O32" s="40"/>
      <c r="P32" s="45">
        <v>3893</v>
      </c>
      <c r="Q32" s="40"/>
      <c r="R32" s="38"/>
      <c r="S32" s="40"/>
      <c r="T32" s="45">
        <f>26852.38+106328.21+116577-33427.41+49531-20891+145114+29931+70824.39+82960.92-11494.39+3893</f>
        <v>566199.1</v>
      </c>
      <c r="U32" s="119"/>
      <c r="V32" s="38">
        <v>0</v>
      </c>
      <c r="W32" s="40"/>
      <c r="X32" s="45">
        <f>-60004.04-236415.96-367180.49+339341.68-72300.54-138300.46+248722.08+181928.36+20735.87-27571.71-317476.44</f>
        <v>-428521.65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5196386</v>
      </c>
      <c r="H35" s="29"/>
      <c r="I35" s="116">
        <f>SUM(I29:I34)</f>
        <v>5204945</v>
      </c>
      <c r="J35" s="40"/>
      <c r="K35" s="40"/>
      <c r="L35" s="116">
        <f>SUM(L29:L34)</f>
        <v>4286856</v>
      </c>
      <c r="M35" s="129"/>
      <c r="N35" s="116">
        <f>SUM(N29:N34)</f>
        <v>4273.38</v>
      </c>
      <c r="O35" s="40"/>
      <c r="P35" s="116">
        <f>SUM(P29:P34)</f>
        <v>4265.7</v>
      </c>
      <c r="Q35" s="40"/>
      <c r="R35" s="116">
        <f>SUM(R29:R34)</f>
        <v>179735.71</v>
      </c>
      <c r="S35" s="40"/>
      <c r="T35" s="116">
        <f>SUM(T29:T34)</f>
        <v>582197.23</v>
      </c>
      <c r="U35" s="120"/>
      <c r="V35" s="116">
        <f>SUM(V29:V34)</f>
        <v>129949.43000000001</v>
      </c>
      <c r="W35" s="40"/>
      <c r="X35" s="116">
        <f>SUM(X29:X34)</f>
        <v>-439732.24000000005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9201813.6500000004</v>
      </c>
      <c r="H37" s="29"/>
      <c r="I37" s="107">
        <f>+I35+I25+I19+I11</f>
        <v>9097354.6500000004</v>
      </c>
      <c r="J37" s="92"/>
      <c r="K37" s="92"/>
      <c r="L37" s="107">
        <f>+L35+L25+L19+L11</f>
        <v>8251972.6500000004</v>
      </c>
      <c r="M37" s="129"/>
      <c r="N37" s="107">
        <f>+N35+N25+N19+N11</f>
        <v>4477.38</v>
      </c>
      <c r="O37" s="92"/>
      <c r="P37" s="107">
        <f>+P35+P25+P19+P11</f>
        <v>4265.7</v>
      </c>
      <c r="Q37" s="92"/>
      <c r="R37" s="107">
        <f>+R35+R25+R19+R11</f>
        <v>181735.75</v>
      </c>
      <c r="S37" s="92"/>
      <c r="T37" s="107">
        <f>+T35+T25+T19+T11</f>
        <v>582197.23</v>
      </c>
      <c r="U37" s="120"/>
      <c r="V37" s="107">
        <f>+V35+V25+V19+V11</f>
        <v>134312.35</v>
      </c>
      <c r="W37" s="92"/>
      <c r="X37" s="107">
        <f>+X35+X25+X19+X11</f>
        <v>-439732.24000000005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1737729</v>
      </c>
      <c r="H39" s="29"/>
      <c r="I39" s="120">
        <v>1720896</v>
      </c>
      <c r="J39" s="92"/>
      <c r="K39" s="92"/>
      <c r="L39" s="120">
        <v>1053989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Mayl 2013 
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37710</v>
      </c>
      <c r="I7" s="4"/>
      <c r="J7" s="18">
        <v>37682</v>
      </c>
      <c r="K7" s="4"/>
      <c r="L7" s="18">
        <v>37339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3882</v>
      </c>
      <c r="Q11" s="13"/>
      <c r="R11" s="12">
        <v>2988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125782</v>
      </c>
      <c r="I14" s="13"/>
      <c r="J14" s="12">
        <v>125332</v>
      </c>
      <c r="K14" s="13"/>
      <c r="L14" s="12">
        <v>126583</v>
      </c>
      <c r="M14" s="13"/>
      <c r="N14" s="12">
        <v>450</v>
      </c>
      <c r="O14" s="13"/>
      <c r="P14" s="12">
        <v>4659</v>
      </c>
      <c r="Q14" s="13"/>
      <c r="R14" s="12">
        <v>3563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73036</v>
      </c>
      <c r="I15" s="13"/>
      <c r="J15" s="15">
        <v>72576</v>
      </c>
      <c r="K15" s="13"/>
      <c r="L15" s="15">
        <v>69284</v>
      </c>
      <c r="M15" s="13"/>
      <c r="N15" s="15">
        <v>460</v>
      </c>
      <c r="O15" s="13"/>
      <c r="P15" s="15">
        <v>2583</v>
      </c>
      <c r="Q15" s="13"/>
      <c r="R15" s="15">
        <v>1513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761895</v>
      </c>
      <c r="I17" s="13"/>
      <c r="J17" s="16">
        <f>SUM(J11:J15)</f>
        <v>760985</v>
      </c>
      <c r="K17" s="13"/>
      <c r="L17" s="16">
        <f>SUM(L11:L15)</f>
        <v>758944</v>
      </c>
      <c r="M17" s="13"/>
      <c r="N17" s="16">
        <f>SUM(N11:N15)</f>
        <v>1342</v>
      </c>
      <c r="O17" s="13"/>
      <c r="P17" s="16">
        <f>SUM(P11:P15)</f>
        <v>11124</v>
      </c>
      <c r="Q17" s="13"/>
      <c r="R17" s="16">
        <f>SUM(R11:R15)</f>
        <v>8064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4.74</v>
      </c>
      <c r="G24" s="7"/>
      <c r="H24" s="15">
        <v>420061</v>
      </c>
      <c r="I24" s="13"/>
      <c r="J24" s="15">
        <v>418287</v>
      </c>
      <c r="K24" s="15">
        <v>425705</v>
      </c>
      <c r="L24" s="15">
        <v>433877</v>
      </c>
      <c r="M24" s="13"/>
      <c r="N24" s="15">
        <v>2305</v>
      </c>
      <c r="O24" s="13"/>
      <c r="P24" s="15">
        <v>19510</v>
      </c>
      <c r="Q24" s="13"/>
      <c r="R24" s="15">
        <v>13023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420061</v>
      </c>
      <c r="I26" s="13"/>
      <c r="J26" s="16">
        <f>SUM(J23:J24)</f>
        <v>418287</v>
      </c>
      <c r="K26" s="13"/>
      <c r="L26" s="16">
        <f>SUM(L23:L24)</f>
        <v>433877</v>
      </c>
      <c r="M26" s="13"/>
      <c r="N26" s="16">
        <f>SUM(N23:N24)</f>
        <v>2305</v>
      </c>
      <c r="O26" s="13"/>
      <c r="P26" s="16">
        <f>SUM(P23:P24)</f>
        <v>19510</v>
      </c>
      <c r="Q26" s="13"/>
      <c r="R26" s="16">
        <f>SUM(R23:R24)</f>
        <v>13023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4.49</v>
      </c>
      <c r="G32" s="7"/>
      <c r="H32" s="12">
        <v>1306619</v>
      </c>
      <c r="I32" s="13"/>
      <c r="J32" s="12">
        <v>1301063</v>
      </c>
      <c r="K32" s="13"/>
      <c r="L32" s="12">
        <v>1301551</v>
      </c>
      <c r="M32" s="13"/>
      <c r="N32" s="12">
        <v>5557</v>
      </c>
      <c r="O32" s="13" t="s">
        <v>31</v>
      </c>
      <c r="P32" s="12">
        <v>49184</v>
      </c>
      <c r="Q32" s="13"/>
      <c r="R32" s="12">
        <v>40211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5007</v>
      </c>
      <c r="I34" s="13"/>
      <c r="J34" s="12">
        <v>4977</v>
      </c>
      <c r="K34" s="13"/>
      <c r="L34" s="12">
        <v>4783</v>
      </c>
      <c r="M34" s="13"/>
      <c r="N34" s="12">
        <v>10</v>
      </c>
      <c r="O34" s="13"/>
      <c r="P34" s="12">
        <v>166</v>
      </c>
      <c r="Q34" s="13"/>
      <c r="R34" s="12">
        <v>113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8454886</v>
      </c>
      <c r="I35" s="13"/>
      <c r="J35" s="15">
        <v>9414390</v>
      </c>
      <c r="K35" s="13"/>
      <c r="L35" s="15">
        <v>6550778</v>
      </c>
      <c r="M35" s="13"/>
      <c r="N35" s="15">
        <v>40063</v>
      </c>
      <c r="O35" s="13"/>
      <c r="P35" s="15">
        <v>314607</v>
      </c>
      <c r="Q35" s="13"/>
      <c r="R35" s="15">
        <v>202982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9775136</v>
      </c>
      <c r="I37" s="13"/>
      <c r="J37" s="16">
        <f>SUM(J32:J35)</f>
        <v>10729054</v>
      </c>
      <c r="K37" s="13"/>
      <c r="L37" s="16">
        <f>SUM(L32:L35)</f>
        <v>7865735</v>
      </c>
      <c r="M37" s="13"/>
      <c r="N37" s="16">
        <f>SUM(N32:N35)</f>
        <v>45630</v>
      </c>
      <c r="O37" s="13"/>
      <c r="P37" s="16">
        <f>SUM(P32:P35)</f>
        <v>363957</v>
      </c>
      <c r="Q37" s="13"/>
      <c r="R37" s="16">
        <f>SUM(R32:R35)</f>
        <v>243306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92D050"/>
    <pageSetUpPr fitToPage="1"/>
  </sheetPr>
  <dimension ref="A1:AB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26" t="s">
        <v>252</v>
      </c>
      <c r="E2" s="426"/>
      <c r="F2" s="426"/>
      <c r="G2" s="426"/>
      <c r="H2" s="426"/>
      <c r="I2" s="426"/>
      <c r="J2" s="426"/>
      <c r="K2" s="426"/>
      <c r="L2" s="426"/>
      <c r="M2" s="431"/>
      <c r="N2" s="426"/>
      <c r="O2" s="426"/>
      <c r="P2" s="426"/>
      <c r="Q2" s="426"/>
      <c r="R2" s="426"/>
      <c r="S2" s="426"/>
      <c r="T2" s="42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39993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282</v>
      </c>
      <c r="H6" s="102"/>
      <c r="I6" s="80" t="s">
        <v>283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736907</v>
      </c>
      <c r="H9" s="102"/>
      <c r="I9" s="172">
        <v>911391</v>
      </c>
      <c r="J9" s="92"/>
      <c r="K9" s="92"/>
      <c r="L9" s="103">
        <v>1181992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7.3804922483105366E-5</v>
      </c>
      <c r="F10" s="111"/>
      <c r="G10" s="111">
        <v>2387071</v>
      </c>
      <c r="H10" s="102"/>
      <c r="I10" s="173">
        <v>1387203</v>
      </c>
      <c r="J10" s="92"/>
      <c r="K10" s="92"/>
      <c r="L10" s="111">
        <v>1684865</v>
      </c>
      <c r="M10" s="92"/>
      <c r="N10" s="56">
        <v>139.28</v>
      </c>
      <c r="O10" s="92"/>
      <c r="P10" s="72"/>
      <c r="Q10" s="42"/>
      <c r="R10" s="56">
        <f>147.72+333.19+263.19+172+118.54+227+269+265.4+204+139.28</f>
        <v>2139.3200000000002</v>
      </c>
      <c r="S10" s="42"/>
      <c r="T10" s="108"/>
      <c r="U10" s="86"/>
      <c r="V10" s="123">
        <f>438+301.98+528.61+479.38+330.85+89.9+237.66+314.46+271.09+197.99+140.31</f>
        <v>3330.23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3123978</v>
      </c>
      <c r="H11" s="102"/>
      <c r="I11" s="172">
        <f>SUM(I9:I10)</f>
        <v>2298594</v>
      </c>
      <c r="J11" s="92"/>
      <c r="K11" s="92"/>
      <c r="L11" s="103">
        <f>SUM(L9:L10)</f>
        <v>2866857</v>
      </c>
      <c r="M11" s="92"/>
      <c r="N11" s="120">
        <f>SUM(N9:N10)</f>
        <v>139.28</v>
      </c>
      <c r="O11" s="92"/>
      <c r="P11" s="120">
        <f>SUM(P9:P10)</f>
        <v>0</v>
      </c>
      <c r="Q11" s="85"/>
      <c r="R11" s="120">
        <f>SUM(R9:R10)</f>
        <v>2139.3200000000002</v>
      </c>
      <c r="S11" s="85"/>
      <c r="T11" s="120">
        <f>SUM(T9:T10)</f>
        <v>0</v>
      </c>
      <c r="U11" s="120"/>
      <c r="V11" s="120">
        <f>SUM(V9:V10)</f>
        <v>3330.23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104642</v>
      </c>
      <c r="H29" s="29"/>
      <c r="I29" s="115">
        <v>104784</v>
      </c>
      <c r="J29" s="40"/>
      <c r="K29" s="40"/>
      <c r="L29" s="115">
        <v>102007</v>
      </c>
      <c r="M29" s="129"/>
      <c r="N29" s="115">
        <v>142.22999999999999</v>
      </c>
      <c r="O29" s="40" t="s">
        <v>31</v>
      </c>
      <c r="P29" s="115">
        <v>-1423.9</v>
      </c>
      <c r="Q29" s="40"/>
      <c r="R29" s="115">
        <f>286.75+90.69+278+86.71+90.21+967.82+54+143+145.97+349.63+142.38+142.23</f>
        <v>2777.3900000000003</v>
      </c>
      <c r="S29" s="40" t="s">
        <v>31</v>
      </c>
      <c r="T29" s="115">
        <f>64.9+2026.6+1814-940.15+1011.79+944.85+4327+1514+3299.08+1563.36+372.7-1423.9</f>
        <v>14574.230000000001</v>
      </c>
      <c r="U29" s="120"/>
      <c r="V29" s="115">
        <f>171.85+11.02+121.64+114.9+147.43+292.07+36.7+68.05+213.05+137.41+61.85+295.83</f>
        <v>1671.7999999999997</v>
      </c>
      <c r="W29" s="40" t="s">
        <v>31</v>
      </c>
      <c r="X29" s="115">
        <f>-2142.16-6592.02+196.48-64.94-279.63+339.21+27.85+2588.36+1005-407.74-5881+2801.72</f>
        <v>-8408.8700000000008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-226917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5320431</v>
      </c>
      <c r="H31" s="29"/>
      <c r="I31" s="152">
        <v>5328668</v>
      </c>
      <c r="J31" s="40"/>
      <c r="K31" s="40"/>
      <c r="L31" s="152">
        <v>5143330</v>
      </c>
      <c r="M31" s="129"/>
      <c r="N31" s="38">
        <v>8237</v>
      </c>
      <c r="O31" s="40"/>
      <c r="P31" s="45">
        <v>0</v>
      </c>
      <c r="Q31" s="40"/>
      <c r="R31" s="38">
        <f>1019.02+3879.46+5489+3868.27+4681+134447+7787+3242+4525+4031.8+4131+8237</f>
        <v>185337.55</v>
      </c>
      <c r="S31" s="40"/>
      <c r="T31" s="45">
        <v>0</v>
      </c>
      <c r="U31" s="93"/>
      <c r="V31" s="38">
        <f>4101.7+6199.96+5073.04+4354.59+3838.31+82881.27+4379.8+3868+5028+4672.79+4176+5813.32</f>
        <v>134386.78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342949</v>
      </c>
      <c r="H32" s="29"/>
      <c r="I32" s="45">
        <v>199037</v>
      </c>
      <c r="J32" s="40"/>
      <c r="K32" s="40"/>
      <c r="L32" s="45">
        <v>-239268</v>
      </c>
      <c r="M32" s="129"/>
      <c r="N32" s="38"/>
      <c r="O32" s="40"/>
      <c r="P32" s="45">
        <v>-142468</v>
      </c>
      <c r="Q32" s="40"/>
      <c r="R32" s="38"/>
      <c r="S32" s="40"/>
      <c r="T32" s="45">
        <f>26852.38+106328.21+116577-33427.41+49531-20891+145114+29931+70824.39+82960.92-11494.39+3893-142468</f>
        <v>423731.1</v>
      </c>
      <c r="U32" s="119"/>
      <c r="V32" s="38">
        <v>0</v>
      </c>
      <c r="W32" s="40"/>
      <c r="X32" s="45">
        <f>-60004.04-236415.96-367180.49+339341.68-72300.54-138300.46+248722.08+181928.36+20735.87-27571.71-317476.44+147225.32</f>
        <v>-281296.33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>
        <v>226917</v>
      </c>
      <c r="W33" s="40"/>
      <c r="X33" s="144">
        <v>58915.68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68220</v>
      </c>
      <c r="W34" s="40"/>
      <c r="X34" s="41">
        <v>-6773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5204945</v>
      </c>
      <c r="H35" s="29"/>
      <c r="I35" s="116">
        <f>SUM(I29:I34)</f>
        <v>5069412</v>
      </c>
      <c r="J35" s="40"/>
      <c r="K35" s="40"/>
      <c r="L35" s="116">
        <f>SUM(L29:L34)</f>
        <v>4442992</v>
      </c>
      <c r="M35" s="129"/>
      <c r="N35" s="116">
        <f>SUM(N29:N34)</f>
        <v>8379.23</v>
      </c>
      <c r="O35" s="40"/>
      <c r="P35" s="116">
        <f>SUM(P29:P34)</f>
        <v>-143891.9</v>
      </c>
      <c r="Q35" s="40"/>
      <c r="R35" s="116">
        <f>SUM(R29:R34)</f>
        <v>188114.94</v>
      </c>
      <c r="S35" s="40"/>
      <c r="T35" s="116">
        <f>SUM(T29:T34)</f>
        <v>438305.32999999996</v>
      </c>
      <c r="U35" s="120"/>
      <c r="V35" s="116">
        <f>SUM(V29:V34)</f>
        <v>204278.58</v>
      </c>
      <c r="W35" s="40"/>
      <c r="X35" s="116">
        <f>SUM(X29:X34)</f>
        <v>-237562.52000000002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9097354.6500000004</v>
      </c>
      <c r="H37" s="29"/>
      <c r="I37" s="107">
        <f>+I35+I25+I19+I11</f>
        <v>8136437.6500000004</v>
      </c>
      <c r="J37" s="92"/>
      <c r="K37" s="92"/>
      <c r="L37" s="107">
        <f>+L35+L25+L19+L11</f>
        <v>8078280.6500000004</v>
      </c>
      <c r="M37" s="129"/>
      <c r="N37" s="107">
        <f>+N35+N25+N19+N11</f>
        <v>8518.51</v>
      </c>
      <c r="O37" s="92"/>
      <c r="P37" s="107">
        <f>+P35+P25+P19+P11</f>
        <v>-143891.9</v>
      </c>
      <c r="Q37" s="92"/>
      <c r="R37" s="107">
        <f>+R35+R25+R19+R11</f>
        <v>190254.26</v>
      </c>
      <c r="S37" s="92"/>
      <c r="T37" s="107">
        <f>+T35+T25+T19+T11</f>
        <v>438305.32999999996</v>
      </c>
      <c r="U37" s="120"/>
      <c r="V37" s="107">
        <f>+V35+V25+V19+V11</f>
        <v>208781.81</v>
      </c>
      <c r="W37" s="92"/>
      <c r="X37" s="107">
        <f>+X35+X25+X19+X11</f>
        <v>-237562.52000000002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1720896</v>
      </c>
      <c r="H39" s="167"/>
      <c r="I39" s="169">
        <v>2185378</v>
      </c>
      <c r="J39" s="170"/>
      <c r="K39" s="170"/>
      <c r="L39" s="169">
        <v>1068220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Pre-Audit 2013 
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35" t="s">
        <v>284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40024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285</v>
      </c>
      <c r="H6" s="102"/>
      <c r="I6" s="80" t="s">
        <v>286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911391</v>
      </c>
      <c r="H9" s="102"/>
      <c r="I9" s="103">
        <v>328605</v>
      </c>
      <c r="J9" s="92"/>
      <c r="K9" s="92"/>
      <c r="L9" s="103">
        <v>506139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9.0105513556374515E-5</v>
      </c>
      <c r="F10" s="111"/>
      <c r="G10" s="111">
        <v>1387203</v>
      </c>
      <c r="H10" s="102"/>
      <c r="I10" s="111">
        <v>1387322</v>
      </c>
      <c r="J10" s="92"/>
      <c r="K10" s="92"/>
      <c r="L10" s="111">
        <v>1685006</v>
      </c>
      <c r="M10" s="92"/>
      <c r="N10" s="56">
        <v>125</v>
      </c>
      <c r="O10" s="92"/>
      <c r="P10" s="72"/>
      <c r="Q10" s="42"/>
      <c r="R10" s="56">
        <v>125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2298594</v>
      </c>
      <c r="H11" s="102"/>
      <c r="I11" s="103">
        <f>SUM(I9:I10)</f>
        <v>1715927</v>
      </c>
      <c r="J11" s="92"/>
      <c r="K11" s="92"/>
      <c r="L11" s="103">
        <f>SUM(L9:L10)</f>
        <v>2191145</v>
      </c>
      <c r="M11" s="92"/>
      <c r="N11" s="120">
        <f>SUM(N9:N10)</f>
        <v>125</v>
      </c>
      <c r="O11" s="92"/>
      <c r="P11" s="120">
        <f>SUM(P9:P10)</f>
        <v>0</v>
      </c>
      <c r="Q11" s="85"/>
      <c r="R11" s="120">
        <f>SUM(R9:R10)</f>
        <v>125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104784</v>
      </c>
      <c r="H29" s="29"/>
      <c r="I29" s="115">
        <v>105178</v>
      </c>
      <c r="J29" s="40"/>
      <c r="K29" s="40"/>
      <c r="L29" s="115">
        <v>102294</v>
      </c>
      <c r="M29" s="129"/>
      <c r="N29" s="115">
        <v>393.28</v>
      </c>
      <c r="O29" s="40" t="s">
        <v>31</v>
      </c>
      <c r="P29" s="115">
        <v>4940.6899999999996</v>
      </c>
      <c r="Q29" s="40"/>
      <c r="R29" s="115">
        <v>393.28</v>
      </c>
      <c r="S29" s="40" t="s">
        <v>31</v>
      </c>
      <c r="T29" s="115">
        <v>4940.6899999999996</v>
      </c>
      <c r="U29" s="120"/>
      <c r="V29" s="115">
        <v>286.75</v>
      </c>
      <c r="W29" s="40" t="s">
        <v>31</v>
      </c>
      <c r="X29" s="115">
        <v>64.900000000000006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5328668</v>
      </c>
      <c r="H31" s="29"/>
      <c r="I31" s="152">
        <v>5332225</v>
      </c>
      <c r="J31" s="40"/>
      <c r="K31" s="40"/>
      <c r="L31" s="152">
        <v>5144349</v>
      </c>
      <c r="M31" s="129"/>
      <c r="N31" s="38">
        <v>3557.68</v>
      </c>
      <c r="O31" s="40"/>
      <c r="P31" s="45">
        <v>0</v>
      </c>
      <c r="Q31" s="40"/>
      <c r="R31" s="38">
        <v>3557.68</v>
      </c>
      <c r="S31" s="40"/>
      <c r="T31" s="45">
        <v>0</v>
      </c>
      <c r="U31" s="93"/>
      <c r="V31" s="38">
        <v>0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199037</v>
      </c>
      <c r="H32" s="29"/>
      <c r="I32" s="45">
        <v>376345</v>
      </c>
      <c r="J32" s="40"/>
      <c r="K32" s="40"/>
      <c r="L32" s="45">
        <v>-212351</v>
      </c>
      <c r="M32" s="129"/>
      <c r="N32" s="38"/>
      <c r="O32" s="40"/>
      <c r="P32" s="45">
        <v>172367.61</v>
      </c>
      <c r="Q32" s="40"/>
      <c r="R32" s="38"/>
      <c r="S32" s="40"/>
      <c r="T32" s="45">
        <v>172367.61</v>
      </c>
      <c r="U32" s="119"/>
      <c r="V32" s="38">
        <v>1019.02</v>
      </c>
      <c r="W32" s="40"/>
      <c r="X32" s="45">
        <v>26852.38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5069412</v>
      </c>
      <c r="H35" s="29"/>
      <c r="I35" s="116">
        <f>SUM(I29:I34)</f>
        <v>5250671</v>
      </c>
      <c r="J35" s="40"/>
      <c r="K35" s="40"/>
      <c r="L35" s="116">
        <f>SUM(L29:L34)</f>
        <v>4471215</v>
      </c>
      <c r="M35" s="129"/>
      <c r="N35" s="116">
        <f>SUM(N29:N34)</f>
        <v>3950.96</v>
      </c>
      <c r="O35" s="40"/>
      <c r="P35" s="116">
        <f>SUM(P29:P34)</f>
        <v>177308.3</v>
      </c>
      <c r="Q35" s="40"/>
      <c r="R35" s="116">
        <f>SUM(R29:R34)</f>
        <v>3950.96</v>
      </c>
      <c r="S35" s="40"/>
      <c r="T35" s="116">
        <f>SUM(T29:T34)</f>
        <v>177308.3</v>
      </c>
      <c r="U35" s="120"/>
      <c r="V35" s="116">
        <f>SUM(V29:V34)</f>
        <v>1305.77</v>
      </c>
      <c r="W35" s="40"/>
      <c r="X35" s="116">
        <f>SUM(X29:X34)</f>
        <v>26917.280000000002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8136437.6500000004</v>
      </c>
      <c r="H37" s="29"/>
      <c r="I37" s="107">
        <f>+I35+I25+I19+I11</f>
        <v>7735029.6500000004</v>
      </c>
      <c r="J37" s="92"/>
      <c r="K37" s="92"/>
      <c r="L37" s="107">
        <f>+L35+L25+L19+L11</f>
        <v>7430791.6500000004</v>
      </c>
      <c r="M37" s="129"/>
      <c r="N37" s="107">
        <f>+N35+N25+N19+N11</f>
        <v>4075.96</v>
      </c>
      <c r="O37" s="92"/>
      <c r="P37" s="107">
        <f>+P35+P25+P19+P11</f>
        <v>177308.3</v>
      </c>
      <c r="Q37" s="92"/>
      <c r="R37" s="107">
        <f>+R35+R25+R19+R11</f>
        <v>4075.96</v>
      </c>
      <c r="S37" s="92"/>
      <c r="T37" s="107">
        <f>+T35+T25+T19+T11</f>
        <v>177308.3</v>
      </c>
      <c r="U37" s="120"/>
      <c r="V37" s="107">
        <f>+V35+V25+V19+V11</f>
        <v>1453.49</v>
      </c>
      <c r="W37" s="92"/>
      <c r="X37" s="107">
        <f>+X35+X25+X19+X11</f>
        <v>26917.280000000002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2185378</v>
      </c>
      <c r="H39" s="29"/>
      <c r="I39" s="120">
        <v>2232057</v>
      </c>
      <c r="J39" s="92"/>
      <c r="K39" s="92"/>
      <c r="L39" s="120">
        <v>1081250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2013 
</oddFoot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FFF00"/>
    <pageSetUpPr fitToPage="1"/>
  </sheetPr>
  <dimension ref="A1:AB60"/>
  <sheetViews>
    <sheetView showGridLines="0" zoomScaleNormal="100" workbookViewId="0">
      <selection activeCell="B50" sqref="B49:B5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35" t="s">
        <v>284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40055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288</v>
      </c>
      <c r="H6" s="102"/>
      <c r="I6" s="80" t="s">
        <v>289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328605</v>
      </c>
      <c r="H9" s="102"/>
      <c r="I9" s="103">
        <v>1204451</v>
      </c>
      <c r="J9" s="92"/>
      <c r="K9" s="92"/>
      <c r="L9" s="103">
        <v>2895407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8.2183950920280773E-5</v>
      </c>
      <c r="F10" s="111"/>
      <c r="G10" s="111">
        <v>1387322</v>
      </c>
      <c r="H10" s="102"/>
      <c r="I10" s="111">
        <v>1387429</v>
      </c>
      <c r="J10" s="92"/>
      <c r="K10" s="92"/>
      <c r="L10" s="111">
        <v>1185112</v>
      </c>
      <c r="M10" s="92"/>
      <c r="N10" s="56">
        <v>114.02</v>
      </c>
      <c r="O10" s="92"/>
      <c r="P10" s="72"/>
      <c r="Q10" s="42"/>
      <c r="R10" s="56">
        <f>125+114.02</f>
        <v>239.01999999999998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1715927</v>
      </c>
      <c r="H11" s="102"/>
      <c r="I11" s="103">
        <f>SUM(I9:I10)</f>
        <v>2591880</v>
      </c>
      <c r="J11" s="92"/>
      <c r="K11" s="92"/>
      <c r="L11" s="103">
        <f>SUM(L9:L10)</f>
        <v>4080519</v>
      </c>
      <c r="M11" s="92"/>
      <c r="N11" s="120">
        <f>SUM(N9:N10)</f>
        <v>114.02</v>
      </c>
      <c r="O11" s="92"/>
      <c r="P11" s="120">
        <f>SUM(P9:P10)</f>
        <v>0</v>
      </c>
      <c r="Q11" s="85"/>
      <c r="R11" s="120">
        <f>SUM(R9:R10)</f>
        <v>239.01999999999998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105178</v>
      </c>
      <c r="H29" s="29"/>
      <c r="I29" s="115">
        <v>105319</v>
      </c>
      <c r="J29" s="40"/>
      <c r="K29" s="40"/>
      <c r="L29" s="115">
        <v>102385</v>
      </c>
      <c r="M29" s="129"/>
      <c r="N29" s="115">
        <v>141.01</v>
      </c>
      <c r="O29" s="40" t="s">
        <v>31</v>
      </c>
      <c r="P29" s="115">
        <v>-3769.93</v>
      </c>
      <c r="Q29" s="40"/>
      <c r="R29" s="115">
        <f>393.28+141.01</f>
        <v>534.29</v>
      </c>
      <c r="S29" s="40" t="s">
        <v>31</v>
      </c>
      <c r="T29" s="115">
        <f>4940.69-3769.93</f>
        <v>1170.7599999999998</v>
      </c>
      <c r="U29" s="120"/>
      <c r="V29" s="115">
        <f>286.75+90.69</f>
        <v>377.44</v>
      </c>
      <c r="W29" s="40" t="s">
        <v>31</v>
      </c>
      <c r="X29" s="115">
        <f>64.9+2026.6</f>
        <v>2091.5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5332225</v>
      </c>
      <c r="H31" s="29"/>
      <c r="I31" s="152">
        <v>5336225</v>
      </c>
      <c r="J31" s="40"/>
      <c r="K31" s="40"/>
      <c r="L31" s="152">
        <v>5148228</v>
      </c>
      <c r="M31" s="129"/>
      <c r="N31" s="38">
        <v>3999.52</v>
      </c>
      <c r="O31" s="40"/>
      <c r="P31" s="45">
        <v>0</v>
      </c>
      <c r="Q31" s="40"/>
      <c r="R31" s="38">
        <f>3557.68+3999.52</f>
        <v>7557.2</v>
      </c>
      <c r="S31" s="40"/>
      <c r="T31" s="45">
        <v>0</v>
      </c>
      <c r="U31" s="93"/>
      <c r="V31" s="38">
        <f>1019.02+3879.46</f>
        <v>4898.4799999999996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376345</v>
      </c>
      <c r="H32" s="29"/>
      <c r="I32" s="45">
        <v>251905</v>
      </c>
      <c r="J32" s="40"/>
      <c r="K32" s="40"/>
      <c r="L32" s="45">
        <v>-103996</v>
      </c>
      <c r="M32" s="129"/>
      <c r="N32" s="38"/>
      <c r="O32" s="40"/>
      <c r="P32" s="45">
        <v>-120669.7</v>
      </c>
      <c r="Q32" s="40"/>
      <c r="R32" s="38"/>
      <c r="S32" s="40"/>
      <c r="T32" s="45">
        <f>172367.61-120669.7</f>
        <v>51697.909999999989</v>
      </c>
      <c r="U32" s="119"/>
      <c r="V32" s="38"/>
      <c r="W32" s="40"/>
      <c r="X32" s="45">
        <f>26852.38+106328.21</f>
        <v>133180.59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5250671</v>
      </c>
      <c r="H35" s="29"/>
      <c r="I35" s="116">
        <f>SUM(I29:I34)</f>
        <v>5130372</v>
      </c>
      <c r="J35" s="40"/>
      <c r="K35" s="40"/>
      <c r="L35" s="116">
        <f>SUM(L29:L34)</f>
        <v>4583540</v>
      </c>
      <c r="M35" s="129"/>
      <c r="N35" s="116">
        <f>SUM(N29:N34)</f>
        <v>4140.53</v>
      </c>
      <c r="O35" s="40"/>
      <c r="P35" s="116">
        <f>SUM(P29:P34)</f>
        <v>-124439.62999999999</v>
      </c>
      <c r="Q35" s="40"/>
      <c r="R35" s="116">
        <f>SUM(R29:R34)</f>
        <v>8091.49</v>
      </c>
      <c r="S35" s="40"/>
      <c r="T35" s="116">
        <f>SUM(T29:T34)</f>
        <v>52868.669999999991</v>
      </c>
      <c r="U35" s="120"/>
      <c r="V35" s="116">
        <f>SUM(V29:V34)</f>
        <v>5275.9199999999992</v>
      </c>
      <c r="W35" s="40"/>
      <c r="X35" s="116">
        <f>SUM(X29:X34)</f>
        <v>135272.09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7735029.6500000004</v>
      </c>
      <c r="H37" s="29"/>
      <c r="I37" s="107">
        <f>+I35+I25+I19+I11</f>
        <v>8490683.6500000004</v>
      </c>
      <c r="J37" s="92"/>
      <c r="K37" s="92"/>
      <c r="L37" s="107">
        <f>+L35+L25+L19+L11</f>
        <v>9432490.6500000004</v>
      </c>
      <c r="M37" s="129"/>
      <c r="N37" s="107">
        <f>+N35+N25+N19+N11</f>
        <v>4254.55</v>
      </c>
      <c r="O37" s="92"/>
      <c r="P37" s="107">
        <f>+P35+P25+P19+P11</f>
        <v>-124439.62999999999</v>
      </c>
      <c r="Q37" s="92"/>
      <c r="R37" s="107">
        <f>+R35+R25+R19+R11</f>
        <v>8330.51</v>
      </c>
      <c r="S37" s="92"/>
      <c r="T37" s="107">
        <f>+T35+T25+T19+T11</f>
        <v>52868.669999999991</v>
      </c>
      <c r="U37" s="120"/>
      <c r="V37" s="107">
        <f>+V35+V25+V19+V11</f>
        <v>5423.6399999999994</v>
      </c>
      <c r="W37" s="92"/>
      <c r="X37" s="107">
        <f>+X35+X25+X19+X11</f>
        <v>135272.09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2232057</v>
      </c>
      <c r="H39" s="29"/>
      <c r="I39" s="175">
        <v>2191980</v>
      </c>
      <c r="J39" s="92"/>
      <c r="K39" s="92"/>
      <c r="L39" s="120">
        <v>1094312.49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2013 
</oddFoot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FFFF00"/>
    <pageSetUpPr fitToPage="1"/>
  </sheetPr>
  <dimension ref="A1:AB60"/>
  <sheetViews>
    <sheetView showGridLines="0" topLeftCell="A12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35" t="s">
        <v>284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40085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290</v>
      </c>
      <c r="H6" s="102"/>
      <c r="I6" s="80" t="s">
        <v>291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1204451</v>
      </c>
      <c r="H9" s="102"/>
      <c r="I9" s="103">
        <v>777124</v>
      </c>
      <c r="J9" s="92"/>
      <c r="K9" s="92"/>
      <c r="L9" s="103">
        <v>1191385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7.9446161585694367E-5</v>
      </c>
      <c r="F10" s="111"/>
      <c r="G10" s="111">
        <v>1387429</v>
      </c>
      <c r="H10" s="102"/>
      <c r="I10" s="111">
        <v>1387532</v>
      </c>
      <c r="J10" s="92"/>
      <c r="K10" s="92"/>
      <c r="L10" s="111">
        <v>3685275</v>
      </c>
      <c r="M10" s="92"/>
      <c r="N10" s="56">
        <v>110.23</v>
      </c>
      <c r="O10" s="92"/>
      <c r="P10" s="72"/>
      <c r="Q10" s="42"/>
      <c r="R10" s="56">
        <f>125+114.02+110.23</f>
        <v>349.25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2591880</v>
      </c>
      <c r="H11" s="102"/>
      <c r="I11" s="103">
        <f>SUM(I9:I10)</f>
        <v>2164656</v>
      </c>
      <c r="J11" s="92"/>
      <c r="K11" s="92"/>
      <c r="L11" s="103">
        <f>SUM(L9:L10)</f>
        <v>4876660</v>
      </c>
      <c r="M11" s="92"/>
      <c r="N11" s="120">
        <f>SUM(N9:N10)</f>
        <v>110.23</v>
      </c>
      <c r="O11" s="92"/>
      <c r="P11" s="120">
        <f>SUM(P9:P10)</f>
        <v>0</v>
      </c>
      <c r="Q11" s="85"/>
      <c r="R11" s="120">
        <f>SUM(R9:R10)</f>
        <v>349.25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105319</v>
      </c>
      <c r="H29" s="29"/>
      <c r="I29" s="115">
        <v>105631</v>
      </c>
      <c r="J29" s="40"/>
      <c r="K29" s="40"/>
      <c r="L29" s="115">
        <v>102663</v>
      </c>
      <c r="M29" s="129"/>
      <c r="N29" s="115">
        <v>312.43</v>
      </c>
      <c r="O29" s="40" t="s">
        <v>31</v>
      </c>
      <c r="P29" s="115">
        <v>3977.26</v>
      </c>
      <c r="Q29" s="40"/>
      <c r="R29" s="115">
        <f>393.28+141.01+312.43</f>
        <v>846.72</v>
      </c>
      <c r="S29" s="40" t="s">
        <v>31</v>
      </c>
      <c r="T29" s="115">
        <f>4940.69-3769.93+3977.26</f>
        <v>5148.0200000000004</v>
      </c>
      <c r="U29" s="120"/>
      <c r="V29" s="115">
        <f>286.75+90.69+278</f>
        <v>655.44</v>
      </c>
      <c r="W29" s="40" t="s">
        <v>31</v>
      </c>
      <c r="X29" s="115">
        <f>64.9+2026.6+1814</f>
        <v>3905.5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5336225</v>
      </c>
      <c r="H31" s="29"/>
      <c r="I31" s="152">
        <v>5341891</v>
      </c>
      <c r="J31" s="40"/>
      <c r="K31" s="40"/>
      <c r="L31" s="152">
        <v>5153717</v>
      </c>
      <c r="M31" s="129"/>
      <c r="N31" s="38">
        <v>5665.66</v>
      </c>
      <c r="O31" s="40"/>
      <c r="P31" s="45">
        <v>0</v>
      </c>
      <c r="Q31" s="40"/>
      <c r="R31" s="38">
        <f>3557.68+3999.52+5665.66</f>
        <v>13222.86</v>
      </c>
      <c r="S31" s="40"/>
      <c r="T31" s="45">
        <v>0</v>
      </c>
      <c r="U31" s="93"/>
      <c r="V31" s="38">
        <f>1019.02+3879.46+5489</f>
        <v>10387.48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251905</v>
      </c>
      <c r="H32" s="29"/>
      <c r="I32" s="45">
        <v>496058</v>
      </c>
      <c r="J32" s="40"/>
      <c r="K32" s="40"/>
      <c r="L32" s="45">
        <v>14394</v>
      </c>
      <c r="M32" s="129"/>
      <c r="N32" s="38"/>
      <c r="O32" s="40"/>
      <c r="P32" s="45">
        <v>240175.23</v>
      </c>
      <c r="Q32" s="40"/>
      <c r="R32" s="38"/>
      <c r="S32" s="40"/>
      <c r="T32" s="45">
        <f>172367.61-120669.7+240175.23</f>
        <v>291873.14</v>
      </c>
      <c r="U32" s="119"/>
      <c r="V32" s="38"/>
      <c r="W32" s="40"/>
      <c r="X32" s="45">
        <f>26852.38+106328.21+116577</f>
        <v>249757.59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5130372</v>
      </c>
      <c r="H35" s="29"/>
      <c r="I35" s="116">
        <f>SUM(I29:I34)</f>
        <v>5380503</v>
      </c>
      <c r="J35" s="40"/>
      <c r="K35" s="40"/>
      <c r="L35" s="116">
        <f>SUM(L29:L34)</f>
        <v>4707697</v>
      </c>
      <c r="M35" s="129"/>
      <c r="N35" s="116">
        <f>SUM(N29:N34)</f>
        <v>5978.09</v>
      </c>
      <c r="O35" s="40"/>
      <c r="P35" s="116">
        <f>SUM(P29:P34)</f>
        <v>244152.49000000002</v>
      </c>
      <c r="Q35" s="40"/>
      <c r="R35" s="116">
        <f>SUM(R29:R34)</f>
        <v>14069.58</v>
      </c>
      <c r="S35" s="40"/>
      <c r="T35" s="116">
        <f>SUM(T29:T34)</f>
        <v>297021.16000000003</v>
      </c>
      <c r="U35" s="120"/>
      <c r="V35" s="116">
        <f>SUM(V29:V34)</f>
        <v>11042.92</v>
      </c>
      <c r="W35" s="40"/>
      <c r="X35" s="116">
        <f>SUM(X29:X34)</f>
        <v>253663.09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8490683.6500000004</v>
      </c>
      <c r="H37" s="29"/>
      <c r="I37" s="107">
        <f>+I35+I25+I19+I11</f>
        <v>8313590.6500000004</v>
      </c>
      <c r="J37" s="92"/>
      <c r="K37" s="92"/>
      <c r="L37" s="107">
        <f>+L35+L25+L19+L11</f>
        <v>10352788.65</v>
      </c>
      <c r="M37" s="129"/>
      <c r="N37" s="107">
        <f>+N35+N25+N19+N11</f>
        <v>6088.32</v>
      </c>
      <c r="O37" s="92"/>
      <c r="P37" s="107">
        <f>+P35+P25+P19+P11</f>
        <v>244152.49000000002</v>
      </c>
      <c r="Q37" s="92"/>
      <c r="R37" s="107">
        <f>+R35+R25+R19+R11</f>
        <v>14418.83</v>
      </c>
      <c r="S37" s="92"/>
      <c r="T37" s="107">
        <f>+T35+T25+T19+T11</f>
        <v>297021.16000000003</v>
      </c>
      <c r="U37" s="120"/>
      <c r="V37" s="107">
        <f>+V35+V25+V19+V11</f>
        <v>11190.64</v>
      </c>
      <c r="W37" s="92"/>
      <c r="X37" s="107">
        <f>+X35+X25+X19+X11</f>
        <v>253663.09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5">
        <v>2191980</v>
      </c>
      <c r="H39" s="29"/>
      <c r="I39" s="175">
        <v>2191980</v>
      </c>
      <c r="J39" s="92"/>
      <c r="K39" s="92"/>
      <c r="L39" s="120">
        <v>1615352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2013 
</oddFooter>
  </headerFooter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35" t="s">
        <v>284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40115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292</v>
      </c>
      <c r="H6" s="102"/>
      <c r="I6" s="80" t="s">
        <v>293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777124</v>
      </c>
      <c r="H9" s="102"/>
      <c r="I9" s="103">
        <v>899584</v>
      </c>
      <c r="J9" s="92"/>
      <c r="K9" s="92"/>
      <c r="L9" s="103">
        <v>268723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5.2628288738266713E-5</v>
      </c>
      <c r="F10" s="111"/>
      <c r="G10" s="111">
        <v>1387532</v>
      </c>
      <c r="H10" s="102"/>
      <c r="I10" s="111">
        <v>2387624</v>
      </c>
      <c r="J10" s="92"/>
      <c r="K10" s="92"/>
      <c r="L10" s="111">
        <v>3685601</v>
      </c>
      <c r="M10" s="92"/>
      <c r="N10" s="56">
        <v>99.34</v>
      </c>
      <c r="O10" s="92"/>
      <c r="P10" s="72"/>
      <c r="Q10" s="42"/>
      <c r="R10" s="56">
        <f>125+114.02+110.23+99.34</f>
        <v>448.59000000000003</v>
      </c>
      <c r="S10" s="42"/>
      <c r="T10" s="108"/>
      <c r="U10" s="86"/>
      <c r="V10" s="56">
        <f>147.72+333.19</f>
        <v>480.90999999999997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2164656</v>
      </c>
      <c r="H11" s="102"/>
      <c r="I11" s="103">
        <f>SUM(I9:I10)</f>
        <v>3287208</v>
      </c>
      <c r="J11" s="92"/>
      <c r="K11" s="92"/>
      <c r="L11" s="103">
        <f>SUM(L9:L10)</f>
        <v>3954324</v>
      </c>
      <c r="M11" s="92"/>
      <c r="N11" s="120">
        <f>SUM(N9:N10)</f>
        <v>99.34</v>
      </c>
      <c r="O11" s="92"/>
      <c r="P11" s="120">
        <f>SUM(P9:P10)</f>
        <v>0</v>
      </c>
      <c r="Q11" s="85"/>
      <c r="R11" s="120">
        <f>SUM(R9:R10)</f>
        <v>448.59000000000003</v>
      </c>
      <c r="S11" s="85"/>
      <c r="T11" s="120">
        <f>SUM(T9:T10)</f>
        <v>0</v>
      </c>
      <c r="U11" s="120"/>
      <c r="V11" s="120">
        <f>SUM(V9:V10)</f>
        <v>480.90999999999997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105631</v>
      </c>
      <c r="H29" s="29"/>
      <c r="I29" s="115">
        <v>105774</v>
      </c>
      <c r="J29" s="40"/>
      <c r="K29" s="40"/>
      <c r="L29" s="115">
        <v>102749</v>
      </c>
      <c r="M29" s="129"/>
      <c r="N29" s="115">
        <v>143.01</v>
      </c>
      <c r="O29" s="40" t="s">
        <v>31</v>
      </c>
      <c r="P29" s="115">
        <v>3274.48</v>
      </c>
      <c r="Q29" s="40"/>
      <c r="R29" s="115">
        <f>393.28+141.01+312.43+143.01</f>
        <v>989.73</v>
      </c>
      <c r="S29" s="40" t="s">
        <v>31</v>
      </c>
      <c r="T29" s="115">
        <f>4940.69-3769.93+3977.26+3274.48</f>
        <v>8422.5</v>
      </c>
      <c r="U29" s="120"/>
      <c r="V29" s="115">
        <f>286.75+90.69+86.71+278</f>
        <v>742.15</v>
      </c>
      <c r="W29" s="40" t="s">
        <v>31</v>
      </c>
      <c r="X29" s="115">
        <f>64.9+2026.6-940.15+1814</f>
        <v>2965.35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5341891</v>
      </c>
      <c r="H31" s="29"/>
      <c r="I31" s="152">
        <v>5346943</v>
      </c>
      <c r="J31" s="40"/>
      <c r="K31" s="40"/>
      <c r="L31" s="152">
        <v>5157585</v>
      </c>
      <c r="M31" s="129"/>
      <c r="N31" s="38">
        <v>5052.46</v>
      </c>
      <c r="O31" s="40"/>
      <c r="P31" s="45">
        <v>0</v>
      </c>
      <c r="Q31" s="40"/>
      <c r="R31" s="38">
        <f>3557.68+3999.52+5665.66+5052.46</f>
        <v>18275.32</v>
      </c>
      <c r="S31" s="40"/>
      <c r="T31" s="45">
        <v>0</v>
      </c>
      <c r="U31" s="93"/>
      <c r="V31" s="38">
        <f>1019.02+3879.46+3868.27+5489</f>
        <v>14255.75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496058</v>
      </c>
      <c r="H32" s="29"/>
      <c r="I32" s="45">
        <v>655587</v>
      </c>
      <c r="J32" s="40"/>
      <c r="K32" s="40"/>
      <c r="L32" s="45">
        <v>-19973</v>
      </c>
      <c r="M32" s="129"/>
      <c r="N32" s="38"/>
      <c r="O32" s="40"/>
      <c r="P32" s="45">
        <v>156254.03</v>
      </c>
      <c r="Q32" s="40"/>
      <c r="R32" s="38"/>
      <c r="S32" s="40"/>
      <c r="T32" s="45">
        <f>172367.61-120669.7+240175.23+156254.03</f>
        <v>448127.17000000004</v>
      </c>
      <c r="U32" s="119"/>
      <c r="V32" s="38"/>
      <c r="W32" s="40"/>
      <c r="X32" s="45">
        <f>26852.38+106328.21-33427.41+116577</f>
        <v>216330.18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5380503</v>
      </c>
      <c r="H35" s="29"/>
      <c r="I35" s="116">
        <f>SUM(I29:I34)</f>
        <v>5545227</v>
      </c>
      <c r="J35" s="40"/>
      <c r="K35" s="40"/>
      <c r="L35" s="116">
        <f>SUM(L29:L34)</f>
        <v>4677284</v>
      </c>
      <c r="M35" s="129"/>
      <c r="N35" s="116">
        <f>SUM(N29:N34)</f>
        <v>5195.47</v>
      </c>
      <c r="O35" s="40"/>
      <c r="P35" s="116">
        <f>SUM(P29:P34)</f>
        <v>159528.51</v>
      </c>
      <c r="Q35" s="40"/>
      <c r="R35" s="116">
        <f>SUM(R29:R34)</f>
        <v>19265.05</v>
      </c>
      <c r="S35" s="40"/>
      <c r="T35" s="116">
        <f>SUM(T29:T34)</f>
        <v>456549.67000000004</v>
      </c>
      <c r="U35" s="120"/>
      <c r="V35" s="116">
        <f>SUM(V29:V34)</f>
        <v>14997.9</v>
      </c>
      <c r="W35" s="40"/>
      <c r="X35" s="116">
        <f>SUM(X29:X34)</f>
        <v>219295.53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8313590.6500000004</v>
      </c>
      <c r="H37" s="29"/>
      <c r="I37" s="107">
        <f>+I35+I25+I19+I11</f>
        <v>9600866.6500000004</v>
      </c>
      <c r="J37" s="92"/>
      <c r="K37" s="92"/>
      <c r="L37" s="107">
        <f>+L35+L25+L19+L11</f>
        <v>9400039.6500000004</v>
      </c>
      <c r="M37" s="129"/>
      <c r="N37" s="107">
        <f>+N35+N25+N19+N11</f>
        <v>5294.81</v>
      </c>
      <c r="O37" s="92"/>
      <c r="P37" s="107">
        <f>+P35+P25+P19+P11</f>
        <v>159528.51</v>
      </c>
      <c r="Q37" s="92"/>
      <c r="R37" s="107">
        <f>+R35+R25+R19+R11</f>
        <v>19713.64</v>
      </c>
      <c r="S37" s="92"/>
      <c r="T37" s="107">
        <f>+T35+T25+T19+T11</f>
        <v>456549.67000000004</v>
      </c>
      <c r="U37" s="120"/>
      <c r="V37" s="107">
        <f>+V35+V25+V19+V11</f>
        <v>15478.81</v>
      </c>
      <c r="W37" s="92"/>
      <c r="X37" s="107">
        <f>+X35+X25+X19+X11</f>
        <v>219295.53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2307548</v>
      </c>
      <c r="H39" s="167"/>
      <c r="I39" s="176">
        <v>2412580</v>
      </c>
      <c r="J39" s="170"/>
      <c r="K39" s="170"/>
      <c r="L39" s="169">
        <v>1618067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2013 
</oddFoot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FFFF00"/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35" t="s">
        <v>284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40146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294</v>
      </c>
      <c r="H6" s="102"/>
      <c r="I6" s="80" t="s">
        <v>295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899584</v>
      </c>
      <c r="H9" s="102"/>
      <c r="I9" s="103">
        <v>710897</v>
      </c>
      <c r="J9" s="92"/>
      <c r="K9" s="92"/>
      <c r="L9" s="103">
        <v>-16157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4.341181297180524E-5</v>
      </c>
      <c r="F10" s="111"/>
      <c r="G10" s="111">
        <v>2387624</v>
      </c>
      <c r="H10" s="102"/>
      <c r="I10" s="111">
        <v>1887710</v>
      </c>
      <c r="J10" s="92"/>
      <c r="K10" s="92"/>
      <c r="L10" s="111">
        <v>2686869</v>
      </c>
      <c r="M10" s="92"/>
      <c r="N10" s="56">
        <v>92.8</v>
      </c>
      <c r="O10" s="92"/>
      <c r="P10" s="72"/>
      <c r="Q10" s="42"/>
      <c r="R10" s="56">
        <f>125+114.02+110.23+99.34+92.8</f>
        <v>541.39</v>
      </c>
      <c r="S10" s="42"/>
      <c r="T10" s="108"/>
      <c r="U10" s="86"/>
      <c r="V10" s="56">
        <f>147.72+333.19+263.19</f>
        <v>744.09999999999991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3287208</v>
      </c>
      <c r="H11" s="102"/>
      <c r="I11" s="103">
        <f>SUM(I9:I10)</f>
        <v>2598607</v>
      </c>
      <c r="J11" s="92"/>
      <c r="K11" s="92"/>
      <c r="L11" s="103">
        <f>SUM(L9:L10)</f>
        <v>2670712</v>
      </c>
      <c r="M11" s="92"/>
      <c r="N11" s="120">
        <f>SUM(N9:N10)</f>
        <v>92.8</v>
      </c>
      <c r="O11" s="92"/>
      <c r="P11" s="120">
        <f>SUM(P9:P10)</f>
        <v>0</v>
      </c>
      <c r="Q11" s="85"/>
      <c r="R11" s="120">
        <f>SUM(R9:R10)</f>
        <v>541.39</v>
      </c>
      <c r="S11" s="85"/>
      <c r="T11" s="120">
        <f>SUM(T9:T10)</f>
        <v>0</v>
      </c>
      <c r="U11" s="120"/>
      <c r="V11" s="120">
        <f>SUM(V9:V10)</f>
        <v>744.09999999999991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105774</v>
      </c>
      <c r="H29" s="29"/>
      <c r="I29" s="115">
        <v>105914</v>
      </c>
      <c r="J29" s="40"/>
      <c r="K29" s="40"/>
      <c r="L29" s="115">
        <v>102840</v>
      </c>
      <c r="M29" s="129"/>
      <c r="N29" s="115">
        <v>139.77000000000001</v>
      </c>
      <c r="O29" s="40" t="s">
        <v>31</v>
      </c>
      <c r="P29" s="115">
        <v>2453.59</v>
      </c>
      <c r="Q29" s="40"/>
      <c r="R29" s="115">
        <f>393.28+141.01+312.43+143.01+139.77</f>
        <v>1129.5</v>
      </c>
      <c r="S29" s="40" t="s">
        <v>31</v>
      </c>
      <c r="T29" s="115">
        <f>4940.69-3769.93+3977.26+3274.48+2453.59</f>
        <v>10876.09</v>
      </c>
      <c r="U29" s="120"/>
      <c r="V29" s="115">
        <f>286.75+90.69+86.71+90.21+278</f>
        <v>832.36</v>
      </c>
      <c r="W29" s="40" t="s">
        <v>31</v>
      </c>
      <c r="X29" s="115">
        <f>64.9+2026.6-940.15+1011.79+1814</f>
        <v>3977.14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5346943</v>
      </c>
      <c r="H31" s="29"/>
      <c r="I31" s="152">
        <v>5351196</v>
      </c>
      <c r="J31" s="40"/>
      <c r="K31" s="40"/>
      <c r="L31" s="152">
        <v>5162266</v>
      </c>
      <c r="M31" s="129"/>
      <c r="N31" s="38">
        <v>4252.62</v>
      </c>
      <c r="O31" s="40"/>
      <c r="P31" s="45">
        <v>0</v>
      </c>
      <c r="Q31" s="40"/>
      <c r="R31" s="38">
        <f>3557.68+3999.52+5665.66+5052.46+4252.62</f>
        <v>22527.94</v>
      </c>
      <c r="S31" s="40"/>
      <c r="T31" s="45">
        <v>0</v>
      </c>
      <c r="U31" s="93"/>
      <c r="V31" s="38">
        <f>1019.02+3879.46+3868.27+4681+5489</f>
        <v>18936.75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655587</v>
      </c>
      <c r="H32" s="29"/>
      <c r="I32" s="45">
        <v>715938</v>
      </c>
      <c r="J32" s="40"/>
      <c r="K32" s="40"/>
      <c r="L32" s="45">
        <v>29558</v>
      </c>
      <c r="M32" s="129"/>
      <c r="N32" s="38"/>
      <c r="O32" s="40"/>
      <c r="P32" s="45">
        <v>57897.91</v>
      </c>
      <c r="Q32" s="40"/>
      <c r="R32" s="38"/>
      <c r="S32" s="40"/>
      <c r="T32" s="45">
        <f>172367.61-120669.7+240175.23+156254.03+57897.91</f>
        <v>506025.08000000007</v>
      </c>
      <c r="U32" s="119"/>
      <c r="V32" s="38"/>
      <c r="W32" s="40"/>
      <c r="X32" s="45">
        <f>26852.38+106328.21-33427.41+49531+116577</f>
        <v>265861.18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5545227</v>
      </c>
      <c r="H35" s="29"/>
      <c r="I35" s="116">
        <f>SUM(I29:I34)</f>
        <v>5609971</v>
      </c>
      <c r="J35" s="40"/>
      <c r="K35" s="40"/>
      <c r="L35" s="116">
        <f>SUM(L29:L34)</f>
        <v>4731587</v>
      </c>
      <c r="M35" s="129"/>
      <c r="N35" s="116">
        <f>SUM(N29:N34)</f>
        <v>4392.3900000000003</v>
      </c>
      <c r="O35" s="40"/>
      <c r="P35" s="116">
        <f>SUM(P29:P34)</f>
        <v>60351.5</v>
      </c>
      <c r="Q35" s="40"/>
      <c r="R35" s="116">
        <f>SUM(R29:R34)</f>
        <v>23657.439999999999</v>
      </c>
      <c r="S35" s="40"/>
      <c r="T35" s="116">
        <f>SUM(T29:T34)</f>
        <v>516901.1700000001</v>
      </c>
      <c r="U35" s="120"/>
      <c r="V35" s="116">
        <f>SUM(V29:V34)</f>
        <v>19769.11</v>
      </c>
      <c r="W35" s="40"/>
      <c r="X35" s="116">
        <f>SUM(X29:X34)</f>
        <v>269838.32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9600866.6500000004</v>
      </c>
      <c r="H37" s="29"/>
      <c r="I37" s="107">
        <f>+I35+I25+I19+I11</f>
        <v>8977009.6500000004</v>
      </c>
      <c r="J37" s="92"/>
      <c r="K37" s="92"/>
      <c r="L37" s="107">
        <f>+L35+L25+L19+L11</f>
        <v>8170730.6500000004</v>
      </c>
      <c r="M37" s="129"/>
      <c r="N37" s="107">
        <f>+N35+N25+N19+N11</f>
        <v>4485.1900000000005</v>
      </c>
      <c r="O37" s="92"/>
      <c r="P37" s="107">
        <f>+P35+P25+P19+P11</f>
        <v>60351.5</v>
      </c>
      <c r="Q37" s="92"/>
      <c r="R37" s="107">
        <f>+R35+R25+R19+R11</f>
        <v>24198.829999999998</v>
      </c>
      <c r="S37" s="92"/>
      <c r="T37" s="107">
        <f>+T35+T25+T19+T11</f>
        <v>516901.1700000001</v>
      </c>
      <c r="U37" s="120"/>
      <c r="V37" s="107">
        <f>+V35+V25+V19+V11</f>
        <v>20513.21</v>
      </c>
      <c r="W37" s="92"/>
      <c r="X37" s="107">
        <f>+X35+X25+X19+X11</f>
        <v>269838.32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2412580</v>
      </c>
      <c r="H39" s="167"/>
      <c r="I39" s="176">
        <v>2468166</v>
      </c>
      <c r="J39" s="170"/>
      <c r="K39" s="170"/>
      <c r="L39" s="169">
        <v>1622749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2013 
</oddFoot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35" t="s">
        <v>284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40177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296</v>
      </c>
      <c r="H6" s="102"/>
      <c r="I6" s="80" t="s">
        <v>297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710897</v>
      </c>
      <c r="H9" s="102"/>
      <c r="I9" s="103">
        <v>678624</v>
      </c>
      <c r="J9" s="92"/>
      <c r="K9" s="92"/>
      <c r="L9" s="103">
        <v>427060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4.3962941682547264E-5</v>
      </c>
      <c r="F10" s="111"/>
      <c r="G10" s="111">
        <v>1887710</v>
      </c>
      <c r="H10" s="102"/>
      <c r="I10" s="111">
        <v>1387776</v>
      </c>
      <c r="J10" s="92"/>
      <c r="K10" s="92"/>
      <c r="L10" s="111">
        <v>1686022</v>
      </c>
      <c r="M10" s="92"/>
      <c r="N10" s="56">
        <v>72</v>
      </c>
      <c r="O10" s="92"/>
      <c r="P10" s="72"/>
      <c r="Q10" s="42"/>
      <c r="R10" s="56">
        <f>125+114.02+110.23+99.34+92.8+72</f>
        <v>613.39</v>
      </c>
      <c r="S10" s="42"/>
      <c r="T10" s="108"/>
      <c r="U10" s="86"/>
      <c r="V10" s="56">
        <f>147.72+333.19+263.19+172</f>
        <v>916.09999999999991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2598607</v>
      </c>
      <c r="H11" s="102"/>
      <c r="I11" s="103">
        <f>SUM(I9:I10)</f>
        <v>2066400</v>
      </c>
      <c r="J11" s="92"/>
      <c r="K11" s="92"/>
      <c r="L11" s="103">
        <f>SUM(L9:L10)</f>
        <v>2113082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613.39</v>
      </c>
      <c r="S11" s="85"/>
      <c r="T11" s="120">
        <f>SUM(T9:T10)</f>
        <v>0</v>
      </c>
      <c r="U11" s="120"/>
      <c r="V11" s="120">
        <f>SUM(V9:V10)</f>
        <v>916.09999999999991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105914</v>
      </c>
      <c r="H29" s="29"/>
      <c r="I29" s="115">
        <v>106369</v>
      </c>
      <c r="J29" s="40"/>
      <c r="K29" s="40"/>
      <c r="L29" s="115">
        <v>103807</v>
      </c>
      <c r="M29" s="129"/>
      <c r="N29" s="115">
        <v>454.88</v>
      </c>
      <c r="O29" s="40" t="s">
        <v>31</v>
      </c>
      <c r="P29" s="115">
        <v>1517.92</v>
      </c>
      <c r="Q29" s="40"/>
      <c r="R29" s="115">
        <f>393.28+141.01+312.43+143.01+139.77+454.88</f>
        <v>1584.38</v>
      </c>
      <c r="S29" s="40" t="s">
        <v>31</v>
      </c>
      <c r="T29" s="115">
        <f>4940.69-3769.93+3977.26+3274.48+2453.59+1517.92</f>
        <v>12394.01</v>
      </c>
      <c r="U29" s="120"/>
      <c r="V29" s="115">
        <f>286.75+90.69+278+86.71+90.21+967.82</f>
        <v>1800.1800000000003</v>
      </c>
      <c r="W29" s="40" t="s">
        <v>31</v>
      </c>
      <c r="X29" s="115">
        <f>64.9+2026.6+1814-940.15+1011.79+944.85</f>
        <v>4921.99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5351196</v>
      </c>
      <c r="H31" s="29"/>
      <c r="I31" s="152">
        <v>5458117</v>
      </c>
      <c r="J31" s="40"/>
      <c r="K31" s="40"/>
      <c r="L31" s="152">
        <v>5296714</v>
      </c>
      <c r="M31" s="129"/>
      <c r="N31" s="38">
        <v>106921.27</v>
      </c>
      <c r="O31" s="40"/>
      <c r="P31" s="45">
        <v>0</v>
      </c>
      <c r="Q31" s="40"/>
      <c r="R31" s="38">
        <f>3557.68+3999.52+5665.66+5052.46+4252.62+106921.27</f>
        <v>129449.21</v>
      </c>
      <c r="S31" s="40"/>
      <c r="T31" s="45">
        <v>0</v>
      </c>
      <c r="U31" s="93"/>
      <c r="V31" s="38">
        <f>1019.02+3879.46+5489+3868.27+4681+134447</f>
        <v>153383.75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715938</v>
      </c>
      <c r="H32" s="29"/>
      <c r="I32" s="45">
        <v>698174</v>
      </c>
      <c r="J32" s="40"/>
      <c r="K32" s="40"/>
      <c r="L32" s="45">
        <v>10623</v>
      </c>
      <c r="M32" s="129"/>
      <c r="N32" s="38"/>
      <c r="O32" s="40"/>
      <c r="P32" s="45">
        <v>-19281.71</v>
      </c>
      <c r="Q32" s="40"/>
      <c r="R32" s="38"/>
      <c r="S32" s="40"/>
      <c r="T32" s="45">
        <f>172367.61-120669.7+240175.23+156254.03+57897.91-19281.71</f>
        <v>486743.37000000005</v>
      </c>
      <c r="U32" s="119"/>
      <c r="V32" s="38"/>
      <c r="W32" s="40"/>
      <c r="X32" s="45">
        <f>26852.38+106328.21+116577-33427.41+49531-20891</f>
        <v>244970.18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5609971</v>
      </c>
      <c r="H35" s="29"/>
      <c r="I35" s="116">
        <f>SUM(I29:I34)</f>
        <v>5699583</v>
      </c>
      <c r="J35" s="40"/>
      <c r="K35" s="40"/>
      <c r="L35" s="116">
        <f>SUM(L29:L34)</f>
        <v>4848067</v>
      </c>
      <c r="M35" s="129"/>
      <c r="N35" s="116">
        <f>SUM(N29:N34)</f>
        <v>107376.15000000001</v>
      </c>
      <c r="O35" s="40"/>
      <c r="P35" s="116">
        <f>SUM(P29:P34)</f>
        <v>-17763.79</v>
      </c>
      <c r="Q35" s="40"/>
      <c r="R35" s="116">
        <f>SUM(R29:R34)</f>
        <v>131033.59000000001</v>
      </c>
      <c r="S35" s="40"/>
      <c r="T35" s="116">
        <f>SUM(T29:T34)</f>
        <v>499137.38000000006</v>
      </c>
      <c r="U35" s="120"/>
      <c r="V35" s="116">
        <f>SUM(V29:V34)</f>
        <v>155183.93</v>
      </c>
      <c r="W35" s="40"/>
      <c r="X35" s="116">
        <f>SUM(X29:X34)</f>
        <v>249892.16999999998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8977009.6500000004</v>
      </c>
      <c r="H37" s="29"/>
      <c r="I37" s="107">
        <f>+I35+I25+I19+I11</f>
        <v>8534414.6500000004</v>
      </c>
      <c r="J37" s="92"/>
      <c r="K37" s="92"/>
      <c r="L37" s="107">
        <f>+L35+L25+L19+L11</f>
        <v>7729580.6500000004</v>
      </c>
      <c r="M37" s="129"/>
      <c r="N37" s="107">
        <f>+N35+N25+N19+N11</f>
        <v>107448.15000000001</v>
      </c>
      <c r="O37" s="92"/>
      <c r="P37" s="107">
        <f>+P35+P25+P19+P11</f>
        <v>-17763.79</v>
      </c>
      <c r="Q37" s="92"/>
      <c r="R37" s="107">
        <f>+R35+R25+R19+R11</f>
        <v>131646.98000000001</v>
      </c>
      <c r="S37" s="92"/>
      <c r="T37" s="107">
        <f>+T35+T25+T19+T11</f>
        <v>499137.38000000006</v>
      </c>
      <c r="U37" s="120"/>
      <c r="V37" s="107">
        <f>+V35+V25+V19+V11</f>
        <v>156100.03</v>
      </c>
      <c r="W37" s="92"/>
      <c r="X37" s="107">
        <f>+X35+X25+X19+X11</f>
        <v>249892.16999999998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2468166</v>
      </c>
      <c r="H39" s="167"/>
      <c r="I39" s="176">
        <v>2531200</v>
      </c>
      <c r="J39" s="170"/>
      <c r="K39" s="170"/>
      <c r="L39" s="164">
        <v>1650457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/>
      <c r="H40" s="29"/>
      <c r="I40" s="120">
        <v>2200000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2013 
</oddFoot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35" t="s">
        <v>284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40208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299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678624</v>
      </c>
      <c r="H9" s="102"/>
      <c r="I9" s="103">
        <v>2167298</v>
      </c>
      <c r="J9" s="92"/>
      <c r="K9" s="92"/>
      <c r="L9" s="103">
        <v>2038515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3.854826157096031E-5</v>
      </c>
      <c r="F10" s="111"/>
      <c r="G10" s="111">
        <v>1387776</v>
      </c>
      <c r="H10" s="102"/>
      <c r="I10" s="111">
        <v>887813</v>
      </c>
      <c r="J10" s="92"/>
      <c r="K10" s="92"/>
      <c r="L10" s="111">
        <v>1386134</v>
      </c>
      <c r="M10" s="92"/>
      <c r="N10" s="56">
        <v>43.86</v>
      </c>
      <c r="O10" s="92"/>
      <c r="P10" s="72"/>
      <c r="Q10" s="42"/>
      <c r="R10" s="56">
        <f>125+114.02+110.23+99.34+92.8+72+43.86</f>
        <v>657.25</v>
      </c>
      <c r="S10" s="42"/>
      <c r="T10" s="108"/>
      <c r="U10" s="86"/>
      <c r="V10" s="56">
        <f>147.72+333.19+263.19+172+118.54</f>
        <v>1034.6399999999999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2066400</v>
      </c>
      <c r="H11" s="102"/>
      <c r="I11" s="103">
        <f>SUM(I9:I10)</f>
        <v>3055111</v>
      </c>
      <c r="J11" s="92"/>
      <c r="K11" s="92"/>
      <c r="L11" s="103">
        <f>SUM(L9:L10)</f>
        <v>3424649</v>
      </c>
      <c r="M11" s="92"/>
      <c r="N11" s="120">
        <f>SUM(N9:N10)</f>
        <v>43.86</v>
      </c>
      <c r="O11" s="92"/>
      <c r="P11" s="120">
        <f>SUM(P9:P10)</f>
        <v>0</v>
      </c>
      <c r="Q11" s="85"/>
      <c r="R11" s="120">
        <f>SUM(R9:R10)</f>
        <v>657.25</v>
      </c>
      <c r="S11" s="85"/>
      <c r="T11" s="120">
        <f>SUM(T9:T10)</f>
        <v>0</v>
      </c>
      <c r="U11" s="120"/>
      <c r="V11" s="120">
        <f>SUM(V9:V10)</f>
        <v>1034.6399999999999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106369</v>
      </c>
      <c r="H29" s="29"/>
      <c r="I29" s="115">
        <v>106470</v>
      </c>
      <c r="J29" s="40"/>
      <c r="K29" s="40"/>
      <c r="L29" s="115">
        <v>103861</v>
      </c>
      <c r="M29" s="129"/>
      <c r="N29" s="115">
        <v>101.1</v>
      </c>
      <c r="O29" s="40" t="s">
        <v>31</v>
      </c>
      <c r="P29" s="115">
        <v>-2689.95</v>
      </c>
      <c r="Q29" s="40"/>
      <c r="R29" s="115">
        <f>393.28+141.01+312.43+143.01+139.77+454.88+101.1</f>
        <v>1685.48</v>
      </c>
      <c r="S29" s="40" t="s">
        <v>31</v>
      </c>
      <c r="T29" s="115">
        <f>4940.69-3769.93+3977.26+3274.48+2453.59+1517.92-2689.95</f>
        <v>9704.0600000000013</v>
      </c>
      <c r="U29" s="120"/>
      <c r="V29" s="115">
        <f>286.75+90.69+278+86.71+90.21+967.82+54</f>
        <v>1854.1800000000003</v>
      </c>
      <c r="W29" s="40" t="s">
        <v>31</v>
      </c>
      <c r="X29" s="115">
        <f>64.9+2026.6+1814-940.15+1011.79+944.85+4327</f>
        <v>9248.99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5458117</v>
      </c>
      <c r="H31" s="29"/>
      <c r="I31" s="152">
        <v>5480965</v>
      </c>
      <c r="J31" s="40"/>
      <c r="K31" s="40"/>
      <c r="L31" s="152">
        <v>5304501</v>
      </c>
      <c r="M31" s="129"/>
      <c r="N31" s="38">
        <v>22847.89</v>
      </c>
      <c r="O31" s="40"/>
      <c r="P31" s="45">
        <v>0</v>
      </c>
      <c r="Q31" s="40"/>
      <c r="R31" s="38">
        <f>3557.68+3999.52+5665.66+5052.46+4252.62+106921.27+22847.89</f>
        <v>152297.1</v>
      </c>
      <c r="S31" s="40"/>
      <c r="T31" s="45">
        <v>0</v>
      </c>
      <c r="U31" s="93"/>
      <c r="V31" s="38">
        <f>1019.02+3879.46+5489+3868.27+4681+134447+7787</f>
        <v>161170.75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698174</v>
      </c>
      <c r="H32" s="29"/>
      <c r="I32" s="45">
        <v>518807</v>
      </c>
      <c r="J32" s="40"/>
      <c r="K32" s="40"/>
      <c r="L32" s="45">
        <v>160064</v>
      </c>
      <c r="M32" s="129"/>
      <c r="N32" s="38"/>
      <c r="O32" s="40"/>
      <c r="P32" s="45">
        <v>-176676.8</v>
      </c>
      <c r="Q32" s="40"/>
      <c r="R32" s="38"/>
      <c r="S32" s="40"/>
      <c r="T32" s="45">
        <f>172367.61-120669.7+240175.23+156254.03+57897.91-19281.71-176676.8</f>
        <v>310066.57000000007</v>
      </c>
      <c r="U32" s="119"/>
      <c r="V32" s="38"/>
      <c r="W32" s="40"/>
      <c r="X32" s="45">
        <f>26852.38+106328.21+116577-33427.41+49531-20891+145114</f>
        <v>390084.18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5699583</v>
      </c>
      <c r="H35" s="29"/>
      <c r="I35" s="116">
        <f>SUM(I29:I34)</f>
        <v>5543165</v>
      </c>
      <c r="J35" s="40"/>
      <c r="K35" s="40"/>
      <c r="L35" s="116">
        <f>SUM(L29:L34)</f>
        <v>5005349</v>
      </c>
      <c r="M35" s="129"/>
      <c r="N35" s="116">
        <f>SUM(N29:N34)</f>
        <v>22948.989999999998</v>
      </c>
      <c r="O35" s="40"/>
      <c r="P35" s="116">
        <f>SUM(P29:P34)</f>
        <v>-179366.75</v>
      </c>
      <c r="Q35" s="40"/>
      <c r="R35" s="116">
        <f>SUM(R29:R34)</f>
        <v>153982.58000000002</v>
      </c>
      <c r="S35" s="40"/>
      <c r="T35" s="116">
        <f>SUM(T29:T34)</f>
        <v>319770.63000000006</v>
      </c>
      <c r="U35" s="120"/>
      <c r="V35" s="116">
        <f>SUM(V29:V34)</f>
        <v>163024.93</v>
      </c>
      <c r="W35" s="40"/>
      <c r="X35" s="116">
        <f>SUM(X29:X34)</f>
        <v>399333.17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8534414.6500000004</v>
      </c>
      <c r="H37" s="29"/>
      <c r="I37" s="107">
        <f>+I35+I25+I19+I11</f>
        <v>9366707.6500000004</v>
      </c>
      <c r="J37" s="92"/>
      <c r="K37" s="92"/>
      <c r="L37" s="107">
        <f>+L35+L25+L19+L11</f>
        <v>9198429.6500000004</v>
      </c>
      <c r="M37" s="129"/>
      <c r="N37" s="107">
        <f>+N35+N25+N19+N11</f>
        <v>22992.85</v>
      </c>
      <c r="O37" s="92"/>
      <c r="P37" s="107">
        <f>+P35+P25+P19+P11</f>
        <v>-179366.75</v>
      </c>
      <c r="Q37" s="92"/>
      <c r="R37" s="107">
        <f>+R35+R25+R19+R11</f>
        <v>154639.83000000002</v>
      </c>
      <c r="S37" s="92"/>
      <c r="T37" s="107">
        <f>+T35+T25+T19+T11</f>
        <v>319770.63000000006</v>
      </c>
      <c r="U37" s="120"/>
      <c r="V37" s="107">
        <f>+V35+V25+V19+V11</f>
        <v>164059.57</v>
      </c>
      <c r="W37" s="92"/>
      <c r="X37" s="107">
        <f>+X35+X25+X19+X11</f>
        <v>399333.17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2531200</v>
      </c>
      <c r="H39" s="29"/>
      <c r="I39" s="175">
        <v>2551857</v>
      </c>
      <c r="J39" s="92"/>
      <c r="K39" s="92"/>
      <c r="L39" s="120">
        <v>1690051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2200000</v>
      </c>
      <c r="H40" s="29"/>
      <c r="I40" s="120">
        <v>2250000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2014 
</oddFoot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35" t="s">
        <v>284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40236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301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2167298</v>
      </c>
      <c r="H9" s="102"/>
      <c r="I9" s="103">
        <v>1246960</v>
      </c>
      <c r="J9" s="92"/>
      <c r="K9" s="92"/>
      <c r="L9" s="103">
        <v>643591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4.0328928999252435E-5</v>
      </c>
      <c r="F10" s="111"/>
      <c r="G10" s="111">
        <v>887813</v>
      </c>
      <c r="H10" s="102"/>
      <c r="I10" s="111">
        <v>1887862</v>
      </c>
      <c r="J10" s="92"/>
      <c r="K10" s="92"/>
      <c r="L10" s="111">
        <v>3416285</v>
      </c>
      <c r="M10" s="92"/>
      <c r="N10" s="56">
        <v>55.97</v>
      </c>
      <c r="O10" s="92"/>
      <c r="P10" s="72"/>
      <c r="Q10" s="42"/>
      <c r="R10" s="56">
        <f>125+114.02+110.23+99.34+92.8+72+43.86+55.97</f>
        <v>713.22</v>
      </c>
      <c r="S10" s="42"/>
      <c r="T10" s="108"/>
      <c r="U10" s="86"/>
      <c r="V10" s="56">
        <f>147.72+333.19+263.19+172+118.54+227</f>
        <v>1261.6399999999999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3055111</v>
      </c>
      <c r="H11" s="102"/>
      <c r="I11" s="103">
        <f>SUM(I9:I10)</f>
        <v>3134822</v>
      </c>
      <c r="J11" s="92"/>
      <c r="K11" s="92"/>
      <c r="L11" s="103">
        <f>SUM(L9:L10)</f>
        <v>4059876</v>
      </c>
      <c r="M11" s="92"/>
      <c r="N11" s="120">
        <f>SUM(N9:N10)</f>
        <v>55.97</v>
      </c>
      <c r="O11" s="92"/>
      <c r="P11" s="120">
        <f>SUM(P9:P10)</f>
        <v>0</v>
      </c>
      <c r="Q11" s="85"/>
      <c r="R11" s="120">
        <f>SUM(R9:R10)</f>
        <v>713.22</v>
      </c>
      <c r="S11" s="85"/>
      <c r="T11" s="120">
        <f>SUM(T9:T10)</f>
        <v>0</v>
      </c>
      <c r="U11" s="120"/>
      <c r="V11" s="120">
        <f>SUM(V9:V10)</f>
        <v>1261.6399999999999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106470</v>
      </c>
      <c r="H29" s="29"/>
      <c r="I29" s="115">
        <v>106613</v>
      </c>
      <c r="J29" s="40"/>
      <c r="K29" s="40"/>
      <c r="L29" s="115">
        <v>104004</v>
      </c>
      <c r="M29" s="129"/>
      <c r="N29" s="115">
        <v>142.91999999999999</v>
      </c>
      <c r="O29" s="40" t="s">
        <v>31</v>
      </c>
      <c r="P29" s="115">
        <v>4910.59</v>
      </c>
      <c r="Q29" s="40"/>
      <c r="R29" s="115">
        <f>393.28+141.01+312.43+143.01+139.77+454.88+101.1+142.92</f>
        <v>1828.4</v>
      </c>
      <c r="S29" s="40" t="s">
        <v>31</v>
      </c>
      <c r="T29" s="115">
        <f>4940.69-3769.93+3977.26+3274.48+2453.59+1517.92-2689.95+4910.59</f>
        <v>14614.650000000001</v>
      </c>
      <c r="U29" s="120"/>
      <c r="V29" s="115">
        <f>286.75+90.69+278+86.71+90.21+967.82+54+143</f>
        <v>1997.1800000000003</v>
      </c>
      <c r="W29" s="40" t="s">
        <v>31</v>
      </c>
      <c r="X29" s="115">
        <f>64.9+2026.6+1814-940.15+1011.79+944.85+4327+1514</f>
        <v>10762.99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5480965</v>
      </c>
      <c r="H31" s="29"/>
      <c r="I31" s="152">
        <v>5485075</v>
      </c>
      <c r="J31" s="40"/>
      <c r="K31" s="40"/>
      <c r="L31" s="152">
        <v>5307742</v>
      </c>
      <c r="M31" s="129"/>
      <c r="N31" s="38">
        <v>4109.92</v>
      </c>
      <c r="O31" s="40"/>
      <c r="P31" s="45">
        <v>0</v>
      </c>
      <c r="Q31" s="40"/>
      <c r="R31" s="38">
        <f>3557.68+3999.52+5665.66+5052.46+4252.62+106921.27+22847.89+4109.92</f>
        <v>156407.02000000002</v>
      </c>
      <c r="S31" s="40"/>
      <c r="T31" s="45">
        <v>0</v>
      </c>
      <c r="U31" s="93"/>
      <c r="V31" s="38">
        <f>1019.02+3879.46+5489+3868.27+4681+134447+7787+3242</f>
        <v>164412.75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518807</v>
      </c>
      <c r="H32" s="29"/>
      <c r="I32" s="45">
        <v>737735</v>
      </c>
      <c r="J32" s="40"/>
      <c r="K32" s="40"/>
      <c r="L32" s="45">
        <v>161579</v>
      </c>
      <c r="M32" s="129"/>
      <c r="N32" s="38"/>
      <c r="O32" s="40"/>
      <c r="P32" s="45">
        <v>214017.48</v>
      </c>
      <c r="Q32" s="40"/>
      <c r="R32" s="38"/>
      <c r="S32" s="40"/>
      <c r="T32" s="45">
        <f>172367.61-120669.7+240175.23+156254.03+57897.91-19281.71-176676.8+214017.78</f>
        <v>524084.35000000009</v>
      </c>
      <c r="U32" s="119"/>
      <c r="V32" s="38"/>
      <c r="W32" s="40"/>
      <c r="X32" s="45">
        <f>26852.38+106328.21+116577-33427.41+49531-20891+145114+29931</f>
        <v>420015.18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5543165</v>
      </c>
      <c r="H35" s="29"/>
      <c r="I35" s="116">
        <f>SUM(I29:I34)</f>
        <v>5766346</v>
      </c>
      <c r="J35" s="40"/>
      <c r="K35" s="40"/>
      <c r="L35" s="116">
        <f>SUM(L29:L34)</f>
        <v>5010248</v>
      </c>
      <c r="M35" s="129"/>
      <c r="N35" s="116">
        <f>SUM(N29:N34)</f>
        <v>4252.84</v>
      </c>
      <c r="O35" s="40"/>
      <c r="P35" s="116">
        <f>SUM(P29:P34)</f>
        <v>218928.07</v>
      </c>
      <c r="Q35" s="40"/>
      <c r="R35" s="116">
        <f>SUM(R29:R34)</f>
        <v>158235.42000000001</v>
      </c>
      <c r="S35" s="40"/>
      <c r="T35" s="116">
        <f>SUM(T29:T34)</f>
        <v>538699.00000000012</v>
      </c>
      <c r="U35" s="120"/>
      <c r="V35" s="116">
        <f>SUM(V29:V34)</f>
        <v>166409.93</v>
      </c>
      <c r="W35" s="40"/>
      <c r="X35" s="116">
        <f>SUM(X29:X34)</f>
        <v>430778.17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9366707.6500000004</v>
      </c>
      <c r="H37" s="29"/>
      <c r="I37" s="107">
        <f>+I35+I25+I19+I11</f>
        <v>9669599.6500000004</v>
      </c>
      <c r="J37" s="92"/>
      <c r="K37" s="92"/>
      <c r="L37" s="107">
        <f>+L35+L25+L19+L11</f>
        <v>9838555.6500000004</v>
      </c>
      <c r="M37" s="129"/>
      <c r="N37" s="107">
        <f>+N35+N25+N19+N11</f>
        <v>4308.8100000000004</v>
      </c>
      <c r="O37" s="92"/>
      <c r="P37" s="107">
        <f>+P35+P25+P19+P11</f>
        <v>218928.07</v>
      </c>
      <c r="Q37" s="92"/>
      <c r="R37" s="107">
        <f>+R35+R25+R19+R11</f>
        <v>158948.64000000001</v>
      </c>
      <c r="S37" s="92"/>
      <c r="T37" s="107">
        <f>+T35+T25+T19+T11</f>
        <v>538699.00000000012</v>
      </c>
      <c r="U37" s="120"/>
      <c r="V37" s="107">
        <f>+V35+V25+V19+V11</f>
        <v>167671.57</v>
      </c>
      <c r="W37" s="92"/>
      <c r="X37" s="107">
        <f>+X35+X25+X19+X11</f>
        <v>430778.17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2551857</v>
      </c>
      <c r="H39" s="29"/>
      <c r="I39" s="175">
        <v>2673350</v>
      </c>
      <c r="J39" s="92"/>
      <c r="K39" s="92"/>
      <c r="L39" s="120">
        <v>1682073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2250000</v>
      </c>
      <c r="H40" s="29"/>
      <c r="I40" s="120">
        <v>2300000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2014 
</oddFoot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rgb="FFFFFF00"/>
    <pageSetUpPr fitToPage="1"/>
  </sheetPr>
  <dimension ref="A1:AB60"/>
  <sheetViews>
    <sheetView showGridLines="0" topLeftCell="A10" zoomScaleNormal="100" workbookViewId="0">
      <selection activeCell="AA14" sqref="AA1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7" t="s">
        <v>0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221"/>
      <c r="V1" s="23"/>
      <c r="W1" s="23"/>
    </row>
    <row r="2" spans="1:25" ht="12.75" thickBot="1">
      <c r="B2" s="35"/>
      <c r="C2" s="23"/>
      <c r="D2" s="435" t="s">
        <v>284</v>
      </c>
      <c r="E2" s="435"/>
      <c r="F2" s="435"/>
      <c r="G2" s="435"/>
      <c r="H2" s="435"/>
      <c r="I2" s="435"/>
      <c r="J2" s="435"/>
      <c r="K2" s="435"/>
      <c r="L2" s="435"/>
      <c r="M2" s="436"/>
      <c r="N2" s="435"/>
      <c r="O2" s="435"/>
      <c r="P2" s="435"/>
      <c r="Q2" s="435"/>
      <c r="R2" s="435"/>
      <c r="S2" s="435"/>
      <c r="T2" s="43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4" t="s">
        <v>210</v>
      </c>
      <c r="H4" s="429"/>
      <c r="I4" s="429"/>
      <c r="J4" s="429"/>
      <c r="K4" s="429"/>
      <c r="L4" s="429"/>
      <c r="M4" s="24"/>
      <c r="N4" s="429" t="s">
        <v>80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</row>
    <row r="5" spans="1:25" ht="12.75" thickBot="1">
      <c r="B5" s="150">
        <v>40266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3" t="s">
        <v>81</v>
      </c>
      <c r="O5" s="433"/>
      <c r="P5" s="433"/>
      <c r="Q5" s="85"/>
      <c r="R5" s="432" t="s">
        <v>82</v>
      </c>
      <c r="S5" s="432"/>
      <c r="T5" s="432"/>
      <c r="U5" s="85"/>
      <c r="V5" s="432" t="s">
        <v>166</v>
      </c>
      <c r="W5" s="432"/>
      <c r="X5" s="43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302</v>
      </c>
      <c r="H6" s="102"/>
      <c r="I6" s="80" t="s">
        <v>303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1246960</v>
      </c>
      <c r="H9" s="102"/>
      <c r="I9" s="103">
        <v>1157518</v>
      </c>
      <c r="J9" s="92"/>
      <c r="K9" s="92"/>
      <c r="L9" s="103">
        <v>381941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3.4288593195315901E-5</v>
      </c>
      <c r="F10" s="111"/>
      <c r="G10" s="111">
        <v>1887862</v>
      </c>
      <c r="H10" s="102"/>
      <c r="I10" s="111">
        <v>3387945</v>
      </c>
      <c r="J10" s="92"/>
      <c r="K10" s="92"/>
      <c r="L10" s="111">
        <v>3386616</v>
      </c>
      <c r="M10" s="92"/>
      <c r="N10" s="56">
        <v>90.45</v>
      </c>
      <c r="O10" s="92"/>
      <c r="P10" s="72"/>
      <c r="Q10" s="42"/>
      <c r="R10" s="56">
        <f>125+114.02+110.23+99.34+92.8+72+43.86+55.97+90.45</f>
        <v>803.67000000000007</v>
      </c>
      <c r="S10" s="42"/>
      <c r="T10" s="108"/>
      <c r="U10" s="86"/>
      <c r="V10" s="56">
        <f>147.72+333.19+263.19+172+118.54+227+269</f>
        <v>1530.6399999999999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3134822</v>
      </c>
      <c r="H11" s="102"/>
      <c r="I11" s="103">
        <f>SUM(I9:I10)</f>
        <v>4545463</v>
      </c>
      <c r="J11" s="92"/>
      <c r="K11" s="92"/>
      <c r="L11" s="103">
        <f>SUM(L9:L10)</f>
        <v>3768557</v>
      </c>
      <c r="M11" s="92"/>
      <c r="N11" s="120">
        <f>SUM(N9:N10)</f>
        <v>90.45</v>
      </c>
      <c r="O11" s="92"/>
      <c r="P11" s="120">
        <f>SUM(P9:P10)</f>
        <v>0</v>
      </c>
      <c r="Q11" s="85"/>
      <c r="R11" s="120">
        <f>SUM(R9:R10)</f>
        <v>803.67000000000007</v>
      </c>
      <c r="S11" s="85"/>
      <c r="T11" s="120">
        <f>SUM(T9:T10)</f>
        <v>0</v>
      </c>
      <c r="U11" s="120"/>
      <c r="V11" s="120">
        <f>SUM(V9:V10)</f>
        <v>1530.6399999999999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106613</v>
      </c>
      <c r="H29" s="29"/>
      <c r="I29" s="115">
        <v>106940</v>
      </c>
      <c r="J29" s="40"/>
      <c r="K29" s="40"/>
      <c r="L29" s="115">
        <v>104150</v>
      </c>
      <c r="M29" s="129"/>
      <c r="N29" s="115">
        <v>326.73</v>
      </c>
      <c r="O29" s="40" t="s">
        <v>31</v>
      </c>
      <c r="P29" s="115">
        <v>-131.16999999999999</v>
      </c>
      <c r="Q29" s="40"/>
      <c r="R29" s="115">
        <f>393.28+141.01+312.43+143.01+139.77+454.88+101.1+142.92+327.63</f>
        <v>2156.0300000000002</v>
      </c>
      <c r="S29" s="40" t="s">
        <v>31</v>
      </c>
      <c r="T29" s="115">
        <f>4940.69-3769.93+3977.26+3274.48+2453.59+1517.92-2689.95+4910.59-131.17</f>
        <v>14483.480000000001</v>
      </c>
      <c r="U29" s="120"/>
      <c r="V29" s="115">
        <f>286.75+90.69+278+86.71+90.21+967.82+54+143+145.97</f>
        <v>2143.15</v>
      </c>
      <c r="W29" s="40" t="s">
        <v>31</v>
      </c>
      <c r="X29" s="115">
        <f>64.9+2026.6+1814-940.15+1011.79+944.85+4327+1514+3299.08</f>
        <v>14062.07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5485075</v>
      </c>
      <c r="H31" s="29"/>
      <c r="I31" s="152">
        <v>5489511</v>
      </c>
      <c r="J31" s="40"/>
      <c r="K31" s="40"/>
      <c r="L31" s="152">
        <v>5312268</v>
      </c>
      <c r="M31" s="129"/>
      <c r="N31" s="38">
        <v>4436.51</v>
      </c>
      <c r="O31" s="40"/>
      <c r="P31" s="45">
        <v>0</v>
      </c>
      <c r="Q31" s="40"/>
      <c r="R31" s="38">
        <f>3557.68+3999.52+5665.66+5052.46+4252.62+106921.27+22847.89+4109.92+4436.51</f>
        <v>160843.53000000003</v>
      </c>
      <c r="S31" s="40"/>
      <c r="T31" s="45">
        <v>0</v>
      </c>
      <c r="U31" s="93"/>
      <c r="V31" s="38">
        <f>1019.02+3879.46+5489+3868.27+4681+134447+7787+3242+4525</f>
        <v>168937.75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737735</v>
      </c>
      <c r="H32" s="29"/>
      <c r="I32" s="45">
        <v>754748</v>
      </c>
      <c r="J32" s="40"/>
      <c r="K32" s="40"/>
      <c r="L32" s="45">
        <v>265633</v>
      </c>
      <c r="M32" s="129"/>
      <c r="N32" s="38"/>
      <c r="O32" s="40"/>
      <c r="P32" s="45">
        <v>17143.740000000002</v>
      </c>
      <c r="Q32" s="40"/>
      <c r="R32" s="38"/>
      <c r="S32" s="40"/>
      <c r="T32" s="45">
        <f>172367.61-120669.7+240175.23+156254.03+57897.91-19281.71-176676.8+214017.78+17143.44</f>
        <v>541227.79</v>
      </c>
      <c r="U32" s="119"/>
      <c r="V32" s="38"/>
      <c r="W32" s="40"/>
      <c r="X32" s="45">
        <f>26852.38+106328.21+116577-33427.41+49531-20891+145114+29931+70824.39</f>
        <v>490839.57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5766346</v>
      </c>
      <c r="H35" s="29"/>
      <c r="I35" s="116">
        <f>SUM(I29:I34)</f>
        <v>5788122</v>
      </c>
      <c r="J35" s="40"/>
      <c r="K35" s="40"/>
      <c r="L35" s="116">
        <f>SUM(L29:L34)</f>
        <v>5118974</v>
      </c>
      <c r="M35" s="129"/>
      <c r="N35" s="116">
        <f>SUM(N29:N34)</f>
        <v>4763.24</v>
      </c>
      <c r="O35" s="40"/>
      <c r="P35" s="116">
        <f>SUM(P29:P34)</f>
        <v>17012.570000000003</v>
      </c>
      <c r="Q35" s="40"/>
      <c r="R35" s="116">
        <f>SUM(R29:R34)</f>
        <v>162999.56000000003</v>
      </c>
      <c r="S35" s="40"/>
      <c r="T35" s="116">
        <f>SUM(T29:T34)</f>
        <v>555711.27</v>
      </c>
      <c r="U35" s="120"/>
      <c r="V35" s="116">
        <f>SUM(V29:V34)</f>
        <v>171080.9</v>
      </c>
      <c r="W35" s="40"/>
      <c r="X35" s="116">
        <f>SUM(X29:X34)</f>
        <v>504901.64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9669599.6500000004</v>
      </c>
      <c r="H37" s="29"/>
      <c r="I37" s="107">
        <f>+I35+I25+I19+I11</f>
        <v>11102016.65</v>
      </c>
      <c r="J37" s="92"/>
      <c r="K37" s="92"/>
      <c r="L37" s="107">
        <f>+L35+L25+L19+L11</f>
        <v>9655962.6500000004</v>
      </c>
      <c r="M37" s="129"/>
      <c r="N37" s="107">
        <f>+N35+N25+N19+N11</f>
        <v>4853.6899999999996</v>
      </c>
      <c r="O37" s="92"/>
      <c r="P37" s="107">
        <f>+P35+P25+P19+P11</f>
        <v>17012.570000000003</v>
      </c>
      <c r="Q37" s="92"/>
      <c r="R37" s="107">
        <f>+R35+R25+R19+R11</f>
        <v>163803.23000000004</v>
      </c>
      <c r="S37" s="92"/>
      <c r="T37" s="107">
        <f>+T35+T25+T19+T11</f>
        <v>555711.27</v>
      </c>
      <c r="U37" s="120"/>
      <c r="V37" s="107">
        <f>+V35+V25+V19+V11</f>
        <v>172611.54</v>
      </c>
      <c r="W37" s="92"/>
      <c r="X37" s="107">
        <f>+X35+X25+X19+X11</f>
        <v>504901.64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2673350</v>
      </c>
      <c r="H39" s="29"/>
      <c r="I39" s="175">
        <v>2738001</v>
      </c>
      <c r="J39" s="92"/>
      <c r="K39" s="92"/>
      <c r="L39" s="120">
        <v>1702815.7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2300000</v>
      </c>
      <c r="H40" s="29"/>
      <c r="I40" s="120">
        <v>2350000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2014 
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SIM:SIMData xmlns:SIM="SIMDataNamespace">
  <LIDData/>
  <SIMStorageType/>
  <SIMManagementComments/>
  <SIMEditedCells/>
  <SIMMode>1</SIMMode>
</SIM:SIMDat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7" ma:contentTypeDescription="Create a new document." ma:contentTypeScope="" ma:versionID="5e274574e3b5b54ded529acc6f11769a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95afb0fff55d0cbcdfb77ace4b1c315f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144079C-F76E-41D9-AAEC-4CDA544E086A}">
  <ds:schemaRefs>
    <ds:schemaRef ds:uri="SIMDataNamespace"/>
  </ds:schemaRefs>
</ds:datastoreItem>
</file>

<file path=customXml/itemProps2.xml><?xml version="1.0" encoding="utf-8"?>
<ds:datastoreItem xmlns:ds="http://schemas.openxmlformats.org/officeDocument/2006/customXml" ds:itemID="{439FD362-DC33-418E-A33E-30845694493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1D16FAB-174C-42F0-BA2E-8D2F9CF3C7D0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762caf36-b0c2-49b4-ab14-ff4bceb8c0ae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0C28FF12-7970-4CB3-983E-18E0522B18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202</vt:i4>
      </vt:variant>
      <vt:variant>
        <vt:lpstr>Named Ranges</vt:lpstr>
      </vt:variant>
      <vt:variant>
        <vt:i4>175</vt:i4>
      </vt:variant>
    </vt:vector>
  </HeadingPairs>
  <TitlesOfParts>
    <vt:vector size="377" baseType="lpstr">
      <vt:lpstr>JUL06</vt:lpstr>
      <vt:lpstr>AUG'06</vt:lpstr>
      <vt:lpstr>SEPT06</vt:lpstr>
      <vt:lpstr>oct06</vt:lpstr>
      <vt:lpstr>nov06</vt:lpstr>
      <vt:lpstr>dec06</vt:lpstr>
      <vt:lpstr>JAN07</vt:lpstr>
      <vt:lpstr>Feb07</vt:lpstr>
      <vt:lpstr>mar07</vt:lpstr>
      <vt:lpstr>apr07</vt:lpstr>
      <vt:lpstr>May07</vt:lpstr>
      <vt:lpstr>Jun'07</vt:lpstr>
      <vt:lpstr>Jun'07 post audit</vt:lpstr>
      <vt:lpstr>July07</vt:lpstr>
      <vt:lpstr>Aug07</vt:lpstr>
      <vt:lpstr>sept'07</vt:lpstr>
      <vt:lpstr>Oct'07</vt:lpstr>
      <vt:lpstr>Nov'07</vt:lpstr>
      <vt:lpstr>dec-07</vt:lpstr>
      <vt:lpstr>jan-08</vt:lpstr>
      <vt:lpstr>feb-08</vt:lpstr>
      <vt:lpstr>mar-08</vt:lpstr>
      <vt:lpstr>apr-08</vt:lpstr>
      <vt:lpstr>may-08</vt:lpstr>
      <vt:lpstr>June-08PRIORTOAUDIT</vt:lpstr>
      <vt:lpstr>June-08POSTAUDIT</vt:lpstr>
      <vt:lpstr>New format July08</vt:lpstr>
      <vt:lpstr>New format AUG 08</vt:lpstr>
      <vt:lpstr>SEPT 08</vt:lpstr>
      <vt:lpstr>OCT 08</vt:lpstr>
      <vt:lpstr>NOV 08</vt:lpstr>
      <vt:lpstr>DEC 08</vt:lpstr>
      <vt:lpstr>Jan 09</vt:lpstr>
      <vt:lpstr>Feb 09</vt:lpstr>
      <vt:lpstr>Mar 09</vt:lpstr>
      <vt:lpstr>Apr 09 </vt:lpstr>
      <vt:lpstr>May 09</vt:lpstr>
      <vt:lpstr>June 09 Pre-Audit</vt:lpstr>
      <vt:lpstr>June 09 Post-Audit</vt:lpstr>
      <vt:lpstr>July 09 </vt:lpstr>
      <vt:lpstr>Aug 09</vt:lpstr>
      <vt:lpstr>Sept 09</vt:lpstr>
      <vt:lpstr>Oct 09</vt:lpstr>
      <vt:lpstr>Nov 09</vt:lpstr>
      <vt:lpstr>Dec 09</vt:lpstr>
      <vt:lpstr>Jan 10</vt:lpstr>
      <vt:lpstr>Feb 10</vt:lpstr>
      <vt:lpstr>Mar 10</vt:lpstr>
      <vt:lpstr>Apr 10</vt:lpstr>
      <vt:lpstr>May 10</vt:lpstr>
      <vt:lpstr>June 10 Pre-Audit</vt:lpstr>
      <vt:lpstr>June 10 Post-Audit</vt:lpstr>
      <vt:lpstr>July 10 </vt:lpstr>
      <vt:lpstr>Aug 10 </vt:lpstr>
      <vt:lpstr>Sep 10</vt:lpstr>
      <vt:lpstr>Oct 10</vt:lpstr>
      <vt:lpstr>Nov 10</vt:lpstr>
      <vt:lpstr>Dec 10</vt:lpstr>
      <vt:lpstr>Jan 11</vt:lpstr>
      <vt:lpstr>Feb 11 </vt:lpstr>
      <vt:lpstr>Mar 11</vt:lpstr>
      <vt:lpstr>April 11</vt:lpstr>
      <vt:lpstr>May 11</vt:lpstr>
      <vt:lpstr>June 11</vt:lpstr>
      <vt:lpstr>June 11 Post-Audit</vt:lpstr>
      <vt:lpstr>July 11</vt:lpstr>
      <vt:lpstr>Aug 11</vt:lpstr>
      <vt:lpstr>Sept 11</vt:lpstr>
      <vt:lpstr>Oct 11</vt:lpstr>
      <vt:lpstr>Nov 11</vt:lpstr>
      <vt:lpstr>Dec 11</vt:lpstr>
      <vt:lpstr>Jan 12</vt:lpstr>
      <vt:lpstr>Feb 12</vt:lpstr>
      <vt:lpstr>Mar 12</vt:lpstr>
      <vt:lpstr>Apr 12</vt:lpstr>
      <vt:lpstr>May 12</vt:lpstr>
      <vt:lpstr>June 12 Pre-Audit</vt:lpstr>
      <vt:lpstr>June 12 Post-Audit</vt:lpstr>
      <vt:lpstr>July 12 </vt:lpstr>
      <vt:lpstr>Aug 12</vt:lpstr>
      <vt:lpstr>Sep 12</vt:lpstr>
      <vt:lpstr>OCT 12</vt:lpstr>
      <vt:lpstr>Nov 12</vt:lpstr>
      <vt:lpstr>Dec 12</vt:lpstr>
      <vt:lpstr>Jan 13</vt:lpstr>
      <vt:lpstr>Feb 13</vt:lpstr>
      <vt:lpstr>Mar 13</vt:lpstr>
      <vt:lpstr>Apr 13</vt:lpstr>
      <vt:lpstr>May 13</vt:lpstr>
      <vt:lpstr>June 13 Post audit</vt:lpstr>
      <vt:lpstr>July 13</vt:lpstr>
      <vt:lpstr>Aug 13 </vt:lpstr>
      <vt:lpstr>Sep 13</vt:lpstr>
      <vt:lpstr>Oct 13</vt:lpstr>
      <vt:lpstr>Nov 13 </vt:lpstr>
      <vt:lpstr>DEC 13</vt:lpstr>
      <vt:lpstr>Jan 14</vt:lpstr>
      <vt:lpstr>Feb 14</vt:lpstr>
      <vt:lpstr>Mar 14</vt:lpstr>
      <vt:lpstr>Apr 14</vt:lpstr>
      <vt:lpstr>May 14</vt:lpstr>
      <vt:lpstr>June 14 Pre-Audit</vt:lpstr>
      <vt:lpstr>July 14 </vt:lpstr>
      <vt:lpstr>Aug 14 </vt:lpstr>
      <vt:lpstr>Sept 14</vt:lpstr>
      <vt:lpstr>Oct 14</vt:lpstr>
      <vt:lpstr>Nov 14</vt:lpstr>
      <vt:lpstr>Dec 14</vt:lpstr>
      <vt:lpstr>Jan 15</vt:lpstr>
      <vt:lpstr>Feb15</vt:lpstr>
      <vt:lpstr>Mar 15</vt:lpstr>
      <vt:lpstr>Apr 15</vt:lpstr>
      <vt:lpstr>May 15</vt:lpstr>
      <vt:lpstr>June 15 Preaudit</vt:lpstr>
      <vt:lpstr>June 15 Post-audit</vt:lpstr>
      <vt:lpstr>July 2015</vt:lpstr>
      <vt:lpstr>August 2015</vt:lpstr>
      <vt:lpstr>Sep 2015</vt:lpstr>
      <vt:lpstr>Oct 2015</vt:lpstr>
      <vt:lpstr>Nov 2015</vt:lpstr>
      <vt:lpstr>Dec 2015</vt:lpstr>
      <vt:lpstr>Jan 2016</vt:lpstr>
      <vt:lpstr>Feb 2016</vt:lpstr>
      <vt:lpstr>Mar 2016</vt:lpstr>
      <vt:lpstr>April 2016</vt:lpstr>
      <vt:lpstr>May  2016</vt:lpstr>
      <vt:lpstr>June 2016 Pre-audit</vt:lpstr>
      <vt:lpstr>June 2016 Post-audit</vt:lpstr>
      <vt:lpstr>July 2016 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 2017</vt:lpstr>
      <vt:lpstr>May 2017</vt:lpstr>
      <vt:lpstr>June 2017 Pre-Audit</vt:lpstr>
      <vt:lpstr>June 2017 Post-Audit</vt:lpstr>
      <vt:lpstr>July 2017</vt:lpstr>
      <vt:lpstr>Aug 2017</vt:lpstr>
      <vt:lpstr>Sep 2017</vt:lpstr>
      <vt:lpstr>Oct 2017</vt:lpstr>
      <vt:lpstr>Nov 2017</vt:lpstr>
      <vt:lpstr>Dec 2017</vt:lpstr>
      <vt:lpstr>Jan 2018 </vt:lpstr>
      <vt:lpstr>Feb 2018</vt:lpstr>
      <vt:lpstr>Mar 2018</vt:lpstr>
      <vt:lpstr>Apr 2018</vt:lpstr>
      <vt:lpstr>May 2018</vt:lpstr>
      <vt:lpstr>June 2018 Preaudit</vt:lpstr>
      <vt:lpstr>July 2018</vt:lpstr>
      <vt:lpstr>Aug 2018</vt:lpstr>
      <vt:lpstr>Sep 2018</vt:lpstr>
      <vt:lpstr>Oct 2018</vt:lpstr>
      <vt:lpstr>Nov 2018</vt:lpstr>
      <vt:lpstr>Dec 2018</vt:lpstr>
      <vt:lpstr>June 2021 Final</vt:lpstr>
      <vt:lpstr>March 2022</vt:lpstr>
      <vt:lpstr>February 2022</vt:lpstr>
      <vt:lpstr>January 2022</vt:lpstr>
      <vt:lpstr>Jan 2021</vt:lpstr>
      <vt:lpstr>December 2021</vt:lpstr>
      <vt:lpstr>November 2021</vt:lpstr>
      <vt:lpstr>October 2021</vt:lpstr>
      <vt:lpstr>September 2021</vt:lpstr>
      <vt:lpstr>August 2021</vt:lpstr>
      <vt:lpstr>July 2021</vt:lpstr>
      <vt:lpstr>June 2021 Pre-Audit</vt:lpstr>
      <vt:lpstr>May 2021</vt:lpstr>
      <vt:lpstr>Apr 2021</vt:lpstr>
      <vt:lpstr>Mar 2021</vt:lpstr>
      <vt:lpstr>Feb 2021</vt:lpstr>
      <vt:lpstr>Mar 2020</vt:lpstr>
      <vt:lpstr>Dec 2020</vt:lpstr>
      <vt:lpstr>Nov 2020</vt:lpstr>
      <vt:lpstr>Oct 2020</vt:lpstr>
      <vt:lpstr>Sep 2020</vt:lpstr>
      <vt:lpstr>Aug 2020</vt:lpstr>
      <vt:lpstr>July 2020</vt:lpstr>
      <vt:lpstr>June 2020 Post-Audit</vt:lpstr>
      <vt:lpstr>May 2020</vt:lpstr>
      <vt:lpstr>Apr 2020</vt:lpstr>
      <vt:lpstr>Feb 2020 (2)</vt:lpstr>
      <vt:lpstr>Feb 2020</vt:lpstr>
      <vt:lpstr>Mar 2019</vt:lpstr>
      <vt:lpstr>April 2019</vt:lpstr>
      <vt:lpstr>May 2019</vt:lpstr>
      <vt:lpstr>June 2019</vt:lpstr>
      <vt:lpstr>June 2018 Post-audit</vt:lpstr>
      <vt:lpstr>June 2019 PostAudit</vt:lpstr>
      <vt:lpstr>July 2019 </vt:lpstr>
      <vt:lpstr>Aug.2019</vt:lpstr>
      <vt:lpstr>Sept 2019</vt:lpstr>
      <vt:lpstr>Oct 2019</vt:lpstr>
      <vt:lpstr>Jan 2020</vt:lpstr>
      <vt:lpstr>Feb 2019</vt:lpstr>
      <vt:lpstr>Dec 2019</vt:lpstr>
      <vt:lpstr>Nov 2019</vt:lpstr>
      <vt:lpstr>Jan 2019</vt:lpstr>
      <vt:lpstr>'Apr 09 '!Print_Area</vt:lpstr>
      <vt:lpstr>'Apr 10'!Print_Area</vt:lpstr>
      <vt:lpstr>'Apr 12'!Print_Area</vt:lpstr>
      <vt:lpstr>'Apr 13'!Print_Area</vt:lpstr>
      <vt:lpstr>'Apr 14'!Print_Area</vt:lpstr>
      <vt:lpstr>'Apr 15'!Print_Area</vt:lpstr>
      <vt:lpstr>'Apr 2017'!Print_Area</vt:lpstr>
      <vt:lpstr>'Apr 2018'!Print_Area</vt:lpstr>
      <vt:lpstr>'Apr 2020'!Print_Area</vt:lpstr>
      <vt:lpstr>'Apr 2021'!Print_Area</vt:lpstr>
      <vt:lpstr>'April 11'!Print_Area</vt:lpstr>
      <vt:lpstr>'April 2016'!Print_Area</vt:lpstr>
      <vt:lpstr>'April 2019'!Print_Area</vt:lpstr>
      <vt:lpstr>'Aug 09'!Print_Area</vt:lpstr>
      <vt:lpstr>'Aug 10 '!Print_Area</vt:lpstr>
      <vt:lpstr>'Aug 11'!Print_Area</vt:lpstr>
      <vt:lpstr>'Aug 12'!Print_Area</vt:lpstr>
      <vt:lpstr>'Aug 13 '!Print_Area</vt:lpstr>
      <vt:lpstr>'Aug 14 '!Print_Area</vt:lpstr>
      <vt:lpstr>'Aug 2016'!Print_Area</vt:lpstr>
      <vt:lpstr>'Aug 2017'!Print_Area</vt:lpstr>
      <vt:lpstr>'Aug 2018'!Print_Area</vt:lpstr>
      <vt:lpstr>'Aug 2020'!Print_Area</vt:lpstr>
      <vt:lpstr>Aug.2019!Print_Area</vt:lpstr>
      <vt:lpstr>'August 2015'!Print_Area</vt:lpstr>
      <vt:lpstr>'August 2021'!Print_Area</vt:lpstr>
      <vt:lpstr>'DEC 08'!Print_Area</vt:lpstr>
      <vt:lpstr>'Dec 09'!Print_Area</vt:lpstr>
      <vt:lpstr>'Dec 10'!Print_Area</vt:lpstr>
      <vt:lpstr>'Dec 11'!Print_Area</vt:lpstr>
      <vt:lpstr>'Dec 12'!Print_Area</vt:lpstr>
      <vt:lpstr>'DEC 13'!Print_Area</vt:lpstr>
      <vt:lpstr>'Dec 14'!Print_Area</vt:lpstr>
      <vt:lpstr>'Dec 2015'!Print_Area</vt:lpstr>
      <vt:lpstr>'Dec 2016'!Print_Area</vt:lpstr>
      <vt:lpstr>'Dec 2017'!Print_Area</vt:lpstr>
      <vt:lpstr>'Dec 2018'!Print_Area</vt:lpstr>
      <vt:lpstr>'Dec 2019'!Print_Area</vt:lpstr>
      <vt:lpstr>'Dec 2020'!Print_Area</vt:lpstr>
      <vt:lpstr>'December 2021'!Print_Area</vt:lpstr>
      <vt:lpstr>'Feb 09'!Print_Area</vt:lpstr>
      <vt:lpstr>'Feb 10'!Print_Area</vt:lpstr>
      <vt:lpstr>'Feb 11 '!Print_Area</vt:lpstr>
      <vt:lpstr>'Feb 12'!Print_Area</vt:lpstr>
      <vt:lpstr>'Feb 13'!Print_Area</vt:lpstr>
      <vt:lpstr>'Feb 14'!Print_Area</vt:lpstr>
      <vt:lpstr>'Feb 2016'!Print_Area</vt:lpstr>
      <vt:lpstr>'Feb 2017'!Print_Area</vt:lpstr>
      <vt:lpstr>'Feb 2018'!Print_Area</vt:lpstr>
      <vt:lpstr>'Feb 2019'!Print_Area</vt:lpstr>
      <vt:lpstr>'Feb 2020'!Print_Area</vt:lpstr>
      <vt:lpstr>'Feb 2020 (2)'!Print_Area</vt:lpstr>
      <vt:lpstr>'Feb 2021'!Print_Area</vt:lpstr>
      <vt:lpstr>'Feb15'!Print_Area</vt:lpstr>
      <vt:lpstr>'February 2022'!Print_Area</vt:lpstr>
      <vt:lpstr>'Jan 09'!Print_Area</vt:lpstr>
      <vt:lpstr>'Jan 10'!Print_Area</vt:lpstr>
      <vt:lpstr>'Jan 11'!Print_Area</vt:lpstr>
      <vt:lpstr>'Jan 12'!Print_Area</vt:lpstr>
      <vt:lpstr>'Jan 13'!Print_Area</vt:lpstr>
      <vt:lpstr>'Jan 14'!Print_Area</vt:lpstr>
      <vt:lpstr>'Jan 15'!Print_Area</vt:lpstr>
      <vt:lpstr>'Jan 2016'!Print_Area</vt:lpstr>
      <vt:lpstr>'Jan 2017'!Print_Area</vt:lpstr>
      <vt:lpstr>'Jan 2018 '!Print_Area</vt:lpstr>
      <vt:lpstr>'Jan 2019'!Print_Area</vt:lpstr>
      <vt:lpstr>'Jan 2020'!Print_Area</vt:lpstr>
      <vt:lpstr>'Jan 2021'!Print_Area</vt:lpstr>
      <vt:lpstr>'January 2022'!Print_Area</vt:lpstr>
      <vt:lpstr>'July 09 '!Print_Area</vt:lpstr>
      <vt:lpstr>'July 10 '!Print_Area</vt:lpstr>
      <vt:lpstr>'July 11'!Print_Area</vt:lpstr>
      <vt:lpstr>'July 12 '!Print_Area</vt:lpstr>
      <vt:lpstr>'July 13'!Print_Area</vt:lpstr>
      <vt:lpstr>'July 14 '!Print_Area</vt:lpstr>
      <vt:lpstr>'July 2015'!Print_Area</vt:lpstr>
      <vt:lpstr>'July 2016 '!Print_Area</vt:lpstr>
      <vt:lpstr>'July 2017'!Print_Area</vt:lpstr>
      <vt:lpstr>'July 2018'!Print_Area</vt:lpstr>
      <vt:lpstr>'July 2019 '!Print_Area</vt:lpstr>
      <vt:lpstr>'July 2020'!Print_Area</vt:lpstr>
      <vt:lpstr>'July 2021'!Print_Area</vt:lpstr>
      <vt:lpstr>'June 09 Post-Audit'!Print_Area</vt:lpstr>
      <vt:lpstr>'June 09 Pre-Audit'!Print_Area</vt:lpstr>
      <vt:lpstr>'June 10 Post-Audit'!Print_Area</vt:lpstr>
      <vt:lpstr>'June 10 Pre-Audit'!Print_Area</vt:lpstr>
      <vt:lpstr>'June 11'!Print_Area</vt:lpstr>
      <vt:lpstr>'June 11 Post-Audit'!Print_Area</vt:lpstr>
      <vt:lpstr>'June 12 Post-Audit'!Print_Area</vt:lpstr>
      <vt:lpstr>'June 12 Pre-Audit'!Print_Area</vt:lpstr>
      <vt:lpstr>'June 13 Post audit'!Print_Area</vt:lpstr>
      <vt:lpstr>'June 14 Pre-Audit'!Print_Area</vt:lpstr>
      <vt:lpstr>'June 15 Post-audit'!Print_Area</vt:lpstr>
      <vt:lpstr>'June 15 Preaudit'!Print_Area</vt:lpstr>
      <vt:lpstr>'June 2016 Post-audit'!Print_Area</vt:lpstr>
      <vt:lpstr>'June 2016 Pre-audit'!Print_Area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2019'!Print_Area</vt:lpstr>
      <vt:lpstr>'June 2019 PostAudit'!Print_Area</vt:lpstr>
      <vt:lpstr>'June 2020 Post-Audit'!Print_Area</vt:lpstr>
      <vt:lpstr>'June 2021 Final'!Print_Area</vt:lpstr>
      <vt:lpstr>'June 2021 Pre-Audit'!Print_Area</vt:lpstr>
      <vt:lpstr>'Mar 09'!Print_Area</vt:lpstr>
      <vt:lpstr>'Mar 10'!Print_Area</vt:lpstr>
      <vt:lpstr>'Mar 11'!Print_Area</vt:lpstr>
      <vt:lpstr>'Mar 12'!Print_Area</vt:lpstr>
      <vt:lpstr>'Mar 13'!Print_Area</vt:lpstr>
      <vt:lpstr>'Mar 14'!Print_Area</vt:lpstr>
      <vt:lpstr>'Mar 15'!Print_Area</vt:lpstr>
      <vt:lpstr>'Mar 2016'!Print_Area</vt:lpstr>
      <vt:lpstr>'Mar 2017'!Print_Area</vt:lpstr>
      <vt:lpstr>'Mar 2018'!Print_Area</vt:lpstr>
      <vt:lpstr>'Mar 2019'!Print_Area</vt:lpstr>
      <vt:lpstr>'Mar 2020'!Print_Area</vt:lpstr>
      <vt:lpstr>'Mar 2021'!Print_Area</vt:lpstr>
      <vt:lpstr>'March 2022'!Print_Area</vt:lpstr>
      <vt:lpstr>'May  2016'!Print_Area</vt:lpstr>
      <vt:lpstr>'May 09'!Print_Area</vt:lpstr>
      <vt:lpstr>'May 10'!Print_Area</vt:lpstr>
      <vt:lpstr>'May 11'!Print_Area</vt:lpstr>
      <vt:lpstr>'May 12'!Print_Area</vt:lpstr>
      <vt:lpstr>'May 13'!Print_Area</vt:lpstr>
      <vt:lpstr>'May 14'!Print_Area</vt:lpstr>
      <vt:lpstr>'May 15'!Print_Area</vt:lpstr>
      <vt:lpstr>'May 2017'!Print_Area</vt:lpstr>
      <vt:lpstr>'May 2018'!Print_Area</vt:lpstr>
      <vt:lpstr>'May 2019'!Print_Area</vt:lpstr>
      <vt:lpstr>'May 2020'!Print_Area</vt:lpstr>
      <vt:lpstr>'May 2021'!Print_Area</vt:lpstr>
      <vt:lpstr>'New format AUG 08'!Print_Area</vt:lpstr>
      <vt:lpstr>'NOV 08'!Print_Area</vt:lpstr>
      <vt:lpstr>'Nov 09'!Print_Area</vt:lpstr>
      <vt:lpstr>'Nov 10'!Print_Area</vt:lpstr>
      <vt:lpstr>'Nov 11'!Print_Area</vt:lpstr>
      <vt:lpstr>'Nov 12'!Print_Area</vt:lpstr>
      <vt:lpstr>'Nov 13 '!Print_Area</vt:lpstr>
      <vt:lpstr>'Nov 14'!Print_Area</vt:lpstr>
      <vt:lpstr>'Nov 2015'!Print_Area</vt:lpstr>
      <vt:lpstr>'Nov 2016'!Print_Area</vt:lpstr>
      <vt:lpstr>'Nov 2017'!Print_Area</vt:lpstr>
      <vt:lpstr>'Nov 2018'!Print_Area</vt:lpstr>
      <vt:lpstr>'Nov 2019'!Print_Area</vt:lpstr>
      <vt:lpstr>'Nov 2020'!Print_Area</vt:lpstr>
      <vt:lpstr>'November 2021'!Print_Area</vt:lpstr>
      <vt:lpstr>'OCT 08'!Print_Area</vt:lpstr>
      <vt:lpstr>'Oct 09'!Print_Area</vt:lpstr>
      <vt:lpstr>'Oct 10'!Print_Area</vt:lpstr>
      <vt:lpstr>'Oct 11'!Print_Area</vt:lpstr>
      <vt:lpstr>'OCT 12'!Print_Area</vt:lpstr>
      <vt:lpstr>'Oct 13'!Print_Area</vt:lpstr>
      <vt:lpstr>'Oct 14'!Print_Area</vt:lpstr>
      <vt:lpstr>'Oct 2015'!Print_Area</vt:lpstr>
      <vt:lpstr>'Oct 2016'!Print_Area</vt:lpstr>
      <vt:lpstr>'Oct 2017'!Print_Area</vt:lpstr>
      <vt:lpstr>'Oct 2018'!Print_Area</vt:lpstr>
      <vt:lpstr>'Oct 2019'!Print_Area</vt:lpstr>
      <vt:lpstr>'Oct 2020'!Print_Area</vt:lpstr>
      <vt:lpstr>'October 2021'!Print_Area</vt:lpstr>
      <vt:lpstr>'Sep 10'!Print_Area</vt:lpstr>
      <vt:lpstr>'Sep 12'!Print_Area</vt:lpstr>
      <vt:lpstr>'Sep 13'!Print_Area</vt:lpstr>
      <vt:lpstr>'Sep 2015'!Print_Area</vt:lpstr>
      <vt:lpstr>'Sep 2017'!Print_Area</vt:lpstr>
      <vt:lpstr>'Sep 2018'!Print_Area</vt:lpstr>
      <vt:lpstr>'Sep 2020'!Print_Area</vt:lpstr>
      <vt:lpstr>'SEPT 08'!Print_Area</vt:lpstr>
      <vt:lpstr>'Sept 09'!Print_Area</vt:lpstr>
      <vt:lpstr>'Sept 11'!Print_Area</vt:lpstr>
      <vt:lpstr>'Sept 14'!Print_Area</vt:lpstr>
      <vt:lpstr>'Sept 2016'!Print_Area</vt:lpstr>
      <vt:lpstr>'Sept 2019'!Print_Area</vt:lpstr>
      <vt:lpstr>'September 2021'!Print_Area</vt:lpstr>
    </vt:vector>
  </TitlesOfParts>
  <Manager/>
  <Company>CSU Long Beach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49er Shops, Inc.</dc:creator>
  <cp:keywords/>
  <dc:description/>
  <cp:lastModifiedBy>Tom Collier</cp:lastModifiedBy>
  <cp:revision/>
  <cp:lastPrinted>2020-10-20T18:28:06Z</cp:lastPrinted>
  <dcterms:created xsi:type="dcterms:W3CDTF">2002-07-18T23:08:00Z</dcterms:created>
  <dcterms:modified xsi:type="dcterms:W3CDTF">2022-04-12T16:26:56Z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