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8800" windowHeight="1230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Sheet'!$B$227:$F$227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Sheet'!$G$32:$G$49</definedName>
    <definedName name="OSRRefG17x_0" localSheetId="2">'Balance Sheet'!$G$52:$G$120</definedName>
    <definedName name="OSRRefG20x_0" localSheetId="2">'Balance Sheet'!$G$123:$G$126</definedName>
    <definedName name="OSRRefG26x_0" localSheetId="2">'Balance Sheet'!$G$132:$G$144</definedName>
    <definedName name="OSRRefG34x_0" localSheetId="2">'Balance Sheet'!$G$152,'Balance Sheet'!$G$159,'Balance Sheet'!$G$164,'Balance Sheet'!$G$173,'Balance Sheet'!$G$179</definedName>
    <definedName name="OSRRefG40_0x_0" localSheetId="2">'Balance Sheet'!$G$207</definedName>
    <definedName name="OSRRefG40_1x_0" localSheetId="2">'Balance Sheet'!$G$209:$G$210</definedName>
    <definedName name="OSRRefG40_2x_0" localSheetId="2">'Balance Sheet'!$G$212</definedName>
    <definedName name="OSRRefG40x_0" localSheetId="2">'Balance Sheet'!$G$207,'Balance Sheet'!$G$209:$G$210,'Balance Sheet'!$G$212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09" i="3" l="1"/>
  <c r="G220" i="3"/>
  <c r="G219" i="3"/>
  <c r="G218" i="3"/>
  <c r="G221" i="3" s="1"/>
  <c r="G223" i="3" s="1"/>
  <c r="G213" i="3"/>
  <c r="G212" i="3"/>
  <c r="E212" i="3"/>
  <c r="G211" i="3"/>
  <c r="G210" i="3"/>
  <c r="E210" i="3"/>
  <c r="G209" i="3"/>
  <c r="G208" i="3"/>
  <c r="G207" i="3"/>
  <c r="E207" i="3"/>
  <c r="G206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G163" i="3"/>
  <c r="E163" i="3"/>
  <c r="G162" i="3"/>
  <c r="E162" i="3"/>
  <c r="G161" i="3"/>
  <c r="E161" i="3"/>
  <c r="G160" i="3"/>
  <c r="E160" i="3"/>
  <c r="G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203" i="3" s="1"/>
  <c r="G215" i="3" s="1"/>
  <c r="G225" i="3" s="1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G131" i="3"/>
  <c r="G146" i="3" s="1"/>
  <c r="E126" i="3"/>
  <c r="E125" i="3"/>
  <c r="E124" i="3"/>
  <c r="E123" i="3"/>
  <c r="G122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G51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F17" i="3"/>
  <c r="F16" i="3"/>
  <c r="F15" i="3"/>
  <c r="F14" i="3"/>
  <c r="F13" i="3"/>
  <c r="F12" i="3"/>
  <c r="F11" i="3"/>
  <c r="G10" i="3"/>
  <c r="G9" i="3"/>
  <c r="G128" i="3" s="1"/>
  <c r="B56" i="5"/>
  <c r="G41" i="5"/>
  <c r="G27" i="5"/>
  <c r="E14" i="5"/>
  <c r="D39" i="4"/>
  <c r="G10" i="4"/>
  <c r="G40" i="5"/>
  <c r="G26" i="5"/>
  <c r="G13" i="5"/>
  <c r="G36" i="4"/>
  <c r="G20" i="4"/>
  <c r="E10" i="4"/>
  <c r="B55" i="5"/>
  <c r="E40" i="5"/>
  <c r="E26" i="5"/>
  <c r="G11" i="5"/>
  <c r="G48" i="4"/>
  <c r="G35" i="4"/>
  <c r="E20" i="4"/>
  <c r="G9" i="4"/>
  <c r="G46" i="5"/>
  <c r="G39" i="5"/>
  <c r="G25" i="5"/>
  <c r="F11" i="5"/>
  <c r="D48" i="4"/>
  <c r="E35" i="4"/>
  <c r="G19" i="4"/>
  <c r="F5" i="4"/>
  <c r="E40" i="4"/>
  <c r="D39" i="5"/>
  <c r="G10" i="5"/>
  <c r="G47" i="4"/>
  <c r="G34" i="4"/>
  <c r="G17" i="4"/>
  <c r="E26" i="4"/>
  <c r="G36" i="5"/>
  <c r="G20" i="5"/>
  <c r="E10" i="5"/>
  <c r="D47" i="4"/>
  <c r="D34" i="4"/>
  <c r="E17" i="4"/>
  <c r="G11" i="4"/>
  <c r="G48" i="5"/>
  <c r="G35" i="5"/>
  <c r="E20" i="5"/>
  <c r="G9" i="5"/>
  <c r="G46" i="4"/>
  <c r="G16" i="4"/>
  <c r="G16" i="5"/>
  <c r="D48" i="5"/>
  <c r="E35" i="5"/>
  <c r="G19" i="5"/>
  <c r="F5" i="5"/>
  <c r="G14" i="4"/>
  <c r="G47" i="5"/>
  <c r="G34" i="5"/>
  <c r="G17" i="5"/>
  <c r="B56" i="4"/>
  <c r="G41" i="4"/>
  <c r="G27" i="4"/>
  <c r="E14" i="4"/>
  <c r="D47" i="5"/>
  <c r="D34" i="5"/>
  <c r="E17" i="5"/>
  <c r="G40" i="4"/>
  <c r="G26" i="4"/>
  <c r="G13" i="4"/>
  <c r="B55" i="4"/>
  <c r="G14" i="5"/>
  <c r="G39" i="4"/>
  <c r="G25" i="4"/>
  <c r="F11" i="4"/>
  <c r="G28" i="4" l="1"/>
  <c r="G49" i="4"/>
  <c r="G51" i="4" s="1"/>
  <c r="G22" i="5"/>
  <c r="G43" i="5"/>
  <c r="G28" i="5"/>
  <c r="G49" i="5"/>
  <c r="G51" i="5" s="1"/>
  <c r="G22" i="4"/>
  <c r="G43" i="4"/>
  <c r="G148" i="3"/>
  <c r="G227" i="3" s="1"/>
  <c r="G53" i="4" l="1"/>
  <c r="G30" i="4"/>
  <c r="G55" i="4" s="1"/>
  <c r="G53" i="5"/>
  <c r="G30" i="5"/>
  <c r="G55" i="5" l="1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<sst xmlns="http://schemas.openxmlformats.org/spreadsheetml/2006/main" count="372" uniqueCount="316">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</sst>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0" fontId="2" fillId="0" borderId="0" xfId="0" applyFont="1"/>
    <xf numFmtId="165" fontId="2" fillId="0" borderId="4" xfId="1" applyNumberFormat="1" applyFont="1" applyFill="1" applyBorder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4" fillId="0" borderId="0" xfId="0" applyFont="1" applyFill="1"/>
    <xf numFmtId="0" fontId="4" fillId="0" borderId="3" xfId="0" applyFont="1" applyFill="1" applyBorder="1"/>
    <xf numFmtId="0" fontId="4" fillId="0" borderId="0" xfId="0" applyFont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165" fontId="1" fillId="0" borderId="8" xfId="1" applyNumberFormat="1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166" fontId="3" fillId="3" borderId="9" xfId="2" applyNumberFormat="1" applyFont="1" applyFill="1" applyBorder="1"/>
    <xf numFmtId="0" fontId="5" fillId="0" borderId="0" xfId="0" applyFont="1"/>
    <xf numFmtId="0" fontId="6" fillId="4" borderId="0" xfId="0" applyFont="1" applyFill="1"/>
    <xf numFmtId="0" fontId="3" fillId="4" borderId="0" xfId="0" applyFont="1" applyFill="1" applyAlignment="1">
      <alignment horizontal="left"/>
    </xf>
    <xf numFmtId="165" fontId="0" fillId="0" borderId="10" xfId="1" applyNumberFormat="1" applyFont="1" applyFill="1" applyBorder="1"/>
    <xf numFmtId="165" fontId="3" fillId="4" borderId="11" xfId="1" applyNumberFormat="1" applyFont="1" applyFill="1" applyBorder="1"/>
    <xf numFmtId="165" fontId="1" fillId="0" borderId="0" xfId="1" applyNumberFormat="1" applyFont="1"/>
    <xf numFmtId="165" fontId="1" fillId="0" borderId="10" xfId="1" applyNumberFormat="1" applyFont="1" applyFill="1" applyBorder="1"/>
    <xf numFmtId="0" fontId="1" fillId="0" borderId="0" xfId="0" applyFont="1" applyAlignment="1">
      <alignment horizontal="center"/>
    </xf>
    <xf numFmtId="0" fontId="7" fillId="0" borderId="0" xfId="0" applyFont="1"/>
    <xf numFmtId="0" fontId="2" fillId="0" borderId="3" xfId="0" applyFont="1" applyFill="1" applyBorder="1"/>
    <xf numFmtId="0" fontId="8" fillId="0" borderId="0" xfId="0" applyFont="1"/>
    <xf numFmtId="0" fontId="1" fillId="0" borderId="0" xfId="0" applyFont="1" applyAlignment="1">
      <alignment horizontal="left"/>
    </xf>
    <xf numFmtId="0" fontId="9" fillId="0" borderId="0" xfId="0" applyFont="1"/>
    <xf numFmtId="165" fontId="8" fillId="0" borderId="0" xfId="1" applyNumberFormat="1" applyFont="1"/>
    <xf numFmtId="0" fontId="5" fillId="0" borderId="0" xfId="0" applyFont="1" applyAlignment="1">
      <alignment horizontal="left"/>
    </xf>
    <xf numFmtId="165" fontId="10" fillId="0" borderId="0" xfId="1" applyNumberFormat="1" applyFont="1" applyFill="1"/>
    <xf numFmtId="0" fontId="0" fillId="0" borderId="0" xfId="0" applyFont="1" applyAlignment="1">
      <alignment horizontal="center"/>
    </xf>
    <xf numFmtId="0" fontId="0" fillId="0" borderId="3" xfId="0" applyFont="1" applyFill="1" applyBorder="1"/>
    <xf numFmtId="165" fontId="0" fillId="0" borderId="0" xfId="1" applyNumberFormat="1" applyFont="1"/>
    <xf numFmtId="0" fontId="0" fillId="0" borderId="0" xfId="0" applyFont="1" applyAlignment="1">
      <alignment horizontal="centerContinuous"/>
    </xf>
    <xf numFmtId="166" fontId="3" fillId="3" borderId="2" xfId="2" applyNumberFormat="1" applyFont="1" applyFill="1" applyBorder="1"/>
    <xf numFmtId="165" fontId="0" fillId="0" borderId="0" xfId="1" applyNumberFormat="1" applyFont="1" applyAlignment="1">
      <alignment horizontal="centerContinuous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  <xf numFmtId="14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4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3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28"/>
  <sheetViews>
    <sheetView tabSelected="1" zoomScale="90" workbookViewId="0">
      <selection activeCell="K146" sqref="K146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9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8"/>
      <c r="D2" s="38"/>
      <c r="E2" s="47"/>
      <c r="F2" s="42" t="s">
        <v>15</v>
      </c>
      <c r="G2" s="52"/>
      <c r="H2" s="50"/>
    </row>
    <row r="3" spans="1:8" x14ac:dyDescent="0.25">
      <c r="C3" s="38"/>
      <c r="D3" s="38"/>
      <c r="E3" s="47"/>
      <c r="F3" s="42" t="s">
        <v>14</v>
      </c>
      <c r="G3" s="52"/>
      <c r="H3" s="50"/>
    </row>
    <row r="4" spans="1:8" x14ac:dyDescent="0.25">
      <c r="C4" s="29"/>
      <c r="D4" s="29"/>
      <c r="E4" s="29"/>
      <c r="F4" s="42" t="s">
        <v>300</v>
      </c>
      <c r="G4" s="52"/>
      <c r="H4" s="50"/>
    </row>
    <row r="5" spans="1:8" x14ac:dyDescent="0.25">
      <c r="C5" s="29"/>
      <c r="D5" s="29"/>
      <c r="E5" s="29"/>
      <c r="F5" s="55">
        <v>44044</v>
      </c>
      <c r="G5" s="52"/>
      <c r="H5" s="50"/>
    </row>
    <row r="7" spans="1:8" ht="15.75" thickBot="1" x14ac:dyDescent="0.3">
      <c r="B7" s="15" t="s">
        <v>0</v>
      </c>
      <c r="C7" s="16"/>
      <c r="D7" s="16"/>
      <c r="E7" s="27"/>
      <c r="F7" s="27"/>
      <c r="G7" s="51"/>
      <c r="H7" s="8"/>
    </row>
    <row r="8" spans="1:8" x14ac:dyDescent="0.25">
      <c r="B8" s="2"/>
      <c r="C8" s="24" t="s">
        <v>6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14905949.49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3714148.1899999995</v>
      </c>
      <c r="H10" s="8"/>
    </row>
    <row r="11" spans="1:8" s="12" customFormat="1" hidden="1" outlineLevel="2" x14ac:dyDescent="0.25">
      <c r="A11" s="19"/>
      <c r="B11" s="17"/>
      <c r="C11" s="18"/>
      <c r="D11" s="21"/>
      <c r="F11" s="4" t="str">
        <f>CONCATENATE("1101", " - ", "VAULT FUND")</f>
        <v>1101 - VAULT FUND</v>
      </c>
      <c r="G11" s="13">
        <v>105535.06999999999</v>
      </c>
      <c r="H11" s="10"/>
    </row>
    <row r="12" spans="1:8" s="12" customFormat="1" hidden="1" outlineLevel="2" x14ac:dyDescent="0.25">
      <c r="A12" s="19"/>
      <c r="B12" s="17"/>
      <c r="C12" s="18"/>
      <c r="D12" s="21"/>
      <c r="F12" s="4" t="str">
        <f>CONCATENATE("1102", " - ", "IMPREST FUND-FOOD SVC")</f>
        <v>1102 - IMPREST FUND-FOOD SVC</v>
      </c>
      <c r="G12" s="13">
        <v>150</v>
      </c>
      <c r="H12" s="10"/>
    </row>
    <row r="13" spans="1:8" s="12" customFormat="1" hidden="1" outlineLevel="2" x14ac:dyDescent="0.25">
      <c r="A13" s="19"/>
      <c r="B13" s="17"/>
      <c r="C13" s="18"/>
      <c r="D13" s="21"/>
      <c r="F13" s="4" t="str">
        <f>CONCATENATE("1103", " - ", "IMPREST FUND-BOOKSTORE")</f>
        <v>1103 - IMPREST FUND-BOOKSTORE</v>
      </c>
      <c r="G13" s="13">
        <v>1336</v>
      </c>
      <c r="H13" s="10"/>
    </row>
    <row r="14" spans="1:8" s="12" customFormat="1" hidden="1" outlineLevel="2" x14ac:dyDescent="0.25">
      <c r="A14" s="19"/>
      <c r="B14" s="17"/>
      <c r="C14" s="18"/>
      <c r="D14" s="21"/>
      <c r="F14" s="4" t="str">
        <f>CONCATENATE("1104", " - ", "PETTY CASH FUND")</f>
        <v>1104 - PETTY CASH FUND</v>
      </c>
      <c r="G14" s="13">
        <v>2500</v>
      </c>
      <c r="H14" s="10"/>
    </row>
    <row r="15" spans="1:8" s="12" customFormat="1" hidden="1" outlineLevel="2" x14ac:dyDescent="0.25">
      <c r="A15" s="19"/>
      <c r="B15" s="17"/>
      <c r="C15" s="18"/>
      <c r="D15" s="21"/>
      <c r="F15" s="4" t="str">
        <f>CONCATENATE("1106", " - ", "CITY NATIONAL BANK-GEN. CKG.")</f>
        <v>1106 - CITY NATIONAL BANK-GEN. CKG.</v>
      </c>
      <c r="G15" s="13">
        <v>2199416.3899999997</v>
      </c>
      <c r="H15" s="10"/>
    </row>
    <row r="16" spans="1:8" s="12" customFormat="1" hidden="1" outlineLevel="2" x14ac:dyDescent="0.25">
      <c r="A16" s="19"/>
      <c r="B16" s="17"/>
      <c r="C16" s="18"/>
      <c r="D16" s="21"/>
      <c r="F16" s="4" t="str">
        <f>CONCATENATE("1110", " - ", "CITY NATIONAL BANK-P/R ACCOUNT")</f>
        <v>1110 - CITY NATIONAL BANK-P/R ACCOUNT</v>
      </c>
      <c r="G16" s="13">
        <v>-2832.7</v>
      </c>
      <c r="H16" s="10"/>
    </row>
    <row r="17" spans="1:8" s="12" customFormat="1" hidden="1" outlineLevel="2" x14ac:dyDescent="0.25">
      <c r="A17" s="19"/>
      <c r="B17" s="17"/>
      <c r="C17" s="18"/>
      <c r="D17" s="21"/>
      <c r="F17" s="4" t="str">
        <f>CONCATENATE("1111", " - ", "CITY NATIONAL BANK- LADDER ACC")</f>
        <v>1111 - CITY NATIONAL BANK- LADDER ACC</v>
      </c>
      <c r="G17" s="13">
        <v>1408043.4300000002</v>
      </c>
      <c r="H17" s="10"/>
    </row>
    <row r="18" spans="1:8" outlineLevel="1" x14ac:dyDescent="0.25">
      <c r="B18" s="2"/>
      <c r="C18" s="9"/>
      <c r="D18" s="3"/>
      <c r="E18" s="7" t="s">
        <v>314</v>
      </c>
      <c r="F18" s="7"/>
      <c r="G18" s="20">
        <f>SUM(OSRRefG11_1x_0)</f>
        <v>10773139.32</v>
      </c>
      <c r="H18" s="8"/>
    </row>
    <row r="19" spans="1:8" s="12" customFormat="1" outlineLevel="2" x14ac:dyDescent="0.25">
      <c r="A19" s="19"/>
      <c r="B19" s="17"/>
      <c r="C19" s="18"/>
      <c r="D19" s="21"/>
      <c r="F19" s="4" t="str">
        <f>CONCATENATE("1112", " - ", "WELLS FARGO BANK-AC#04723-3500")</f>
        <v>1112 - WELLS FARGO BANK-AC#04723-3500</v>
      </c>
      <c r="G19" s="13">
        <v>544137.05999999994</v>
      </c>
      <c r="H19" s="10"/>
    </row>
    <row r="20" spans="1:8" s="12" customFormat="1" outlineLevel="2" x14ac:dyDescent="0.25">
      <c r="A20" s="19"/>
      <c r="B20" s="17"/>
      <c r="C20" s="18"/>
      <c r="D20" s="21"/>
      <c r="F20" s="4" t="str">
        <f>CONCATENATE("1122", " - ", "SICK LEAVE RESERVES")</f>
        <v>1122 - SICK LEAVE RESERVES</v>
      </c>
      <c r="G20" s="13">
        <v>768431.67</v>
      </c>
      <c r="H20" s="10"/>
    </row>
    <row r="21" spans="1:8" s="12" customFormat="1" outlineLevel="2" x14ac:dyDescent="0.25">
      <c r="A21" s="19"/>
      <c r="B21" s="17"/>
      <c r="C21" s="18"/>
      <c r="D21" s="21"/>
      <c r="F21" s="4" t="str">
        <f>CONCATENATE("1125", " - ", "BEACH CLUB DEPOSITS")</f>
        <v>1125 - BEACH CLUB DEPOSITS</v>
      </c>
      <c r="G21" s="13">
        <v>400000</v>
      </c>
      <c r="H21" s="10"/>
    </row>
    <row r="22" spans="1:8" s="12" customFormat="1" outlineLevel="2" x14ac:dyDescent="0.25">
      <c r="A22" s="19"/>
      <c r="B22" s="17"/>
      <c r="C22" s="18"/>
      <c r="D22" s="21"/>
      <c r="F22" s="4" t="str">
        <f>CONCATENATE("1126", " - ", "PERS UNFUNDED LIABILITY")</f>
        <v>1126 - PERS UNFUNDED LIABILITY</v>
      </c>
      <c r="G22" s="13">
        <v>3482422.62</v>
      </c>
      <c r="H22" s="10"/>
    </row>
    <row r="23" spans="1:8" s="12" customFormat="1" outlineLevel="2" x14ac:dyDescent="0.25">
      <c r="A23" s="19"/>
      <c r="B23" s="17"/>
      <c r="C23" s="18"/>
      <c r="D23" s="21"/>
      <c r="F23" s="4" t="str">
        <f>CONCATENATE("1128", " - ", "SRB FUNDING- OUTPOST")</f>
        <v>1128 - SRB FUNDING- OUTPOST</v>
      </c>
      <c r="G23" s="13">
        <v>3178147.97</v>
      </c>
      <c r="H23" s="10"/>
    </row>
    <row r="24" spans="1:8" s="12" customFormat="1" outlineLevel="2" x14ac:dyDescent="0.25">
      <c r="A24" s="19"/>
      <c r="B24" s="17"/>
      <c r="C24" s="18"/>
      <c r="D24" s="21"/>
      <c r="F24" s="4" t="str">
        <f>CONCATENATE("1129", " - ", "VEBA/POST RETIREMENT MEDICAL")</f>
        <v>1129 - VEBA/POST RETIREMENT MEDICAL</v>
      </c>
      <c r="G24" s="13">
        <v>400000</v>
      </c>
      <c r="H24" s="10"/>
    </row>
    <row r="25" spans="1:8" s="12" customFormat="1" outlineLevel="2" x14ac:dyDescent="0.25">
      <c r="A25" s="19"/>
      <c r="B25" s="17"/>
      <c r="C25" s="18"/>
      <c r="D25" s="21"/>
      <c r="F25" s="4" t="str">
        <f>CONCATENATE("1131", " - ", "SBA LOAN")</f>
        <v>1131 - SBA LOAN</v>
      </c>
      <c r="G25" s="13">
        <v>2000000</v>
      </c>
      <c r="H25" s="10"/>
    </row>
    <row r="26" spans="1:8" outlineLevel="1" collapsed="1" x14ac:dyDescent="0.25">
      <c r="B26" s="2"/>
      <c r="C26" s="9"/>
      <c r="D26" s="3"/>
      <c r="E26" s="7" t="s">
        <v>315</v>
      </c>
      <c r="F26" s="7"/>
      <c r="G26" s="20">
        <f>SUM(OSRRefG11_2x_0)</f>
        <v>418661.97999999975</v>
      </c>
      <c r="H26" s="8"/>
    </row>
    <row r="27" spans="1:8" s="12" customFormat="1" hidden="1" outlineLevel="2" x14ac:dyDescent="0.25">
      <c r="A27" s="19"/>
      <c r="B27" s="17"/>
      <c r="C27" s="18"/>
      <c r="D27" s="21"/>
      <c r="F27" s="4" t="str">
        <f>CONCATENATE("1108", " - ", "INVESTMENTS - BROKERS")</f>
        <v>1108 - INVESTMENTS - BROKERS</v>
      </c>
      <c r="G27" s="13">
        <v>274017.28999999998</v>
      </c>
      <c r="H27" s="10"/>
    </row>
    <row r="28" spans="1:8" s="12" customFormat="1" hidden="1" outlineLevel="2" x14ac:dyDescent="0.25">
      <c r="A28" s="19"/>
      <c r="B28" s="17"/>
      <c r="C28" s="18"/>
      <c r="D28" s="21"/>
      <c r="F28" s="4" t="str">
        <f>CONCATENATE("1109", " - ", "INVESTMENTS - BANKS")</f>
        <v>1109 - INVESTMENTS - BANKS</v>
      </c>
      <c r="G28" s="13">
        <v>-1799222.04</v>
      </c>
      <c r="H28" s="10"/>
    </row>
    <row r="29" spans="1:8" s="12" customFormat="1" hidden="1" outlineLevel="2" x14ac:dyDescent="0.25">
      <c r="A29" s="19"/>
      <c r="B29" s="17"/>
      <c r="C29" s="18"/>
      <c r="D29" s="21"/>
      <c r="F29" s="4" t="str">
        <f>CONCATENATE("1118", " - ", "ALLOWANCE FOR FMV OF INVESTMEN")</f>
        <v>1118 - ALLOWANCE FOR FMV OF INVESTMEN</v>
      </c>
      <c r="G29" s="13">
        <v>1943866.7299999997</v>
      </c>
      <c r="H29" s="10"/>
    </row>
    <row r="30" spans="1:8" ht="8.25" customHeight="1" x14ac:dyDescent="0.25">
      <c r="B30" s="2"/>
      <c r="C30" s="9"/>
      <c r="D30" s="3"/>
      <c r="E30" s="7"/>
      <c r="F30" s="7"/>
      <c r="G30" s="20"/>
      <c r="H30" s="8"/>
    </row>
    <row r="31" spans="1:8" s="5" customFormat="1" collapsed="1" x14ac:dyDescent="0.25">
      <c r="B31" s="2"/>
      <c r="C31" s="9"/>
      <c r="D31" s="3" t="s">
        <v>16</v>
      </c>
      <c r="E31" s="3"/>
      <c r="F31" s="3"/>
      <c r="G31" s="11">
        <f>SUM(OSRRefG14x_0)</f>
        <v>490812.46000000008</v>
      </c>
      <c r="H31" s="2"/>
    </row>
    <row r="32" spans="1:8" s="12" customFormat="1" hidden="1" outlineLevel="1" x14ac:dyDescent="0.25">
      <c r="A32" s="19"/>
      <c r="B32" s="17"/>
      <c r="C32" s="18"/>
      <c r="D32" s="21"/>
      <c r="E32" s="4" t="str">
        <f>CONCATENATE("1210", " - ", "A/R - BOOKSTORE")</f>
        <v>1210 - A/R - BOOKSTORE</v>
      </c>
      <c r="F32" s="4"/>
      <c r="G32" s="13">
        <v>372729.80000000005</v>
      </c>
      <c r="H32" s="10"/>
    </row>
    <row r="33" spans="1:8" s="12" customFormat="1" hidden="1" outlineLevel="1" x14ac:dyDescent="0.25">
      <c r="A33" s="19"/>
      <c r="B33" s="17"/>
      <c r="C33" s="18"/>
      <c r="D33" s="21"/>
      <c r="E33" s="4" t="str">
        <f>CONCATENATE("1211", " - ", "A/R - REBATE RECEIVABLE")</f>
        <v>1211 - A/R - REBATE RECEIVABLE</v>
      </c>
      <c r="F33" s="4"/>
      <c r="G33" s="13">
        <v>22974.76</v>
      </c>
      <c r="H33" s="10"/>
    </row>
    <row r="34" spans="1:8" s="12" customFormat="1" hidden="1" outlineLevel="1" x14ac:dyDescent="0.25">
      <c r="A34" s="19"/>
      <c r="B34" s="17"/>
      <c r="C34" s="18"/>
      <c r="D34" s="21"/>
      <c r="E34" s="4" t="str">
        <f>CONCATENATE("1212", " - ", "A/R - TAPINGO SALES")</f>
        <v>1212 - A/R - TAPINGO SALES</v>
      </c>
      <c r="F34" s="4"/>
      <c r="G34" s="13">
        <v>464.84</v>
      </c>
      <c r="H34" s="10"/>
    </row>
    <row r="35" spans="1:8" s="12" customFormat="1" hidden="1" outlineLevel="1" x14ac:dyDescent="0.25">
      <c r="A35" s="19"/>
      <c r="B35" s="17"/>
      <c r="C35" s="18"/>
      <c r="D35" s="21"/>
      <c r="E35" s="4" t="str">
        <f>CONCATENATE("1215", " - ", "A/R - OFFSET BOOKSTORE")</f>
        <v>1215 - A/R - OFFSET BOOKSTORE</v>
      </c>
      <c r="F35" s="4"/>
      <c r="G35" s="13">
        <v>-39759.53</v>
      </c>
      <c r="H35" s="10"/>
    </row>
    <row r="36" spans="1:8" s="12" customFormat="1" hidden="1" outlineLevel="1" x14ac:dyDescent="0.25">
      <c r="A36" s="19"/>
      <c r="B36" s="17"/>
      <c r="C36" s="18"/>
      <c r="D36" s="21"/>
      <c r="E36" s="4" t="str">
        <f>CONCATENATE("1222", " - ", "A/R - VENDOR/LEASEE")</f>
        <v>1222 - A/R - VENDOR/LEASEE</v>
      </c>
      <c r="F36" s="4"/>
      <c r="G36" s="13">
        <v>-2493.11</v>
      </c>
      <c r="H36" s="10"/>
    </row>
    <row r="37" spans="1:8" s="12" customFormat="1" hidden="1" outlineLevel="1" x14ac:dyDescent="0.25">
      <c r="A37" s="19"/>
      <c r="B37" s="17"/>
      <c r="C37" s="18"/>
      <c r="D37" s="21"/>
      <c r="E37" s="4" t="str">
        <f>CONCATENATE("1225", " - ", "A/R - OFFSET FOOD SERVICE")</f>
        <v>1225 - A/R - OFFSET FOOD SERVICE</v>
      </c>
      <c r="F37" s="4"/>
      <c r="G37" s="13">
        <v>-15740.310000000001</v>
      </c>
      <c r="H37" s="10"/>
    </row>
    <row r="38" spans="1:8" s="12" customFormat="1" hidden="1" outlineLevel="1" x14ac:dyDescent="0.25">
      <c r="A38" s="19"/>
      <c r="B38" s="17"/>
      <c r="C38" s="18"/>
      <c r="D38" s="21"/>
      <c r="E38" s="4" t="str">
        <f>CONCATENATE("1240", " - ", "A/R - NSF CHECKS")</f>
        <v>1240 - A/R - NSF CHECKS</v>
      </c>
      <c r="F38" s="4"/>
      <c r="G38" s="13">
        <v>422.49</v>
      </c>
      <c r="H38" s="10"/>
    </row>
    <row r="39" spans="1:8" s="12" customFormat="1" hidden="1" outlineLevel="1" x14ac:dyDescent="0.25">
      <c r="A39" s="19"/>
      <c r="B39" s="17"/>
      <c r="C39" s="18"/>
      <c r="D39" s="21"/>
      <c r="E39" s="4" t="str">
        <f>CONCATENATE("1250", " - ", "A/R - DORMS")</f>
        <v>1250 - A/R - DORMS</v>
      </c>
      <c r="F39" s="4"/>
      <c r="G39" s="13">
        <v>56810.899999999994</v>
      </c>
      <c r="H39" s="10"/>
    </row>
    <row r="40" spans="1:8" s="12" customFormat="1" hidden="1" outlineLevel="1" x14ac:dyDescent="0.25">
      <c r="A40" s="19"/>
      <c r="B40" s="17"/>
      <c r="C40" s="18"/>
      <c r="D40" s="21"/>
      <c r="E40" s="4" t="str">
        <f>CONCATENATE("1254", " - ", "A/R - ONE CARD SYSTEM")</f>
        <v>1254 - A/R - ONE CARD SYSTEM</v>
      </c>
      <c r="F40" s="4"/>
      <c r="G40" s="13">
        <v>57767</v>
      </c>
      <c r="H40" s="10"/>
    </row>
    <row r="41" spans="1:8" s="12" customFormat="1" hidden="1" outlineLevel="1" x14ac:dyDescent="0.25">
      <c r="A41" s="19"/>
      <c r="B41" s="17"/>
      <c r="C41" s="18"/>
      <c r="D41" s="21"/>
      <c r="E41" s="4" t="str">
        <f>CONCATENATE("1255", " - ", "A/R - UNIV STUDENT UNION")</f>
        <v>1255 - A/R - UNIV STUDENT UNION</v>
      </c>
      <c r="F41" s="4"/>
      <c r="G41" s="13">
        <v>-749.26</v>
      </c>
      <c r="H41" s="10"/>
    </row>
    <row r="42" spans="1:8" s="12" customFormat="1" hidden="1" outlineLevel="1" x14ac:dyDescent="0.25">
      <c r="A42" s="19"/>
      <c r="B42" s="17"/>
      <c r="C42" s="18"/>
      <c r="D42" s="21"/>
      <c r="E42" s="4" t="str">
        <f>CONCATENATE("1260", " - ", "A/R - M/C - VISA DRAFTS")</f>
        <v>1260 - A/R - M/C - VISA DRAFTS</v>
      </c>
      <c r="F42" s="4"/>
      <c r="G42" s="13">
        <v>-29888.68</v>
      </c>
      <c r="H42" s="10"/>
    </row>
    <row r="43" spans="1:8" s="12" customFormat="1" hidden="1" outlineLevel="1" x14ac:dyDescent="0.25">
      <c r="A43" s="19"/>
      <c r="B43" s="17"/>
      <c r="C43" s="18"/>
      <c r="D43" s="21"/>
      <c r="E43" s="4" t="str">
        <f>CONCATENATE("1261", " - ", "A/R - WEBSITE CREDIT CARDS")</f>
        <v>1261 - A/R - WEBSITE CREDIT CARDS</v>
      </c>
      <c r="F43" s="4"/>
      <c r="G43" s="13">
        <v>64682.97</v>
      </c>
      <c r="H43" s="10"/>
    </row>
    <row r="44" spans="1:8" s="12" customFormat="1" hidden="1" outlineLevel="1" x14ac:dyDescent="0.25">
      <c r="A44" s="19"/>
      <c r="B44" s="17"/>
      <c r="C44" s="18"/>
      <c r="D44" s="21"/>
      <c r="E44" s="4" t="str">
        <f>CONCATENATE("1262", " - ", "A/R - STARBUCKS GIFT CARD")</f>
        <v>1262 - A/R - STARBUCKS GIFT CARD</v>
      </c>
      <c r="F44" s="4"/>
      <c r="G44" s="13">
        <v>-1597.71</v>
      </c>
      <c r="H44" s="10"/>
    </row>
    <row r="45" spans="1:8" s="12" customFormat="1" hidden="1" outlineLevel="1" x14ac:dyDescent="0.25">
      <c r="A45" s="19"/>
      <c r="B45" s="17"/>
      <c r="C45" s="18"/>
      <c r="D45" s="21"/>
      <c r="E45" s="4" t="str">
        <f>CONCATENATE("1271", " - ", "A/R - C.S.C.")</f>
        <v>1271 - A/R - C.S.C.</v>
      </c>
      <c r="F45" s="4"/>
      <c r="G45" s="13">
        <v>126.3</v>
      </c>
      <c r="H45" s="10"/>
    </row>
    <row r="46" spans="1:8" s="12" customFormat="1" hidden="1" outlineLevel="1" x14ac:dyDescent="0.25">
      <c r="A46" s="19"/>
      <c r="B46" s="17"/>
      <c r="C46" s="18"/>
      <c r="D46" s="21"/>
      <c r="E46" s="4" t="str">
        <f>CONCATENATE("1286", " - ", "A/R - EMPLOYEES")</f>
        <v>1286 - A/R - EMPLOYEES</v>
      </c>
      <c r="F46" s="4"/>
      <c r="G46" s="13">
        <v>4468.28</v>
      </c>
      <c r="H46" s="10"/>
    </row>
    <row r="47" spans="1:8" s="12" customFormat="1" hidden="1" outlineLevel="1" x14ac:dyDescent="0.25">
      <c r="A47" s="19"/>
      <c r="B47" s="17"/>
      <c r="C47" s="18"/>
      <c r="D47" s="21"/>
      <c r="E47" s="4" t="str">
        <f>CONCATENATE("1287", " - ", "A/R - EMPLOYEES SAFETY SHOES")</f>
        <v>1287 - A/R - EMPLOYEES SAFETY SHOES</v>
      </c>
      <c r="F47" s="4"/>
      <c r="G47" s="13">
        <v>593.72</v>
      </c>
      <c r="H47" s="10"/>
    </row>
    <row r="48" spans="1:8" s="12" customFormat="1" hidden="1" outlineLevel="1" x14ac:dyDescent="0.25">
      <c r="A48" s="19"/>
      <c r="B48" s="17"/>
      <c r="C48" s="18"/>
      <c r="D48" s="21"/>
      <c r="E48" s="4" t="str">
        <f>CONCATENATE("3296", " - ", "A/R - INTERFUND - CONTINGENCY")</f>
        <v>3296 - A/R - INTERFUND - CONTINGENCY</v>
      </c>
      <c r="F48" s="4"/>
      <c r="G48" s="13">
        <v>-167269.59</v>
      </c>
      <c r="H48" s="10"/>
    </row>
    <row r="49" spans="1:8" s="12" customFormat="1" hidden="1" outlineLevel="1" x14ac:dyDescent="0.25">
      <c r="A49" s="19"/>
      <c r="B49" s="17"/>
      <c r="C49" s="18"/>
      <c r="D49" s="21"/>
      <c r="E49" s="4" t="str">
        <f>CONCATENATE("3590", " - ", "INTERFUND ACCOUNT-CONTINGENCY")</f>
        <v>3590 - INTERFUND ACCOUNT-CONTINGENCY</v>
      </c>
      <c r="F49" s="4"/>
      <c r="G49" s="13">
        <v>167269.59</v>
      </c>
      <c r="H49" s="10"/>
    </row>
    <row r="50" spans="1:8" ht="8.25" customHeight="1" x14ac:dyDescent="0.25">
      <c r="B50" s="2"/>
      <c r="C50" s="9"/>
      <c r="D50" s="3"/>
      <c r="E50" s="7"/>
      <c r="F50" s="7"/>
      <c r="G50" s="20"/>
      <c r="H50" s="8"/>
    </row>
    <row r="51" spans="1:8" s="5" customFormat="1" collapsed="1" x14ac:dyDescent="0.25">
      <c r="B51" s="2"/>
      <c r="C51" s="9"/>
      <c r="D51" s="3" t="s">
        <v>17</v>
      </c>
      <c r="E51" s="3"/>
      <c r="F51" s="3"/>
      <c r="G51" s="11">
        <f>SUM(OSRRefG17x_0)</f>
        <v>1813853.1900000004</v>
      </c>
      <c r="H51" s="2"/>
    </row>
    <row r="52" spans="1:8" s="12" customFormat="1" hidden="1" outlineLevel="1" x14ac:dyDescent="0.25">
      <c r="A52" s="19"/>
      <c r="B52" s="17"/>
      <c r="C52" s="18"/>
      <c r="D52" s="4"/>
      <c r="E52" s="4" t="str">
        <f>CONCATENATE("1301", " - ", "INVENTORY @ COST-NEW TEXT")</f>
        <v>1301 - INVENTORY @ COST-NEW TEXT</v>
      </c>
      <c r="F52" s="4"/>
      <c r="G52" s="13">
        <v>402177.13</v>
      </c>
      <c r="H52" s="10"/>
    </row>
    <row r="53" spans="1:8" s="12" customFormat="1" hidden="1" outlineLevel="1" x14ac:dyDescent="0.25">
      <c r="A53" s="19"/>
      <c r="B53" s="17"/>
      <c r="C53" s="18"/>
      <c r="D53" s="4"/>
      <c r="E53" s="4" t="str">
        <f>CONCATENATE("1302", " - ", "INVENTORY @ COST-USED TEXT")</f>
        <v>1302 - INVENTORY @ COST-USED TEXT</v>
      </c>
      <c r="F53" s="4"/>
      <c r="G53" s="13">
        <v>217256.68</v>
      </c>
      <c r="H53" s="10"/>
    </row>
    <row r="54" spans="1:8" s="12" customFormat="1" hidden="1" outlineLevel="1" x14ac:dyDescent="0.25">
      <c r="A54" s="19"/>
      <c r="B54" s="17"/>
      <c r="C54" s="18"/>
      <c r="D54" s="4"/>
      <c r="E54" s="4" t="str">
        <f>CONCATENATE("1303", " - ", "INVENTORY @ COST-NEXT")</f>
        <v>1303 - INVENTORY @ COST-NEXT</v>
      </c>
      <c r="F54" s="4"/>
      <c r="G54" s="13">
        <v>-11926.64</v>
      </c>
      <c r="H54" s="10"/>
    </row>
    <row r="55" spans="1:8" s="12" customFormat="1" hidden="1" outlineLevel="1" x14ac:dyDescent="0.25">
      <c r="A55" s="19"/>
      <c r="B55" s="17"/>
      <c r="C55" s="18"/>
      <c r="D55" s="4"/>
      <c r="E55" s="4" t="str">
        <f>CONCATENATE("1304", " - ", "INVENTORY @ COST-DIGITAL BOOKS")</f>
        <v>1304 - INVENTORY @ COST-DIGITAL BOOKS</v>
      </c>
      <c r="F55" s="4"/>
      <c r="G55" s="13">
        <v>78598.48</v>
      </c>
      <c r="H55" s="10"/>
    </row>
    <row r="56" spans="1:8" s="12" customFormat="1" hidden="1" outlineLevel="1" x14ac:dyDescent="0.25">
      <c r="A56" s="19"/>
      <c r="B56" s="17"/>
      <c r="C56" s="18"/>
      <c r="D56" s="4"/>
      <c r="E56" s="4" t="str">
        <f>CONCATENATE("1311", " - ", "INVENTORY @ COST-NO VALUE TEXT")</f>
        <v>1311 - INVENTORY @ COST-NO VALUE TEXT</v>
      </c>
      <c r="F56" s="4"/>
      <c r="G56" s="13">
        <v>0</v>
      </c>
      <c r="H56" s="10"/>
    </row>
    <row r="57" spans="1:8" s="12" customFormat="1" hidden="1" outlineLevel="1" x14ac:dyDescent="0.25">
      <c r="A57" s="19"/>
      <c r="B57" s="17"/>
      <c r="C57" s="18"/>
      <c r="D57" s="4"/>
      <c r="E57" s="4" t="str">
        <f>CONCATENATE("1313", " - ", "INVENTORY @ COST-TRADE BOOKS")</f>
        <v>1313 - INVENTORY @ COST-TRADE BOOKS</v>
      </c>
      <c r="F57" s="4"/>
      <c r="G57" s="13">
        <v>5275.54</v>
      </c>
      <c r="H57" s="10"/>
    </row>
    <row r="58" spans="1:8" s="12" customFormat="1" hidden="1" outlineLevel="1" x14ac:dyDescent="0.25">
      <c r="A58" s="19"/>
      <c r="B58" s="17"/>
      <c r="C58" s="18"/>
      <c r="D58" s="4"/>
      <c r="E58" s="4" t="str">
        <f>CONCATENATE("1314", " - ", "INVENTORY @ COST-REMAINDERS")</f>
        <v>1314 - INVENTORY @ COST-REMAINDERS</v>
      </c>
      <c r="F58" s="4"/>
      <c r="G58" s="13">
        <v>-28.51</v>
      </c>
      <c r="H58" s="10"/>
    </row>
    <row r="59" spans="1:8" s="12" customFormat="1" hidden="1" outlineLevel="1" x14ac:dyDescent="0.25">
      <c r="A59" s="19"/>
      <c r="B59" s="17"/>
      <c r="C59" s="18"/>
      <c r="D59" s="4"/>
      <c r="E59" s="4" t="str">
        <f>CONCATENATE("1318", " - ", "INVENTORY @ COST-STUDY GUIDES")</f>
        <v>1318 - INVENTORY @ COST-STUDY GUIDES</v>
      </c>
      <c r="F59" s="4"/>
      <c r="G59" s="13">
        <v>1433</v>
      </c>
      <c r="H59" s="10"/>
    </row>
    <row r="60" spans="1:8" s="12" customFormat="1" hidden="1" outlineLevel="1" x14ac:dyDescent="0.25">
      <c r="A60" s="19"/>
      <c r="B60" s="17"/>
      <c r="C60" s="18"/>
      <c r="D60" s="4"/>
      <c r="E60" s="4" t="str">
        <f>CONCATENATE("1325", " - ", "INVENTORY @ COST-TEST FORMS")</f>
        <v>1325 - INVENTORY @ COST-TEST FORMS</v>
      </c>
      <c r="F60" s="4"/>
      <c r="G60" s="13">
        <v>161</v>
      </c>
      <c r="H60" s="10"/>
    </row>
    <row r="61" spans="1:8" s="12" customFormat="1" hidden="1" outlineLevel="1" x14ac:dyDescent="0.25">
      <c r="A61" s="19"/>
      <c r="B61" s="17"/>
      <c r="C61" s="18"/>
      <c r="D61" s="4"/>
      <c r="E61" s="4" t="str">
        <f>CONCATENATE("1326", " - ", "INVENTORY @ COST-WRITING INSTR")</f>
        <v>1326 - INVENTORY @ COST-WRITING INSTR</v>
      </c>
      <c r="F61" s="4"/>
      <c r="G61" s="13">
        <v>1399</v>
      </c>
      <c r="H61" s="10"/>
    </row>
    <row r="62" spans="1:8" s="12" customFormat="1" hidden="1" outlineLevel="1" x14ac:dyDescent="0.25">
      <c r="A62" s="19"/>
      <c r="B62" s="17"/>
      <c r="C62" s="18"/>
      <c r="D62" s="4"/>
      <c r="E62" s="4" t="str">
        <f>CONCATENATE("1327", " - ", "INVENTORY @ COST-SCHOOL SUPPLI")</f>
        <v>1327 - INVENTORY @ COST-SCHOOL SUPPLI</v>
      </c>
      <c r="F62" s="4"/>
      <c r="G62" s="13">
        <v>106991.45999999999</v>
      </c>
      <c r="H62" s="10"/>
    </row>
    <row r="63" spans="1:8" s="12" customFormat="1" hidden="1" outlineLevel="1" x14ac:dyDescent="0.25">
      <c r="A63" s="19"/>
      <c r="B63" s="17"/>
      <c r="C63" s="18"/>
      <c r="D63" s="4"/>
      <c r="E63" s="4" t="str">
        <f>CONCATENATE("1328", " - ", "INVENTORY @ COST-ART/TECH")</f>
        <v>1328 - INVENTORY @ COST-ART/TECH</v>
      </c>
      <c r="F63" s="4"/>
      <c r="G63" s="13">
        <v>63004</v>
      </c>
      <c r="H63" s="10"/>
    </row>
    <row r="64" spans="1:8" s="12" customFormat="1" hidden="1" outlineLevel="1" x14ac:dyDescent="0.25">
      <c r="A64" s="19"/>
      <c r="B64" s="17"/>
      <c r="C64" s="18"/>
      <c r="D64" s="4"/>
      <c r="E64" s="4" t="str">
        <f>CONCATENATE("1331", " - ", "INVENTORY @ COST-FOOD")</f>
        <v>1331 - INVENTORY @ COST-FOOD</v>
      </c>
      <c r="F64" s="4"/>
      <c r="G64" s="13">
        <v>136027.91</v>
      </c>
      <c r="H64" s="10"/>
    </row>
    <row r="65" spans="1:8" s="12" customFormat="1" hidden="1" outlineLevel="1" x14ac:dyDescent="0.25">
      <c r="A65" s="19"/>
      <c r="B65" s="17"/>
      <c r="C65" s="18"/>
      <c r="D65" s="4"/>
      <c r="E65" s="4" t="str">
        <f>CONCATENATE("1332", " - ", "INVENTORY @ COST-JUICE")</f>
        <v>1332 - INVENTORY @ COST-JUICE</v>
      </c>
      <c r="F65" s="4"/>
      <c r="G65" s="13">
        <v>371</v>
      </c>
      <c r="H65" s="10"/>
    </row>
    <row r="66" spans="1:8" s="12" customFormat="1" hidden="1" outlineLevel="1" x14ac:dyDescent="0.25">
      <c r="A66" s="19"/>
      <c r="B66" s="17"/>
      <c r="C66" s="18"/>
      <c r="D66" s="4"/>
      <c r="E66" s="4" t="str">
        <f>CONCATENATE("1333", " - ", "INVENTORY @ COST-CANDY")</f>
        <v>1333 - INVENTORY @ COST-CANDY</v>
      </c>
      <c r="F66" s="4"/>
      <c r="G66" s="13">
        <v>1364</v>
      </c>
      <c r="H66" s="10"/>
    </row>
    <row r="67" spans="1:8" s="12" customFormat="1" hidden="1" outlineLevel="1" x14ac:dyDescent="0.25">
      <c r="A67" s="19"/>
      <c r="B67" s="17"/>
      <c r="C67" s="18"/>
      <c r="D67" s="4"/>
      <c r="E67" s="4" t="str">
        <f>CONCATENATE("1334", " - ", "INVENTORY @ COST-SODA")</f>
        <v>1334 - INVENTORY @ COST-SODA</v>
      </c>
      <c r="F67" s="4"/>
      <c r="G67" s="13">
        <v>629</v>
      </c>
      <c r="H67" s="10"/>
    </row>
    <row r="68" spans="1:8" s="12" customFormat="1" hidden="1" outlineLevel="1" x14ac:dyDescent="0.25">
      <c r="A68" s="19"/>
      <c r="B68" s="17"/>
      <c r="C68" s="18"/>
      <c r="D68" s="4"/>
      <c r="E68" s="4" t="str">
        <f>CONCATENATE("1335", " - ", "INVENTORY @ COST-HEALTH &amp; BEAU")</f>
        <v>1335 - INVENTORY @ COST-HEALTH &amp; BEAU</v>
      </c>
      <c r="F68" s="4"/>
      <c r="G68" s="13">
        <v>394</v>
      </c>
      <c r="H68" s="10"/>
    </row>
    <row r="69" spans="1:8" s="12" customFormat="1" hidden="1" outlineLevel="1" x14ac:dyDescent="0.25">
      <c r="A69" s="19"/>
      <c r="B69" s="17"/>
      <c r="C69" s="18"/>
      <c r="D69" s="4"/>
      <c r="E69" s="4" t="str">
        <f>CONCATENATE("1337", " - ", "INVENTORY @ COST-WATER")</f>
        <v>1337 - INVENTORY @ COST-WATER</v>
      </c>
      <c r="F69" s="4"/>
      <c r="G69" s="13">
        <v>853</v>
      </c>
      <c r="H69" s="10"/>
    </row>
    <row r="70" spans="1:8" s="12" customFormat="1" hidden="1" outlineLevel="1" x14ac:dyDescent="0.25">
      <c r="A70" s="19"/>
      <c r="B70" s="17"/>
      <c r="C70" s="18"/>
      <c r="D70" s="4"/>
      <c r="E70" s="4" t="str">
        <f>CONCATENATE("1340", " - ", "INVENTORY @ COST-LOGO CLOTHING")</f>
        <v>1340 - INVENTORY @ COST-LOGO CLOTHING</v>
      </c>
      <c r="F70" s="4"/>
      <c r="G70" s="13">
        <v>342046.9</v>
      </c>
      <c r="H70" s="10"/>
    </row>
    <row r="71" spans="1:8" s="12" customFormat="1" hidden="1" outlineLevel="1" x14ac:dyDescent="0.25">
      <c r="A71" s="19"/>
      <c r="B71" s="17"/>
      <c r="C71" s="18"/>
      <c r="D71" s="4"/>
      <c r="E71" s="4" t="str">
        <f>CONCATENATE("1341", " - ", "INVENTORY @ COST-LOGO GIFTS")</f>
        <v>1341 - INVENTORY @ COST-LOGO GIFTS</v>
      </c>
      <c r="F71" s="4"/>
      <c r="G71" s="13">
        <v>116965.83</v>
      </c>
      <c r="H71" s="10"/>
    </row>
    <row r="72" spans="1:8" s="12" customFormat="1" hidden="1" outlineLevel="1" x14ac:dyDescent="0.25">
      <c r="A72" s="19"/>
      <c r="B72" s="17"/>
      <c r="C72" s="18"/>
      <c r="D72" s="4"/>
      <c r="E72" s="4" t="str">
        <f>CONCATENATE("1342", " - ", "INVENTORY @ COST-EVERYDAY GIFT")</f>
        <v>1342 - INVENTORY @ COST-EVERYDAY GIFT</v>
      </c>
      <c r="F72" s="4"/>
      <c r="G72" s="13">
        <v>70966.099999999991</v>
      </c>
      <c r="H72" s="10"/>
    </row>
    <row r="73" spans="1:8" s="12" customFormat="1" hidden="1" outlineLevel="1" x14ac:dyDescent="0.25">
      <c r="A73" s="19"/>
      <c r="B73" s="17"/>
      <c r="C73" s="18"/>
      <c r="D73" s="4"/>
      <c r="E73" s="4" t="str">
        <f>CONCATENATE("1343", " - ", "INVENTORY @ COST-CARDS")</f>
        <v>1343 - INVENTORY @ COST-CARDS</v>
      </c>
      <c r="F73" s="4"/>
      <c r="G73" s="13">
        <v>2199.6999999999998</v>
      </c>
      <c r="H73" s="10"/>
    </row>
    <row r="74" spans="1:8" s="12" customFormat="1" hidden="1" outlineLevel="1" x14ac:dyDescent="0.25">
      <c r="A74" s="19"/>
      <c r="B74" s="17"/>
      <c r="C74" s="18"/>
      <c r="D74" s="4"/>
      <c r="E74" s="4" t="str">
        <f>CONCATENATE("1344", " - ", "INVENTORY @ COST-ACCESSORIES")</f>
        <v>1344 - INVENTORY @ COST-ACCESSORIES</v>
      </c>
      <c r="F74" s="4"/>
      <c r="G74" s="13">
        <v>30082</v>
      </c>
      <c r="H74" s="10"/>
    </row>
    <row r="75" spans="1:8" s="12" customFormat="1" hidden="1" outlineLevel="1" x14ac:dyDescent="0.25">
      <c r="A75" s="19"/>
      <c r="B75" s="17"/>
      <c r="C75" s="18"/>
      <c r="D75" s="4"/>
      <c r="E75" s="4" t="str">
        <f>CONCATENATE("1345", " - ", "INVENTORY @ COST-SPECIAL ORDER")</f>
        <v>1345 - INVENTORY @ COST-SPECIAL ORDER</v>
      </c>
      <c r="F75" s="4"/>
      <c r="G75" s="13">
        <v>-24847.390000000003</v>
      </c>
      <c r="H75" s="10"/>
    </row>
    <row r="76" spans="1:8" s="12" customFormat="1" hidden="1" outlineLevel="1" x14ac:dyDescent="0.25">
      <c r="A76" s="19"/>
      <c r="B76" s="17"/>
      <c r="C76" s="18"/>
      <c r="D76" s="4"/>
      <c r="E76" s="4" t="str">
        <f>CONCATENATE("1350", " - ", "INVENTORY @ COST-CAFETERIA")</f>
        <v>1350 - INVENTORY @ COST-CAFETERIA</v>
      </c>
      <c r="F76" s="4"/>
      <c r="G76" s="13">
        <v>24827.230000000003</v>
      </c>
      <c r="H76" s="10"/>
    </row>
    <row r="77" spans="1:8" s="12" customFormat="1" hidden="1" outlineLevel="1" x14ac:dyDescent="0.25">
      <c r="A77" s="19"/>
      <c r="B77" s="17"/>
      <c r="C77" s="18"/>
      <c r="D77" s="4"/>
      <c r="E77" s="4" t="str">
        <f>CONCATENATE("1359", " - ", "INVENTORY @ COST-CARTS")</f>
        <v>1359 - INVENTORY @ COST-CARTS</v>
      </c>
      <c r="F77" s="4"/>
      <c r="G77" s="13">
        <v>16651</v>
      </c>
      <c r="H77" s="10"/>
    </row>
    <row r="78" spans="1:8" s="12" customFormat="1" hidden="1" outlineLevel="1" x14ac:dyDescent="0.25">
      <c r="A78" s="19"/>
      <c r="B78" s="17"/>
      <c r="C78" s="18"/>
      <c r="D78" s="4"/>
      <c r="E78" s="4" t="str">
        <f>CONCATENATE("1370", " - ", "INVENTORY @ COST-HILLSIDE")</f>
        <v>1370 - INVENTORY @ COST-HILLSIDE</v>
      </c>
      <c r="F78" s="4"/>
      <c r="G78" s="13">
        <v>14658</v>
      </c>
      <c r="H78" s="10"/>
    </row>
    <row r="79" spans="1:8" s="12" customFormat="1" hidden="1" outlineLevel="1" x14ac:dyDescent="0.25">
      <c r="A79" s="19"/>
      <c r="B79" s="17"/>
      <c r="C79" s="18"/>
      <c r="D79" s="4"/>
      <c r="E79" s="4" t="str">
        <f>CONCATENATE("1380", " - ", "INVENTORY @ COST-PARKSIDE COMM")</f>
        <v>1380 - INVENTORY @ COST-PARKSIDE COMM</v>
      </c>
      <c r="F79" s="4"/>
      <c r="G79" s="13">
        <v>12679</v>
      </c>
      <c r="H79" s="10"/>
    </row>
    <row r="80" spans="1:8" s="12" customFormat="1" hidden="1" outlineLevel="1" x14ac:dyDescent="0.25">
      <c r="A80" s="19"/>
      <c r="B80" s="17"/>
      <c r="C80" s="18"/>
      <c r="D80" s="4"/>
      <c r="E80" s="4" t="str">
        <f>CONCATENATE("1381", " - ", "INVENTORY @ COST-ELECTRONICS")</f>
        <v>1381 - INVENTORY @ COST-ELECTRONICS</v>
      </c>
      <c r="F80" s="4"/>
      <c r="G80" s="13">
        <v>35828.92</v>
      </c>
      <c r="H80" s="10"/>
    </row>
    <row r="81" spans="1:8" s="12" customFormat="1" hidden="1" outlineLevel="1" x14ac:dyDescent="0.25">
      <c r="A81" s="19"/>
      <c r="B81" s="17"/>
      <c r="C81" s="18"/>
      <c r="D81" s="4"/>
      <c r="E81" s="4" t="str">
        <f>CONCATENATE("1382", " - ", "INVENTORY @ COST-COMPUTER HARD")</f>
        <v>1382 - INVENTORY @ COST-COMPUTER HARD</v>
      </c>
      <c r="F81" s="4"/>
      <c r="G81" s="13">
        <v>107339.57</v>
      </c>
      <c r="H81" s="10"/>
    </row>
    <row r="82" spans="1:8" s="12" customFormat="1" hidden="1" outlineLevel="1" x14ac:dyDescent="0.25">
      <c r="A82" s="19"/>
      <c r="B82" s="17"/>
      <c r="C82" s="18"/>
      <c r="D82" s="4"/>
      <c r="E82" s="4" t="str">
        <f>CONCATENATE("1383", " - ", "INVENTORY @ COST-COMPUTER EQUI")</f>
        <v>1383 - INVENTORY @ COST-COMPUTER EQUI</v>
      </c>
      <c r="F82" s="4"/>
      <c r="G82" s="13">
        <v>56616.689999999995</v>
      </c>
      <c r="H82" s="10"/>
    </row>
    <row r="83" spans="1:8" s="12" customFormat="1" hidden="1" outlineLevel="1" x14ac:dyDescent="0.25">
      <c r="A83" s="19"/>
      <c r="B83" s="17"/>
      <c r="C83" s="18"/>
      <c r="D83" s="4"/>
      <c r="E83" s="4" t="str">
        <f>CONCATENATE("1384", " - ", "INVENTORY @ COST-SOFTWARE LICE")</f>
        <v>1384 - INVENTORY @ COST-SOFTWARE LICE</v>
      </c>
      <c r="F83" s="4"/>
      <c r="G83" s="13">
        <v>2421</v>
      </c>
      <c r="H83" s="10"/>
    </row>
    <row r="84" spans="1:8" s="12" customFormat="1" hidden="1" outlineLevel="1" x14ac:dyDescent="0.25">
      <c r="A84" s="19"/>
      <c r="B84" s="17"/>
      <c r="C84" s="18"/>
      <c r="D84" s="4"/>
      <c r="E84" s="4" t="str">
        <f>CONCATENATE("1385", " - ", "INVENTORY @ COST-COMPUTER SOFT")</f>
        <v>1385 - INVENTORY @ COST-COMPUTER SOFT</v>
      </c>
      <c r="F84" s="4"/>
      <c r="G84" s="13">
        <v>1139.3399999999999</v>
      </c>
      <c r="H84" s="10"/>
    </row>
    <row r="85" spans="1:8" s="12" customFormat="1" hidden="1" outlineLevel="1" x14ac:dyDescent="0.25">
      <c r="A85" s="19"/>
      <c r="B85" s="17"/>
      <c r="C85" s="18"/>
      <c r="D85" s="4"/>
      <c r="E85" s="4" t="str">
        <f>CONCATENATE("1386", " - ", "INVENTORY @ COST-COMPUTER SUPP")</f>
        <v>1386 - INVENTORY @ COST-COMPUTER SUPP</v>
      </c>
      <c r="F85" s="4"/>
      <c r="G85" s="13">
        <v>-8040.75</v>
      </c>
      <c r="H85" s="10"/>
    </row>
    <row r="86" spans="1:8" s="12" customFormat="1" hidden="1" outlineLevel="1" x14ac:dyDescent="0.25">
      <c r="A86" s="19"/>
      <c r="B86" s="17"/>
      <c r="C86" s="18"/>
      <c r="D86" s="4"/>
      <c r="E86" s="4" t="str">
        <f>CONCATENATE("1388", " - ", "INVENTORY @ COST-MUSIC")</f>
        <v>1388 - INVENTORY @ COST-MUSIC</v>
      </c>
      <c r="F86" s="4"/>
      <c r="G86" s="13">
        <v>0</v>
      </c>
      <c r="H86" s="10"/>
    </row>
    <row r="87" spans="1:8" s="12" customFormat="1" hidden="1" outlineLevel="1" x14ac:dyDescent="0.25">
      <c r="A87" s="19"/>
      <c r="B87" s="17"/>
      <c r="C87" s="18"/>
      <c r="D87" s="4"/>
      <c r="E87" s="4" t="str">
        <f>CONCATENATE("1390", " - ", "INVENTORY @ COST- BEACHSIDE")</f>
        <v>1390 - INVENTORY @ COST- BEACHSIDE</v>
      </c>
      <c r="F87" s="4"/>
      <c r="G87" s="13">
        <v>8342</v>
      </c>
      <c r="H87" s="10"/>
    </row>
    <row r="88" spans="1:8" s="12" customFormat="1" hidden="1" outlineLevel="1" x14ac:dyDescent="0.25">
      <c r="A88" s="19"/>
      <c r="B88" s="17"/>
      <c r="C88" s="18"/>
      <c r="D88" s="4"/>
      <c r="E88" s="4" t="str">
        <f>CONCATENATE("1392", " - ", "INVENTORY @ COST-GRAD MERCH")</f>
        <v>1392 - INVENTORY @ COST-GRAD MERCH</v>
      </c>
      <c r="F88" s="4"/>
      <c r="G88" s="13">
        <v>0</v>
      </c>
      <c r="H88" s="10"/>
    </row>
    <row r="89" spans="1:8" s="12" customFormat="1" hidden="1" outlineLevel="1" x14ac:dyDescent="0.25">
      <c r="A89" s="19"/>
      <c r="B89" s="17"/>
      <c r="C89" s="18"/>
      <c r="D89" s="4"/>
      <c r="E89" s="4" t="str">
        <f>CONCATENATE("7100", " - ", "INVENTORY @ RETAIL-CONTRA")</f>
        <v>7100 - INVENTORY @ RETAIL-CONTRA</v>
      </c>
      <c r="F89" s="4"/>
      <c r="G89" s="13">
        <v>-3042856</v>
      </c>
      <c r="H89" s="10"/>
    </row>
    <row r="90" spans="1:8" s="12" customFormat="1" hidden="1" outlineLevel="1" x14ac:dyDescent="0.25">
      <c r="A90" s="19"/>
      <c r="B90" s="17"/>
      <c r="C90" s="18"/>
      <c r="D90" s="4"/>
      <c r="E90" s="4" t="str">
        <f>CONCATENATE("7101", " - ", "INVENTORY @ RETAIL-NEW TEXT")</f>
        <v>7101 - INVENTORY @ RETAIL-NEW TEXT</v>
      </c>
      <c r="F90" s="4"/>
      <c r="G90" s="13">
        <v>327615</v>
      </c>
      <c r="H90" s="10"/>
    </row>
    <row r="91" spans="1:8" s="12" customFormat="1" hidden="1" outlineLevel="1" x14ac:dyDescent="0.25">
      <c r="A91" s="19"/>
      <c r="B91" s="17"/>
      <c r="C91" s="18"/>
      <c r="D91" s="4"/>
      <c r="E91" s="4" t="str">
        <f>CONCATENATE("7102", " - ", "INVENTORY @ RETAIL-USED TEXT")</f>
        <v>7102 - INVENTORY @ RETAIL-USED TEXT</v>
      </c>
      <c r="F91" s="4"/>
      <c r="G91" s="13">
        <v>498762.00000000006</v>
      </c>
      <c r="H91" s="10"/>
    </row>
    <row r="92" spans="1:8" s="12" customFormat="1" hidden="1" outlineLevel="1" x14ac:dyDescent="0.25">
      <c r="A92" s="19"/>
      <c r="B92" s="17"/>
      <c r="C92" s="18"/>
      <c r="D92" s="4"/>
      <c r="E92" s="4" t="str">
        <f>CONCATENATE("7104", " - ", "INVENTORY @ RETAIL-DIGITAL TEX")</f>
        <v>7104 - INVENTORY @ RETAIL-DIGITAL TEX</v>
      </c>
      <c r="F92" s="4"/>
      <c r="G92" s="13">
        <v>95137</v>
      </c>
      <c r="H92" s="10"/>
    </row>
    <row r="93" spans="1:8" s="12" customFormat="1" hidden="1" outlineLevel="1" x14ac:dyDescent="0.25">
      <c r="A93" s="19"/>
      <c r="B93" s="17"/>
      <c r="C93" s="18"/>
      <c r="D93" s="4"/>
      <c r="E93" s="4" t="str">
        <f>CONCATENATE("7111", " - ", "INVENTORY @ RETAIL-NO VALUE TE")</f>
        <v>7111 - INVENTORY @ RETAIL-NO VALUE TE</v>
      </c>
      <c r="F93" s="4"/>
      <c r="G93" s="13">
        <v>5</v>
      </c>
      <c r="H93" s="10"/>
    </row>
    <row r="94" spans="1:8" s="12" customFormat="1" hidden="1" outlineLevel="1" x14ac:dyDescent="0.25">
      <c r="A94" s="19"/>
      <c r="B94" s="17"/>
      <c r="C94" s="18"/>
      <c r="D94" s="4"/>
      <c r="E94" s="4" t="str">
        <f>CONCATENATE("7113", " - ", "INVENTORY @ RETAIL-TRADE BOOKS")</f>
        <v>7113 - INVENTORY @ RETAIL-TRADE BOOKS</v>
      </c>
      <c r="F94" s="4"/>
      <c r="G94" s="13">
        <v>7999</v>
      </c>
      <c r="H94" s="10"/>
    </row>
    <row r="95" spans="1:8" s="12" customFormat="1" hidden="1" outlineLevel="1" x14ac:dyDescent="0.25">
      <c r="A95" s="19"/>
      <c r="B95" s="17"/>
      <c r="C95" s="18"/>
      <c r="D95" s="4"/>
      <c r="E95" s="4" t="str">
        <f>CONCATENATE("7117", " - ", "INVENTORY @ RETAIL-DORM/HOUSEW")</f>
        <v>7117 - INVENTORY @ RETAIL-DORM/HOUSEW</v>
      </c>
      <c r="F95" s="4"/>
      <c r="G95" s="13">
        <v>33</v>
      </c>
      <c r="H95" s="10"/>
    </row>
    <row r="96" spans="1:8" s="12" customFormat="1" hidden="1" outlineLevel="1" x14ac:dyDescent="0.25">
      <c r="A96" s="19"/>
      <c r="B96" s="17"/>
      <c r="C96" s="18"/>
      <c r="D96" s="4"/>
      <c r="E96" s="4" t="str">
        <f>CONCATENATE("7118", " - ", "INVENTORY @ RETAIL-STUDY GUIDE")</f>
        <v>7118 - INVENTORY @ RETAIL-STUDY GUIDE</v>
      </c>
      <c r="F96" s="4"/>
      <c r="G96" s="13">
        <v>2925</v>
      </c>
      <c r="H96" s="10"/>
    </row>
    <row r="97" spans="1:8" s="12" customFormat="1" hidden="1" outlineLevel="1" x14ac:dyDescent="0.25">
      <c r="A97" s="19"/>
      <c r="B97" s="17"/>
      <c r="C97" s="18"/>
      <c r="D97" s="4"/>
      <c r="E97" s="4" t="str">
        <f>CONCATENATE("7125", " - ", "INVENTORY @ RETAIL-TEST FORMS")</f>
        <v>7125 - INVENTORY @ RETAIL-TEST FORMS</v>
      </c>
      <c r="F97" s="4"/>
      <c r="G97" s="13">
        <v>37069</v>
      </c>
      <c r="H97" s="10"/>
    </row>
    <row r="98" spans="1:8" s="12" customFormat="1" hidden="1" outlineLevel="1" x14ac:dyDescent="0.25">
      <c r="A98" s="19"/>
      <c r="B98" s="17"/>
      <c r="C98" s="18"/>
      <c r="D98" s="4"/>
      <c r="E98" s="4" t="str">
        <f>CONCATENATE("7126", " - ", "INVENTORY @ RETAIL-WRITING INS")</f>
        <v>7126 - INVENTORY @ RETAIL-WRITING INS</v>
      </c>
      <c r="F98" s="4"/>
      <c r="G98" s="13">
        <v>47070</v>
      </c>
      <c r="H98" s="10"/>
    </row>
    <row r="99" spans="1:8" s="12" customFormat="1" hidden="1" outlineLevel="1" x14ac:dyDescent="0.25">
      <c r="A99" s="19"/>
      <c r="B99" s="17"/>
      <c r="C99" s="18"/>
      <c r="D99" s="4"/>
      <c r="E99" s="4" t="str">
        <f>CONCATENATE("7127", " - ", "INVENTORY @ RETAIL-SCHOOL SUPP")</f>
        <v>7127 - INVENTORY @ RETAIL-SCHOOL SUPP</v>
      </c>
      <c r="F99" s="4"/>
      <c r="G99" s="13">
        <v>123372</v>
      </c>
      <c r="H99" s="10"/>
    </row>
    <row r="100" spans="1:8" s="12" customFormat="1" hidden="1" outlineLevel="1" x14ac:dyDescent="0.25">
      <c r="A100" s="19"/>
      <c r="B100" s="17"/>
      <c r="C100" s="18"/>
      <c r="D100" s="4"/>
      <c r="E100" s="4" t="str">
        <f>CONCATENATE("7128", " - ", "INVENTORY @ RETAIL-ART/TECH")</f>
        <v>7128 - INVENTORY @ RETAIL-ART/TECH</v>
      </c>
      <c r="F100" s="4"/>
      <c r="G100" s="13">
        <v>122585.99999999999</v>
      </c>
      <c r="H100" s="10"/>
    </row>
    <row r="101" spans="1:8" s="12" customFormat="1" hidden="1" outlineLevel="1" x14ac:dyDescent="0.25">
      <c r="A101" s="19"/>
      <c r="B101" s="17"/>
      <c r="C101" s="18"/>
      <c r="D101" s="4"/>
      <c r="E101" s="4" t="str">
        <f>CONCATENATE("7131", " - ", "INVENTORY @ RETAIL-FOOD")</f>
        <v>7131 - INVENTORY @ RETAIL-FOOD</v>
      </c>
      <c r="F101" s="4"/>
      <c r="G101" s="13">
        <v>3748</v>
      </c>
      <c r="H101" s="10"/>
    </row>
    <row r="102" spans="1:8" s="12" customFormat="1" hidden="1" outlineLevel="1" x14ac:dyDescent="0.25">
      <c r="A102" s="19"/>
      <c r="B102" s="17"/>
      <c r="C102" s="18"/>
      <c r="D102" s="4"/>
      <c r="E102" s="4" t="str">
        <f>CONCATENATE("7132", " - ", "INVENTORY @ RETAIL-JUICE")</f>
        <v>7132 - INVENTORY @ RETAIL-JUICE</v>
      </c>
      <c r="F102" s="4"/>
      <c r="G102" s="13">
        <v>761</v>
      </c>
      <c r="H102" s="10"/>
    </row>
    <row r="103" spans="1:8" s="12" customFormat="1" hidden="1" outlineLevel="1" x14ac:dyDescent="0.25">
      <c r="A103" s="19"/>
      <c r="B103" s="17"/>
      <c r="C103" s="18"/>
      <c r="D103" s="4"/>
      <c r="E103" s="4" t="str">
        <f>CONCATENATE("7133", " - ", "INVENTORY @ RETAIL-CANDY")</f>
        <v>7133 - INVENTORY @ RETAIL-CANDY</v>
      </c>
      <c r="F103" s="4"/>
      <c r="G103" s="13">
        <v>3154</v>
      </c>
      <c r="H103" s="10"/>
    </row>
    <row r="104" spans="1:8" s="12" customFormat="1" hidden="1" outlineLevel="1" x14ac:dyDescent="0.25">
      <c r="A104" s="19"/>
      <c r="B104" s="17"/>
      <c r="C104" s="18"/>
      <c r="D104" s="4"/>
      <c r="E104" s="4" t="str">
        <f>CONCATENATE("7134", " - ", "INVENTORY @ RETAIL-SODA")</f>
        <v>7134 - INVENTORY @ RETAIL-SODA</v>
      </c>
      <c r="F104" s="4"/>
      <c r="G104" s="13">
        <v>1350</v>
      </c>
      <c r="H104" s="10"/>
    </row>
    <row r="105" spans="1:8" s="12" customFormat="1" hidden="1" outlineLevel="1" x14ac:dyDescent="0.25">
      <c r="A105" s="19"/>
      <c r="B105" s="17"/>
      <c r="C105" s="18"/>
      <c r="D105" s="4"/>
      <c r="E105" s="4" t="str">
        <f>CONCATENATE("7135", " - ", "INVENTORY @ RETAIL-HEALTH &amp; BE")</f>
        <v>7135 - INVENTORY @ RETAIL-HEALTH &amp; BE</v>
      </c>
      <c r="F105" s="4"/>
      <c r="G105" s="13">
        <v>793</v>
      </c>
      <c r="H105" s="10"/>
    </row>
    <row r="106" spans="1:8" s="12" customFormat="1" hidden="1" outlineLevel="1" x14ac:dyDescent="0.25">
      <c r="A106" s="19"/>
      <c r="B106" s="17"/>
      <c r="C106" s="18"/>
      <c r="D106" s="4"/>
      <c r="E106" s="4" t="str">
        <f>CONCATENATE("7137", " - ", "INVENTORY @ RETAIL-WATER")</f>
        <v>7137 - INVENTORY @ RETAIL-WATER</v>
      </c>
      <c r="F106" s="4"/>
      <c r="G106" s="13">
        <v>1594</v>
      </c>
      <c r="H106" s="10"/>
    </row>
    <row r="107" spans="1:8" s="12" customFormat="1" hidden="1" outlineLevel="1" x14ac:dyDescent="0.25">
      <c r="A107" s="19"/>
      <c r="B107" s="17"/>
      <c r="C107" s="18"/>
      <c r="D107" s="4"/>
      <c r="E107" s="4" t="str">
        <f>CONCATENATE("7140", " - ", "INVENTORY @ RETAIL-LOGO CLOTHI")</f>
        <v>7140 - INVENTORY @ RETAIL-LOGO CLOTHI</v>
      </c>
      <c r="F107" s="4"/>
      <c r="G107" s="13">
        <v>905663</v>
      </c>
      <c r="H107" s="10"/>
    </row>
    <row r="108" spans="1:8" s="12" customFormat="1" hidden="1" outlineLevel="1" x14ac:dyDescent="0.25">
      <c r="A108" s="19"/>
      <c r="B108" s="17"/>
      <c r="C108" s="18"/>
      <c r="D108" s="4"/>
      <c r="E108" s="4" t="str">
        <f>CONCATENATE("7141", " - ", "INVENTORY @ RETAIL-LOGO GIFTS")</f>
        <v>7141 - INVENTORY @ RETAIL-LOGO GIFTS</v>
      </c>
      <c r="F108" s="4"/>
      <c r="G108" s="13">
        <v>293547</v>
      </c>
      <c r="H108" s="10"/>
    </row>
    <row r="109" spans="1:8" s="12" customFormat="1" hidden="1" outlineLevel="1" x14ac:dyDescent="0.25">
      <c r="A109" s="19"/>
      <c r="B109" s="17"/>
      <c r="C109" s="18"/>
      <c r="D109" s="4"/>
      <c r="E109" s="4" t="str">
        <f>CONCATENATE("7142", " - ", "INVENTORY @ RETAIL-EVERYDAY GI")</f>
        <v>7142 - INVENTORY @ RETAIL-EVERYDAY GI</v>
      </c>
      <c r="F109" s="4"/>
      <c r="G109" s="13">
        <v>170805</v>
      </c>
      <c r="H109" s="10"/>
    </row>
    <row r="110" spans="1:8" s="12" customFormat="1" hidden="1" outlineLevel="1" x14ac:dyDescent="0.25">
      <c r="A110" s="19"/>
      <c r="B110" s="17"/>
      <c r="C110" s="18"/>
      <c r="D110" s="4"/>
      <c r="E110" s="4" t="str">
        <f>CONCATENATE("7143", " - ", "INVENTORY @ RETAIL-CARDS")</f>
        <v>7143 - INVENTORY @ RETAIL-CARDS</v>
      </c>
      <c r="F110" s="4"/>
      <c r="G110" s="13">
        <v>4149</v>
      </c>
      <c r="H110" s="10"/>
    </row>
    <row r="111" spans="1:8" s="12" customFormat="1" hidden="1" outlineLevel="1" x14ac:dyDescent="0.25">
      <c r="A111" s="19"/>
      <c r="B111" s="17"/>
      <c r="C111" s="18"/>
      <c r="D111" s="4"/>
      <c r="E111" s="4" t="str">
        <f>CONCATENATE("7144", " - ", "INVENTORY @ RETAIL-ACCESSORIES")</f>
        <v>7144 - INVENTORY @ RETAIL-ACCESSORIES</v>
      </c>
      <c r="F111" s="4"/>
      <c r="G111" s="13">
        <v>69646</v>
      </c>
      <c r="H111" s="10"/>
    </row>
    <row r="112" spans="1:8" s="12" customFormat="1" hidden="1" outlineLevel="1" x14ac:dyDescent="0.25">
      <c r="A112" s="19"/>
      <c r="B112" s="17"/>
      <c r="C112" s="18"/>
      <c r="D112" s="4"/>
      <c r="E112" s="4" t="str">
        <f>CONCATENATE("7145", " - ", "INVENTORY @ RETAIL-SPECIAL ORD")</f>
        <v>7145 - INVENTORY @ RETAIL-SPECIAL ORD</v>
      </c>
      <c r="F112" s="4"/>
      <c r="G112" s="13">
        <v>54832</v>
      </c>
      <c r="H112" s="10"/>
    </row>
    <row r="113" spans="1:8" s="12" customFormat="1" hidden="1" outlineLevel="1" x14ac:dyDescent="0.25">
      <c r="A113" s="19"/>
      <c r="B113" s="17"/>
      <c r="C113" s="18"/>
      <c r="D113" s="4"/>
      <c r="E113" s="4" t="str">
        <f>CONCATENATE("7181", " - ", "PURCHASES @ RETAIL-ELECTRONICS")</f>
        <v>7181 - PURCHASES @ RETAIL-ELECTRONICS</v>
      </c>
      <c r="F113" s="4"/>
      <c r="G113" s="13">
        <v>61700.999999999993</v>
      </c>
      <c r="H113" s="10"/>
    </row>
    <row r="114" spans="1:8" s="12" customFormat="1" hidden="1" outlineLevel="1" x14ac:dyDescent="0.25">
      <c r="A114" s="19"/>
      <c r="B114" s="17"/>
      <c r="C114" s="18"/>
      <c r="D114" s="4"/>
      <c r="E114" s="4" t="str">
        <f>CONCATENATE("7182", " - ", "INVENTORY @ RETAIL-COMPUTER HA")</f>
        <v>7182 - INVENTORY @ RETAIL-COMPUTER HA</v>
      </c>
      <c r="F114" s="4"/>
      <c r="G114" s="13">
        <v>111546</v>
      </c>
      <c r="H114" s="10"/>
    </row>
    <row r="115" spans="1:8" s="12" customFormat="1" hidden="1" outlineLevel="1" x14ac:dyDescent="0.25">
      <c r="A115" s="19"/>
      <c r="B115" s="17"/>
      <c r="C115" s="18"/>
      <c r="D115" s="4"/>
      <c r="E115" s="4" t="str">
        <f>CONCATENATE("7183", " - ", "INVENTORY @ RETAIL-COMPUTER EQ")</f>
        <v>7183 - INVENTORY @ RETAIL-COMPUTER EQ</v>
      </c>
      <c r="F115" s="4"/>
      <c r="G115" s="13">
        <v>46862</v>
      </c>
      <c r="H115" s="10"/>
    </row>
    <row r="116" spans="1:8" s="12" customFormat="1" hidden="1" outlineLevel="1" x14ac:dyDescent="0.25">
      <c r="A116" s="19"/>
      <c r="B116" s="17"/>
      <c r="C116" s="18"/>
      <c r="D116" s="4"/>
      <c r="E116" s="4" t="str">
        <f>CONCATENATE("7184", " - ", "INVENTORY @ RETAIL-SOFTWARE LI")</f>
        <v>7184 - INVENTORY @ RETAIL-SOFTWARE LI</v>
      </c>
      <c r="F116" s="4"/>
      <c r="G116" s="13">
        <v>4303</v>
      </c>
      <c r="H116" s="10"/>
    </row>
    <row r="117" spans="1:8" s="12" customFormat="1" hidden="1" outlineLevel="1" x14ac:dyDescent="0.25">
      <c r="A117" s="19"/>
      <c r="B117" s="17"/>
      <c r="C117" s="18"/>
      <c r="D117" s="4"/>
      <c r="E117" s="4" t="str">
        <f>CONCATENATE("7185", " - ", "INVENTORY @ RETAIL-SOFTWARE")</f>
        <v>7185 - INVENTORY @ RETAIL-SOFTWARE</v>
      </c>
      <c r="F117" s="4"/>
      <c r="G117" s="13">
        <v>3147</v>
      </c>
      <c r="H117" s="10"/>
    </row>
    <row r="118" spans="1:8" s="12" customFormat="1" hidden="1" outlineLevel="1" x14ac:dyDescent="0.25">
      <c r="A118" s="19"/>
      <c r="B118" s="17"/>
      <c r="C118" s="18"/>
      <c r="D118" s="4"/>
      <c r="E118" s="4" t="str">
        <f>CONCATENATE("7186", " - ", "INVENTORY @ RETAIL-COMPUTER SU")</f>
        <v>7186 - INVENTORY @ RETAIL-COMPUTER SU</v>
      </c>
      <c r="F118" s="4"/>
      <c r="G118" s="13">
        <v>22156</v>
      </c>
      <c r="H118" s="10"/>
    </row>
    <row r="119" spans="1:8" s="12" customFormat="1" hidden="1" outlineLevel="1" x14ac:dyDescent="0.25">
      <c r="A119" s="19"/>
      <c r="B119" s="17"/>
      <c r="C119" s="18"/>
      <c r="D119" s="4"/>
      <c r="E119" s="4" t="str">
        <f>CONCATENATE("7188", " - ", "INVENTORY @ RETAIL-MUSIC")</f>
        <v>7188 - INVENTORY @ RETAIL-MUSIC</v>
      </c>
      <c r="F119" s="4"/>
      <c r="G119" s="13">
        <v>32</v>
      </c>
      <c r="H119" s="10"/>
    </row>
    <row r="120" spans="1:8" s="12" customFormat="1" hidden="1" outlineLevel="1" x14ac:dyDescent="0.25">
      <c r="A120" s="19"/>
      <c r="B120" s="17"/>
      <c r="C120" s="18"/>
      <c r="D120" s="4"/>
      <c r="E120" s="4" t="str">
        <f>CONCATENATE("7192", " - ", "INVENTORY @ RETAIL-GRAD MERCH")</f>
        <v>7192 - INVENTORY @ RETAIL-GRAD MERCH</v>
      </c>
      <c r="F120" s="4"/>
      <c r="G120" s="13">
        <v>20492</v>
      </c>
      <c r="H120" s="10"/>
    </row>
    <row r="121" spans="1:8" ht="8.25" customHeight="1" x14ac:dyDescent="0.25">
      <c r="B121" s="2"/>
      <c r="C121" s="9"/>
      <c r="D121" s="3"/>
      <c r="E121" s="7"/>
      <c r="F121" s="7"/>
      <c r="G121" s="20"/>
      <c r="H121" s="8"/>
    </row>
    <row r="122" spans="1:8" s="5" customFormat="1" collapsed="1" x14ac:dyDescent="0.25">
      <c r="B122" s="2"/>
      <c r="C122" s="9"/>
      <c r="D122" s="3" t="s">
        <v>18</v>
      </c>
      <c r="E122" s="3"/>
      <c r="F122" s="3"/>
      <c r="G122" s="11">
        <f>SUM(OSRRefG20x_0)</f>
        <v>143709.12000000002</v>
      </c>
      <c r="H122" s="2"/>
    </row>
    <row r="123" spans="1:8" s="12" customFormat="1" hidden="1" outlineLevel="1" x14ac:dyDescent="0.25">
      <c r="A123" s="19"/>
      <c r="B123" s="17"/>
      <c r="C123" s="18"/>
      <c r="D123" s="21"/>
      <c r="E123" s="4" t="str">
        <f>CONCATENATE("1410", " - ", "PREPAID-GENERAL INSURANCE")</f>
        <v>1410 - PREPAID-GENERAL INSURANCE</v>
      </c>
      <c r="F123" s="4"/>
      <c r="G123" s="13">
        <v>108711.01000000001</v>
      </c>
      <c r="H123" s="10"/>
    </row>
    <row r="124" spans="1:8" s="12" customFormat="1" hidden="1" outlineLevel="1" x14ac:dyDescent="0.25">
      <c r="A124" s="19"/>
      <c r="B124" s="17"/>
      <c r="C124" s="18"/>
      <c r="D124" s="21"/>
      <c r="E124" s="4" t="str">
        <f>CONCATENATE("1418", " - ", "PREPAID-WORKERS COMP. INSURANC")</f>
        <v>1418 - PREPAID-WORKERS COMP. INSURANC</v>
      </c>
      <c r="F124" s="4"/>
      <c r="G124" s="13">
        <v>22865.26</v>
      </c>
      <c r="H124" s="10"/>
    </row>
    <row r="125" spans="1:8" s="12" customFormat="1" hidden="1" outlineLevel="1" x14ac:dyDescent="0.25">
      <c r="A125" s="19"/>
      <c r="B125" s="17"/>
      <c r="C125" s="18"/>
      <c r="D125" s="21"/>
      <c r="E125" s="4" t="str">
        <f>CONCATENATE("1432", " - ", "PREPAID EXPENSES")</f>
        <v>1432 - PREPAID EXPENSES</v>
      </c>
      <c r="F125" s="4"/>
      <c r="G125" s="13">
        <v>3000</v>
      </c>
      <c r="H125" s="10"/>
    </row>
    <row r="126" spans="1:8" s="12" customFormat="1" hidden="1" outlineLevel="1" x14ac:dyDescent="0.25">
      <c r="A126" s="19"/>
      <c r="B126" s="17"/>
      <c r="C126" s="18"/>
      <c r="D126" s="21"/>
      <c r="E126" s="4" t="str">
        <f>CONCATENATE("1435", " - ", "PREP.PURCHASES-WHOLESALE BOOKS")</f>
        <v>1435 - PREP.PURCHASES-WHOLESALE BOOKS</v>
      </c>
      <c r="F126" s="4"/>
      <c r="G126" s="13">
        <v>9132.85</v>
      </c>
      <c r="H126" s="10"/>
    </row>
    <row r="127" spans="1:8" ht="8.25" customHeight="1" x14ac:dyDescent="0.25">
      <c r="B127" s="2"/>
      <c r="C127" s="9"/>
      <c r="D127" s="3"/>
      <c r="E127" s="7"/>
      <c r="F127" s="7"/>
      <c r="G127" s="20"/>
      <c r="H127" s="8"/>
    </row>
    <row r="128" spans="1:8" s="5" customFormat="1" ht="15.75" thickBot="1" x14ac:dyDescent="0.3">
      <c r="B128" s="2"/>
      <c r="C128" s="25" t="s">
        <v>7</v>
      </c>
      <c r="D128" s="6"/>
      <c r="E128" s="6"/>
      <c r="F128" s="6"/>
      <c r="G128" s="26">
        <f>+G9+G31+G51+G122</f>
        <v>17354324.260000002</v>
      </c>
      <c r="H128" s="2"/>
    </row>
    <row r="129" spans="1:8" ht="8.25" customHeight="1" thickBot="1" x14ac:dyDescent="0.3"/>
    <row r="130" spans="1:8" x14ac:dyDescent="0.25">
      <c r="B130" s="2"/>
      <c r="C130" s="24" t="s">
        <v>2</v>
      </c>
      <c r="D130" s="14"/>
      <c r="E130" s="23"/>
      <c r="F130" s="23"/>
      <c r="G130" s="34"/>
      <c r="H130" s="8"/>
    </row>
    <row r="131" spans="1:8" s="5" customFormat="1" collapsed="1" x14ac:dyDescent="0.25">
      <c r="B131" s="2"/>
      <c r="C131" s="9"/>
      <c r="D131" s="3" t="s">
        <v>3</v>
      </c>
      <c r="E131" s="3"/>
      <c r="F131" s="3"/>
      <c r="G131" s="11">
        <f>SUM(OSRRefG26x_0)</f>
        <v>27415477.459999997</v>
      </c>
      <c r="H131" s="2"/>
    </row>
    <row r="132" spans="1:8" s="12" customFormat="1" hidden="1" outlineLevel="1" x14ac:dyDescent="0.25">
      <c r="A132" s="19"/>
      <c r="B132" s="17"/>
      <c r="C132" s="18"/>
      <c r="D132" s="4"/>
      <c r="E132" s="4" t="str">
        <f>CONCATENATE("1620", " - ", "CAPITAL IMPROVEMENTS-BOOKSTORE")</f>
        <v>1620 - CAPITAL IMPROVEMENTS-BOOKSTORE</v>
      </c>
      <c r="F132" s="4"/>
      <c r="G132" s="13">
        <v>5250</v>
      </c>
      <c r="H132" s="10"/>
    </row>
    <row r="133" spans="1:8" s="12" customFormat="1" hidden="1" outlineLevel="1" x14ac:dyDescent="0.25">
      <c r="A133" s="19"/>
      <c r="B133" s="17"/>
      <c r="C133" s="18"/>
      <c r="D133" s="4"/>
      <c r="E133" s="4" t="str">
        <f>CONCATENATE("1630", " - ", "CAPITAL IMPROVEMENTS-FOOD SVC.")</f>
        <v>1630 - CAPITAL IMPROVEMENTS-FOOD SVC.</v>
      </c>
      <c r="F133" s="4"/>
      <c r="G133" s="13">
        <v>38287.660000000003</v>
      </c>
      <c r="H133" s="10"/>
    </row>
    <row r="134" spans="1:8" s="12" customFormat="1" hidden="1" outlineLevel="1" x14ac:dyDescent="0.25">
      <c r="A134" s="19"/>
      <c r="B134" s="17"/>
      <c r="C134" s="18"/>
      <c r="D134" s="4"/>
      <c r="E134" s="4" t="str">
        <f>CONCATENATE("1710", " - ", "FIXED ASSETS-BKSTR BLDG")</f>
        <v>1710 - FIXED ASSETS-BKSTR BLDG</v>
      </c>
      <c r="F134" s="4"/>
      <c r="G134" s="13">
        <v>7154220</v>
      </c>
      <c r="H134" s="10"/>
    </row>
    <row r="135" spans="1:8" s="12" customFormat="1" hidden="1" outlineLevel="1" x14ac:dyDescent="0.25">
      <c r="A135" s="19"/>
      <c r="B135" s="17"/>
      <c r="C135" s="18"/>
      <c r="D135" s="4"/>
      <c r="E135" s="4" t="str">
        <f>CONCATENATE("1715", " - ", "FIXED ASSETS-VENDOR PARKING RE")</f>
        <v>1715 - FIXED ASSETS-VENDOR PARKING RE</v>
      </c>
      <c r="F135" s="4"/>
      <c r="G135" s="13">
        <v>37663.740000000005</v>
      </c>
      <c r="H135" s="10"/>
    </row>
    <row r="136" spans="1:8" s="12" customFormat="1" hidden="1" outlineLevel="1" x14ac:dyDescent="0.25">
      <c r="A136" s="19"/>
      <c r="B136" s="17"/>
      <c r="C136" s="18"/>
      <c r="D136" s="4"/>
      <c r="E136" s="4" t="str">
        <f>CONCATENATE("1720", " - ", "FIXED ASSETS-FOOD SVC LEASEHOL")</f>
        <v>1720 - FIXED ASSETS-FOOD SVC LEASEHOL</v>
      </c>
      <c r="F136" s="4"/>
      <c r="G136" s="13">
        <v>12763092.469999999</v>
      </c>
      <c r="H136" s="10"/>
    </row>
    <row r="137" spans="1:8" s="12" customFormat="1" hidden="1" outlineLevel="1" x14ac:dyDescent="0.25">
      <c r="A137" s="19"/>
      <c r="B137" s="17"/>
      <c r="C137" s="18"/>
      <c r="D137" s="4"/>
      <c r="E137" s="4" t="str">
        <f>CONCATENATE("1725", " - ", "FIXED ASSETS-ADMIN EQUIPMENT")</f>
        <v>1725 - FIXED ASSETS-ADMIN EQUIPMENT</v>
      </c>
      <c r="F137" s="4"/>
      <c r="G137" s="13">
        <v>916867.65</v>
      </c>
      <c r="H137" s="10"/>
    </row>
    <row r="138" spans="1:8" s="12" customFormat="1" hidden="1" outlineLevel="1" x14ac:dyDescent="0.25">
      <c r="A138" s="19"/>
      <c r="B138" s="17"/>
      <c r="C138" s="18"/>
      <c r="D138" s="4"/>
      <c r="E138" s="4" t="str">
        <f>CONCATENATE("1730", " - ", "FIXED ASSETS-BKSTR EQUIPMENT")</f>
        <v>1730 - FIXED ASSETS-BKSTR EQUIPMENT</v>
      </c>
      <c r="F138" s="4"/>
      <c r="G138" s="13">
        <v>2767574.39</v>
      </c>
      <c r="H138" s="10"/>
    </row>
    <row r="139" spans="1:8" s="12" customFormat="1" hidden="1" outlineLevel="1" x14ac:dyDescent="0.25">
      <c r="A139" s="19"/>
      <c r="B139" s="17"/>
      <c r="C139" s="18"/>
      <c r="D139" s="4"/>
      <c r="E139" s="4" t="str">
        <f>CONCATENATE("1740", " - ", "FIXED ASSETS-FOOD SERVICE EQUI")</f>
        <v>1740 - FIXED ASSETS-FOOD SERVICE EQUI</v>
      </c>
      <c r="F139" s="4"/>
      <c r="G139" s="13">
        <v>3436189.59</v>
      </c>
      <c r="H139" s="10"/>
    </row>
    <row r="140" spans="1:8" s="12" customFormat="1" hidden="1" outlineLevel="1" x14ac:dyDescent="0.25">
      <c r="A140" s="19"/>
      <c r="B140" s="17"/>
      <c r="C140" s="18"/>
      <c r="D140" s="4"/>
      <c r="E140" s="4" t="str">
        <f>CONCATENATE("1750", " - ", "FIXED ASSETS-ADMIN FURN+FIXTUR")</f>
        <v>1750 - FIXED ASSETS-ADMIN FURN+FIXTUR</v>
      </c>
      <c r="F140" s="4"/>
      <c r="G140" s="13">
        <v>108112.53</v>
      </c>
      <c r="H140" s="10"/>
    </row>
    <row r="141" spans="1:8" s="12" customFormat="1" hidden="1" outlineLevel="1" x14ac:dyDescent="0.25">
      <c r="A141" s="19"/>
      <c r="B141" s="17"/>
      <c r="C141" s="18"/>
      <c r="D141" s="4"/>
      <c r="E141" s="4" t="str">
        <f>CONCATENATE("1755", " - ", "FIXED ASSETS-BKSTR FURN+FIXTUR")</f>
        <v>1755 - FIXED ASSETS-BKSTR FURN+FIXTUR</v>
      </c>
      <c r="F141" s="4"/>
      <c r="G141" s="13">
        <v>123574.20000000001</v>
      </c>
      <c r="H141" s="10"/>
    </row>
    <row r="142" spans="1:8" s="12" customFormat="1" hidden="1" outlineLevel="1" x14ac:dyDescent="0.25">
      <c r="A142" s="19"/>
      <c r="B142" s="17"/>
      <c r="C142" s="18"/>
      <c r="D142" s="4"/>
      <c r="E142" s="4" t="str">
        <f>CONCATENATE("1760", " - ", "FIXED ASSETS-FOOD SVC OFFICE E")</f>
        <v>1760 - FIXED ASSETS-FOOD SVC OFFICE E</v>
      </c>
      <c r="F142" s="4"/>
      <c r="G142" s="13">
        <v>17910.53</v>
      </c>
      <c r="H142" s="10"/>
    </row>
    <row r="143" spans="1:8" s="12" customFormat="1" hidden="1" outlineLevel="1" x14ac:dyDescent="0.25">
      <c r="A143" s="19"/>
      <c r="B143" s="17"/>
      <c r="C143" s="18"/>
      <c r="D143" s="4"/>
      <c r="E143" s="4" t="str">
        <f>CONCATENATE("1785", " - ", "FIXED ASSETS-BKSTR VEHICLES")</f>
        <v>1785 - FIXED ASSETS-BKSTR VEHICLES</v>
      </c>
      <c r="F143" s="4"/>
      <c r="G143" s="13">
        <v>10879.74</v>
      </c>
      <c r="H143" s="10"/>
    </row>
    <row r="144" spans="1:8" s="12" customFormat="1" hidden="1" outlineLevel="1" x14ac:dyDescent="0.25">
      <c r="A144" s="19"/>
      <c r="B144" s="17"/>
      <c r="C144" s="18"/>
      <c r="D144" s="4"/>
      <c r="E144" s="4" t="str">
        <f>CONCATENATE("1790", " - ", "FIXED ASSETS-FOOD SVC VEHICLES")</f>
        <v>1790 - FIXED ASSETS-FOOD SVC VEHICLES</v>
      </c>
      <c r="F144" s="4"/>
      <c r="G144" s="13">
        <v>35854.959999999999</v>
      </c>
      <c r="H144" s="10"/>
    </row>
    <row r="145" spans="1:8" s="5" customFormat="1" x14ac:dyDescent="0.25">
      <c r="B145" s="2"/>
      <c r="C145" s="9"/>
      <c r="D145" s="3" t="s">
        <v>4</v>
      </c>
      <c r="E145" s="3"/>
      <c r="F145" s="3"/>
      <c r="G145" s="11">
        <v>-20458887.879999999</v>
      </c>
      <c r="H145" s="2"/>
    </row>
    <row r="146" spans="1:8" s="5" customFormat="1" ht="15.75" thickBot="1" x14ac:dyDescent="0.3">
      <c r="B146" s="2"/>
      <c r="C146" s="25" t="s">
        <v>19</v>
      </c>
      <c r="D146" s="6"/>
      <c r="E146" s="6"/>
      <c r="F146" s="6"/>
      <c r="G146" s="26">
        <f>+G131+G145</f>
        <v>6956589.5799999982</v>
      </c>
      <c r="H146" s="2"/>
    </row>
    <row r="147" spans="1:8" ht="8.25" customHeight="1" x14ac:dyDescent="0.25"/>
    <row r="148" spans="1:8" s="5" customFormat="1" ht="15.75" thickBot="1" x14ac:dyDescent="0.3">
      <c r="B148" s="15" t="s">
        <v>5</v>
      </c>
      <c r="C148" s="16"/>
      <c r="D148" s="16"/>
      <c r="E148" s="16"/>
      <c r="F148" s="16"/>
      <c r="G148" s="30">
        <f>+G128+G146</f>
        <v>24310913.84</v>
      </c>
      <c r="H148" s="2"/>
    </row>
    <row r="149" spans="1:8" s="5" customFormat="1" ht="15.75" thickTop="1" x14ac:dyDescent="0.25">
      <c r="G149" s="36"/>
    </row>
    <row r="150" spans="1:8" s="5" customFormat="1" ht="15.75" thickBot="1" x14ac:dyDescent="0.3">
      <c r="B150" s="15" t="s">
        <v>296</v>
      </c>
      <c r="C150" s="15"/>
      <c r="D150" s="15"/>
      <c r="E150" s="15"/>
      <c r="F150" s="15"/>
      <c r="G150" s="15"/>
      <c r="H150" s="2"/>
    </row>
    <row r="151" spans="1:8" s="5" customFormat="1" x14ac:dyDescent="0.25">
      <c r="B151" s="2"/>
      <c r="C151" s="24" t="s">
        <v>8</v>
      </c>
      <c r="D151" s="14"/>
      <c r="E151" s="14"/>
      <c r="F151" s="14"/>
      <c r="G151" s="37"/>
      <c r="H151" s="2"/>
    </row>
    <row r="152" spans="1:8" s="5" customFormat="1" collapsed="1" x14ac:dyDescent="0.25">
      <c r="B152" s="2"/>
      <c r="C152" s="9"/>
      <c r="D152" s="3" t="s">
        <v>303</v>
      </c>
      <c r="E152" s="3"/>
      <c r="F152" s="3"/>
      <c r="G152" s="11">
        <f>--121121.45</f>
        <v>121121.45</v>
      </c>
      <c r="H152" s="2"/>
    </row>
    <row r="153" spans="1:8" s="12" customFormat="1" hidden="1" outlineLevel="2" x14ac:dyDescent="0.25">
      <c r="A153" s="19"/>
      <c r="B153" s="17"/>
      <c r="C153" s="18"/>
      <c r="D153" s="21"/>
      <c r="E153" s="4" t="str">
        <f>CONCATENATE("2000", " - ", "A/P - CLEARING")</f>
        <v>2000 - A/P - CLEARING</v>
      </c>
      <c r="G153" s="13">
        <f>--8739.2</f>
        <v>8739.2000000000007</v>
      </c>
      <c r="H153" s="10"/>
    </row>
    <row r="154" spans="1:8" s="12" customFormat="1" hidden="1" outlineLevel="2" x14ac:dyDescent="0.25">
      <c r="A154" s="19"/>
      <c r="B154" s="17"/>
      <c r="C154" s="18"/>
      <c r="D154" s="21"/>
      <c r="E154" s="4" t="str">
        <f>CONCATENATE("2001", " - ", "A/P - MERCHANDISE")</f>
        <v>2001 - A/P - MERCHANDISE</v>
      </c>
      <c r="G154" s="13">
        <f>-203693.21</f>
        <v>-203693.21</v>
      </c>
      <c r="H154" s="10"/>
    </row>
    <row r="155" spans="1:8" s="12" customFormat="1" hidden="1" outlineLevel="2" x14ac:dyDescent="0.25">
      <c r="A155" s="19"/>
      <c r="B155" s="17"/>
      <c r="C155" s="18"/>
      <c r="D155" s="21"/>
      <c r="E155" s="4" t="str">
        <f>CONCATENATE("2003", " - ", "A/P - FOOD SVC.")</f>
        <v>2003 - A/P - FOOD SVC.</v>
      </c>
      <c r="G155" s="13">
        <f>-22172.51</f>
        <v>-22172.51</v>
      </c>
      <c r="H155" s="10"/>
    </row>
    <row r="156" spans="1:8" s="12" customFormat="1" hidden="1" outlineLevel="2" x14ac:dyDescent="0.25">
      <c r="A156" s="19"/>
      <c r="B156" s="17"/>
      <c r="C156" s="18"/>
      <c r="D156" s="21"/>
      <c r="E156" s="4" t="str">
        <f>CONCATENATE("2004", " - ", "A/P - GENERAL")</f>
        <v>2004 - A/P - GENERAL</v>
      </c>
      <c r="G156" s="13">
        <f>--329135.77</f>
        <v>329135.77</v>
      </c>
      <c r="H156" s="10"/>
    </row>
    <row r="157" spans="1:8" s="12" customFormat="1" hidden="1" outlineLevel="2" x14ac:dyDescent="0.25">
      <c r="A157" s="19"/>
      <c r="B157" s="17"/>
      <c r="C157" s="18"/>
      <c r="D157" s="21"/>
      <c r="E157" s="4" t="str">
        <f>CONCATENATE("2013", " - ", "A/P - UNIVERSITY")</f>
        <v>2013 - A/P - UNIVERSITY</v>
      </c>
      <c r="G157" s="13">
        <f>--8965.6</f>
        <v>8965.6</v>
      </c>
      <c r="H157" s="10"/>
    </row>
    <row r="158" spans="1:8" s="12" customFormat="1" hidden="1" outlineLevel="2" x14ac:dyDescent="0.25">
      <c r="A158" s="19"/>
      <c r="B158" s="17"/>
      <c r="C158" s="18"/>
      <c r="D158" s="21"/>
      <c r="E158" s="4" t="str">
        <f>CONCATENATE("2015", " - ", "A/P - CUST.REFUNDS")</f>
        <v>2015 - A/P - CUST.REFUNDS</v>
      </c>
      <c r="G158" s="13">
        <f>--146.6</f>
        <v>146.6</v>
      </c>
      <c r="H158" s="10"/>
    </row>
    <row r="159" spans="1:8" s="5" customFormat="1" collapsed="1" x14ac:dyDescent="0.25">
      <c r="B159" s="2"/>
      <c r="C159" s="9"/>
      <c r="D159" s="3" t="s">
        <v>304</v>
      </c>
      <c r="E159" s="3"/>
      <c r="F159" s="3"/>
      <c r="G159" s="11">
        <f>--1559238.64</f>
        <v>1559238.64</v>
      </c>
      <c r="H159" s="2"/>
    </row>
    <row r="160" spans="1:8" s="12" customFormat="1" hidden="1" outlineLevel="2" x14ac:dyDescent="0.25">
      <c r="A160" s="19"/>
      <c r="B160" s="17"/>
      <c r="C160" s="18"/>
      <c r="D160" s="21"/>
      <c r="E160" s="4" t="str">
        <f>CONCATENATE("2231", " - ", "ACCRUED PAYROLL")</f>
        <v>2231 - ACCRUED PAYROLL</v>
      </c>
      <c r="G160" s="13">
        <f>--282545</f>
        <v>282545</v>
      </c>
      <c r="H160" s="10"/>
    </row>
    <row r="161" spans="1:8" s="12" customFormat="1" hidden="1" outlineLevel="2" x14ac:dyDescent="0.25">
      <c r="A161" s="19"/>
      <c r="B161" s="17"/>
      <c r="C161" s="18"/>
      <c r="D161" s="21"/>
      <c r="E161" s="4" t="str">
        <f>CONCATENATE("2232", " - ", "ACCRUED VACATION")</f>
        <v>2232 - ACCRUED VACATION</v>
      </c>
      <c r="G161" s="13">
        <f>--466962.11</f>
        <v>466962.11</v>
      </c>
      <c r="H161" s="10"/>
    </row>
    <row r="162" spans="1:8" s="12" customFormat="1" hidden="1" outlineLevel="2" x14ac:dyDescent="0.25">
      <c r="A162" s="19"/>
      <c r="B162" s="17"/>
      <c r="C162" s="18"/>
      <c r="D162" s="21"/>
      <c r="E162" s="4" t="str">
        <f>CONCATENATE("2233", " - ", "ACCRUED SICK LEAVE")</f>
        <v>2233 - ACCRUED SICK LEAVE</v>
      </c>
      <c r="G162" s="13">
        <f>--327830.88</f>
        <v>327830.88</v>
      </c>
      <c r="H162" s="10"/>
    </row>
    <row r="163" spans="1:8" s="12" customFormat="1" hidden="1" outlineLevel="2" x14ac:dyDescent="0.25">
      <c r="A163" s="19"/>
      <c r="B163" s="17"/>
      <c r="C163" s="18"/>
      <c r="D163" s="21"/>
      <c r="E163" s="4" t="str">
        <f>CONCATENATE("2300", " - ", "SICK LEAVE PAYABLE")</f>
        <v>2300 - SICK LEAVE PAYABLE</v>
      </c>
      <c r="G163" s="13">
        <f>--481900.65</f>
        <v>481900.65</v>
      </c>
      <c r="H163" s="10"/>
    </row>
    <row r="164" spans="1:8" s="5" customFormat="1" collapsed="1" x14ac:dyDescent="0.25">
      <c r="B164" s="2"/>
      <c r="C164" s="9"/>
      <c r="D164" s="3" t="s">
        <v>305</v>
      </c>
      <c r="E164" s="3"/>
      <c r="F164" s="3"/>
      <c r="G164" s="11">
        <f>--31347.09</f>
        <v>31347.09</v>
      </c>
      <c r="H164" s="2"/>
    </row>
    <row r="165" spans="1:8" s="12" customFormat="1" hidden="1" outlineLevel="2" x14ac:dyDescent="0.25">
      <c r="A165" s="19"/>
      <c r="B165" s="17"/>
      <c r="C165" s="18"/>
      <c r="D165" s="21"/>
      <c r="E165" s="4" t="str">
        <f>CONCATENATE("2219", " - ", "UNEMPLOYMENT INSURANCE")</f>
        <v>2219 - UNEMPLOYMENT INSURANCE</v>
      </c>
      <c r="G165" s="13">
        <f>--5972.11</f>
        <v>5972.11</v>
      </c>
      <c r="H165" s="10"/>
    </row>
    <row r="166" spans="1:8" s="12" customFormat="1" hidden="1" outlineLevel="2" x14ac:dyDescent="0.25">
      <c r="A166" s="19"/>
      <c r="B166" s="17"/>
      <c r="C166" s="18"/>
      <c r="D166" s="21"/>
      <c r="E166" s="4" t="str">
        <f>CONCATENATE("2221", " - ", "ACCRUED GROUP INSURANCE")</f>
        <v>2221 - ACCRUED GROUP INSURANCE</v>
      </c>
      <c r="G166" s="13">
        <f>-7935.12</f>
        <v>-7935.12</v>
      </c>
      <c r="H166" s="10"/>
    </row>
    <row r="167" spans="1:8" s="12" customFormat="1" hidden="1" outlineLevel="2" x14ac:dyDescent="0.25">
      <c r="A167" s="19"/>
      <c r="B167" s="17"/>
      <c r="C167" s="18"/>
      <c r="D167" s="21"/>
      <c r="E167" s="4" t="str">
        <f>CONCATENATE("2222", " - ", "LIFE INSURANCE")</f>
        <v>2222 - LIFE INSURANCE</v>
      </c>
      <c r="G167" s="13">
        <f>--355.57</f>
        <v>355.57</v>
      </c>
      <c r="H167" s="10"/>
    </row>
    <row r="168" spans="1:8" s="12" customFormat="1" hidden="1" outlineLevel="2" x14ac:dyDescent="0.25">
      <c r="A168" s="19"/>
      <c r="B168" s="17"/>
      <c r="C168" s="18"/>
      <c r="D168" s="21"/>
      <c r="E168" s="4" t="str">
        <f>CONCATENATE("2224", " - ", "MISCELLANEOUS INSURANCE")</f>
        <v>2224 - MISCELLANEOUS INSURANCE</v>
      </c>
      <c r="G168" s="13">
        <f>--3168</f>
        <v>3168</v>
      </c>
      <c r="H168" s="10"/>
    </row>
    <row r="169" spans="1:8" s="12" customFormat="1" hidden="1" outlineLevel="2" x14ac:dyDescent="0.25">
      <c r="A169" s="19"/>
      <c r="B169" s="17"/>
      <c r="C169" s="18"/>
      <c r="D169" s="21"/>
      <c r="E169" s="4" t="str">
        <f>CONCATENATE("2225", " - ", "ACCRUED P.E.R.S.")</f>
        <v>2225 - ACCRUED P.E.R.S.</v>
      </c>
      <c r="G169" s="13">
        <f>--24839.51</f>
        <v>24839.51</v>
      </c>
      <c r="H169" s="10"/>
    </row>
    <row r="170" spans="1:8" s="12" customFormat="1" hidden="1" outlineLevel="2" x14ac:dyDescent="0.25">
      <c r="A170" s="19"/>
      <c r="B170" s="17"/>
      <c r="C170" s="18"/>
      <c r="D170" s="21"/>
      <c r="E170" s="4" t="str">
        <f>CONCATENATE("2229", " - ", "ACCRUED RETIREMENT STAFF HOURL")</f>
        <v>2229 - ACCRUED RETIREMENT STAFF HOURL</v>
      </c>
      <c r="G170" s="13">
        <f>--1000</f>
        <v>1000</v>
      </c>
      <c r="H170" s="10"/>
    </row>
    <row r="171" spans="1:8" s="12" customFormat="1" hidden="1" outlineLevel="2" x14ac:dyDescent="0.25">
      <c r="A171" s="19"/>
      <c r="B171" s="17"/>
      <c r="C171" s="18"/>
      <c r="D171" s="21"/>
      <c r="E171" s="4" t="str">
        <f>CONCATENATE("2230", " - ", "P/R DEDUCTIONS-PARKING")</f>
        <v>2230 - P/R DEDUCTIONS-PARKING</v>
      </c>
      <c r="G171" s="13">
        <f>-4552.7</f>
        <v>-4552.7</v>
      </c>
      <c r="H171" s="10"/>
    </row>
    <row r="172" spans="1:8" s="12" customFormat="1" hidden="1" outlineLevel="2" x14ac:dyDescent="0.25">
      <c r="A172" s="19"/>
      <c r="B172" s="17"/>
      <c r="C172" s="18"/>
      <c r="D172" s="21"/>
      <c r="E172" s="4" t="str">
        <f>CONCATENATE("2234", " - ", "ACCRUED FLEXIBLE BENEFITS")</f>
        <v>2234 - ACCRUED FLEXIBLE BENEFITS</v>
      </c>
      <c r="G172" s="13">
        <f>--8499.72</f>
        <v>8499.7199999999993</v>
      </c>
      <c r="H172" s="10"/>
    </row>
    <row r="173" spans="1:8" s="5" customFormat="1" collapsed="1" x14ac:dyDescent="0.25">
      <c r="B173" s="2"/>
      <c r="C173" s="9"/>
      <c r="D173" s="3" t="s">
        <v>306</v>
      </c>
      <c r="E173" s="3"/>
      <c r="F173" s="3"/>
      <c r="G173" s="11">
        <f>--36367.39</f>
        <v>36367.39</v>
      </c>
      <c r="H173" s="2"/>
    </row>
    <row r="174" spans="1:8" s="12" customFormat="1" hidden="1" outlineLevel="2" x14ac:dyDescent="0.25">
      <c r="A174" s="19"/>
      <c r="B174" s="17"/>
      <c r="C174" s="18"/>
      <c r="D174" s="21"/>
      <c r="E174" s="4" t="str">
        <f>CONCATENATE("2111", " - ", "SALES TAX-BOOKSTORE")</f>
        <v>2111 - SALES TAX-BOOKSTORE</v>
      </c>
      <c r="G174" s="13">
        <f>--33943.43</f>
        <v>33943.43</v>
      </c>
      <c r="H174" s="10"/>
    </row>
    <row r="175" spans="1:8" s="12" customFormat="1" hidden="1" outlineLevel="2" x14ac:dyDescent="0.25">
      <c r="A175" s="19"/>
      <c r="B175" s="17"/>
      <c r="C175" s="18"/>
      <c r="D175" s="21"/>
      <c r="E175" s="4" t="str">
        <f>CONCATENATE("2112", " - ", "SALES TAX-FOOD SERVICE")</f>
        <v>2112 - SALES TAX-FOOD SERVICE</v>
      </c>
      <c r="G175" s="13">
        <f>--120.61</f>
        <v>120.61</v>
      </c>
      <c r="H175" s="10"/>
    </row>
    <row r="176" spans="1:8" s="12" customFormat="1" hidden="1" outlineLevel="2" x14ac:dyDescent="0.25">
      <c r="A176" s="19"/>
      <c r="B176" s="17"/>
      <c r="C176" s="18"/>
      <c r="D176" s="21"/>
      <c r="E176" s="4" t="str">
        <f>CONCATENATE("2114", " - ", "CA ELECT.WASTE RECYL.4-14 IN")</f>
        <v>2114 - CA ELECT.WASTE RECYL.4-14 IN</v>
      </c>
      <c r="G176" s="13">
        <f>-444</f>
        <v>-444</v>
      </c>
      <c r="H176" s="10"/>
    </row>
    <row r="177" spans="1:8" s="12" customFormat="1" hidden="1" outlineLevel="2" x14ac:dyDescent="0.25">
      <c r="A177" s="19"/>
      <c r="B177" s="17"/>
      <c r="C177" s="18"/>
      <c r="D177" s="21"/>
      <c r="E177" s="4" t="str">
        <f>CONCATENATE("2115", " - ", "CA ELECT.WASTE RECYL 15-34 IN")</f>
        <v>2115 - CA ELECT.WASTE RECYL 15-34 IN</v>
      </c>
      <c r="G177" s="13">
        <f>--1263</f>
        <v>1263</v>
      </c>
      <c r="H177" s="10"/>
    </row>
    <row r="178" spans="1:8" s="12" customFormat="1" hidden="1" outlineLevel="2" x14ac:dyDescent="0.25">
      <c r="A178" s="19"/>
      <c r="B178" s="17"/>
      <c r="C178" s="18"/>
      <c r="D178" s="21"/>
      <c r="E178" s="4" t="str">
        <f>CONCATENATE("2216", " - ", "ACCRUED F.I.C.A.")</f>
        <v>2216 - ACCRUED F.I.C.A.</v>
      </c>
      <c r="G178" s="13">
        <f>--1484.35</f>
        <v>1484.35</v>
      </c>
      <c r="H178" s="10"/>
    </row>
    <row r="179" spans="1:8" s="5" customFormat="1" collapsed="1" x14ac:dyDescent="0.25">
      <c r="B179" s="2"/>
      <c r="C179" s="9"/>
      <c r="D179" s="3" t="s">
        <v>307</v>
      </c>
      <c r="E179" s="3"/>
      <c r="F179" s="3"/>
      <c r="G179" s="11">
        <f>--1176825.52</f>
        <v>1176825.52</v>
      </c>
      <c r="H179" s="2"/>
    </row>
    <row r="180" spans="1:8" s="12" customFormat="1" hidden="1" outlineLevel="2" x14ac:dyDescent="0.25">
      <c r="A180" s="19"/>
      <c r="B180" s="17"/>
      <c r="C180" s="18"/>
      <c r="D180" s="21"/>
      <c r="E180" s="4" t="str">
        <f>CONCATENATE("2422", " - ", """I DECLARE"" CAMPUS FUNDRAISING")</f>
        <v>2422 - "I DECLARE" CAMPUS FUNDRAISING</v>
      </c>
      <c r="G180" s="13">
        <f>--5</f>
        <v>5</v>
      </c>
      <c r="H180" s="10"/>
    </row>
    <row r="181" spans="1:8" s="12" customFormat="1" hidden="1" outlineLevel="2" x14ac:dyDescent="0.25">
      <c r="A181" s="19"/>
      <c r="B181" s="17"/>
      <c r="C181" s="18"/>
      <c r="D181" s="21"/>
      <c r="E181" s="4" t="str">
        <f>CONCATENATE("2424", " - ", "CLEARING-ATHLETIC PROGRAM SALE")</f>
        <v>2424 - CLEARING-ATHLETIC PROGRAM SALE</v>
      </c>
      <c r="G181" s="13">
        <f>-108</f>
        <v>-108</v>
      </c>
      <c r="H181" s="10"/>
    </row>
    <row r="182" spans="1:8" s="12" customFormat="1" hidden="1" outlineLevel="2" x14ac:dyDescent="0.25">
      <c r="A182" s="19"/>
      <c r="B182" s="17"/>
      <c r="C182" s="18"/>
      <c r="D182" s="21"/>
      <c r="E182" s="4" t="str">
        <f>CONCATENATE("2425", " - ", "NBC REWARDS")</f>
        <v>2425 - NBC REWARDS</v>
      </c>
      <c r="G182" s="13">
        <f>0</f>
        <v>0</v>
      </c>
      <c r="H182" s="10"/>
    </row>
    <row r="183" spans="1:8" s="12" customFormat="1" hidden="1" outlineLevel="2" x14ac:dyDescent="0.25">
      <c r="A183" s="19"/>
      <c r="B183" s="17"/>
      <c r="C183" s="18"/>
      <c r="D183" s="21"/>
      <c r="E183" s="4" t="str">
        <f>CONCATENATE("2426", " - ", "UNCLEARED CKS/UNCLAIMED MONIES")</f>
        <v>2426 - UNCLEARED CKS/UNCLAIMED MONIES</v>
      </c>
      <c r="G183" s="13">
        <f>-3388.84</f>
        <v>-3388.84</v>
      </c>
      <c r="H183" s="10"/>
    </row>
    <row r="184" spans="1:8" s="12" customFormat="1" hidden="1" outlineLevel="2" x14ac:dyDescent="0.25">
      <c r="A184" s="19"/>
      <c r="B184" s="17"/>
      <c r="C184" s="18"/>
      <c r="D184" s="21"/>
      <c r="E184" s="4" t="str">
        <f>CONCATENATE("2430", " - ", "CLEARING-REGAL ENT.MOVIE TKT.")</f>
        <v>2430 - CLEARING-REGAL ENT.MOVIE TKT.</v>
      </c>
      <c r="G184" s="13">
        <f>-184</f>
        <v>-184</v>
      </c>
      <c r="H184" s="10"/>
    </row>
    <row r="185" spans="1:8" s="12" customFormat="1" hidden="1" outlineLevel="2" x14ac:dyDescent="0.25">
      <c r="A185" s="19"/>
      <c r="B185" s="17"/>
      <c r="C185" s="18"/>
      <c r="D185" s="21"/>
      <c r="E185" s="4" t="str">
        <f>CONCATENATE("2432", " - ", "CLEARING-AMC THEATRE TICKETS")</f>
        <v>2432 - CLEARING-AMC THEATRE TICKETS</v>
      </c>
      <c r="G185" s="13">
        <f>-2.5</f>
        <v>-2.5</v>
      </c>
      <c r="H185" s="10"/>
    </row>
    <row r="186" spans="1:8" s="12" customFormat="1" hidden="1" outlineLevel="2" x14ac:dyDescent="0.25">
      <c r="A186" s="19"/>
      <c r="B186" s="17"/>
      <c r="C186" s="18"/>
      <c r="D186" s="21"/>
      <c r="E186" s="4" t="str">
        <f>CONCATENATE("2437", " - ", "CLEARING-CINEMARK MOVIE")</f>
        <v>2437 - CLEARING-CINEMARK MOVIE</v>
      </c>
      <c r="G186" s="13">
        <f>-1485</f>
        <v>-1485</v>
      </c>
      <c r="H186" s="10"/>
    </row>
    <row r="187" spans="1:8" s="12" customFormat="1" hidden="1" outlineLevel="2" x14ac:dyDescent="0.25">
      <c r="A187" s="19"/>
      <c r="B187" s="17"/>
      <c r="C187" s="18"/>
      <c r="D187" s="21"/>
      <c r="E187" s="4" t="str">
        <f>CONCATENATE("2440", " - ", "CLEARING-A/R")</f>
        <v>2440 - CLEARING-A/R</v>
      </c>
      <c r="G187" s="13">
        <f>--19080.36</f>
        <v>19080.36</v>
      </c>
      <c r="H187" s="10"/>
    </row>
    <row r="188" spans="1:8" s="12" customFormat="1" hidden="1" outlineLevel="2" x14ac:dyDescent="0.25">
      <c r="A188" s="19"/>
      <c r="B188" s="17"/>
      <c r="C188" s="18"/>
      <c r="D188" s="21"/>
      <c r="E188" s="4" t="str">
        <f>CONCATENATE("2441", " - ", "DEPOSIT-BEACH CLUB")</f>
        <v>2441 - DEPOSIT-BEACH CLUB</v>
      </c>
      <c r="G188" s="13">
        <f>--305408.99</f>
        <v>305408.99</v>
      </c>
      <c r="H188" s="10"/>
    </row>
    <row r="189" spans="1:8" s="12" customFormat="1" hidden="1" outlineLevel="2" x14ac:dyDescent="0.25">
      <c r="A189" s="19"/>
      <c r="B189" s="17"/>
      <c r="C189" s="18"/>
      <c r="D189" s="21"/>
      <c r="E189" s="4" t="str">
        <f>CONCATENATE("2447", " - ", "PROMO A/C DEPOSIT")</f>
        <v>2447 - PROMO A/C DEPOSIT</v>
      </c>
      <c r="G189" s="13">
        <f>--44035.86</f>
        <v>44035.86</v>
      </c>
      <c r="H189" s="10"/>
    </row>
    <row r="190" spans="1:8" s="12" customFormat="1" hidden="1" outlineLevel="2" x14ac:dyDescent="0.25">
      <c r="A190" s="19"/>
      <c r="B190" s="17"/>
      <c r="C190" s="18"/>
      <c r="D190" s="21"/>
      <c r="E190" s="4" t="str">
        <f>CONCATENATE("2449", " - ", "MISCELLANEOUS DEFERRED INCOME")</f>
        <v>2449 - MISCELLANEOUS DEFERRED INCOME</v>
      </c>
      <c r="G190" s="13">
        <f>-10154.11</f>
        <v>-10154.11</v>
      </c>
      <c r="H190" s="10"/>
    </row>
    <row r="191" spans="1:8" s="12" customFormat="1" hidden="1" outlineLevel="2" x14ac:dyDescent="0.25">
      <c r="A191" s="19"/>
      <c r="B191" s="17"/>
      <c r="C191" s="18"/>
      <c r="D191" s="21"/>
      <c r="E191" s="4" t="str">
        <f>CONCATENATE("2450", " - ", "CLEARING-DESIGN DEPT-ACTIVITY")</f>
        <v>2450 - CLEARING-DESIGN DEPT-ACTIVITY</v>
      </c>
      <c r="G191" s="13">
        <f>-3</f>
        <v>-3</v>
      </c>
      <c r="H191" s="10"/>
    </row>
    <row r="192" spans="1:8" s="12" customFormat="1" hidden="1" outlineLevel="2" x14ac:dyDescent="0.25">
      <c r="A192" s="19"/>
      <c r="B192" s="17"/>
      <c r="C192" s="18"/>
      <c r="D192" s="21"/>
      <c r="E192" s="4" t="str">
        <f>CONCATENATE("2454", " - ", "CLEARING-CARLS/EL POLLO/PANDA")</f>
        <v>2454 - CLEARING-CARLS/EL POLLO/PANDA</v>
      </c>
      <c r="G192" s="13">
        <f>-18.53</f>
        <v>-18.53</v>
      </c>
      <c r="H192" s="10"/>
    </row>
    <row r="193" spans="1:8" s="12" customFormat="1" hidden="1" outlineLevel="2" x14ac:dyDescent="0.25">
      <c r="A193" s="19"/>
      <c r="B193" s="17"/>
      <c r="C193" s="18"/>
      <c r="D193" s="21"/>
      <c r="E193" s="4" t="str">
        <f>CONCATENATE("2455", " - ", "CLEARING-LIBRARY MICROFILMS")</f>
        <v>2455 - CLEARING-LIBRARY MICROFILMS</v>
      </c>
      <c r="G193" s="13">
        <f>--308.5</f>
        <v>308.5</v>
      </c>
      <c r="H193" s="10"/>
    </row>
    <row r="194" spans="1:8" s="12" customFormat="1" hidden="1" outlineLevel="2" x14ac:dyDescent="0.25">
      <c r="A194" s="19"/>
      <c r="B194" s="17"/>
      <c r="C194" s="18"/>
      <c r="D194" s="21"/>
      <c r="E194" s="4" t="str">
        <f>CONCATENATE("2456", " - ", "CLEARING-ART LAB")</f>
        <v>2456 - CLEARING-ART LAB</v>
      </c>
      <c r="G194" s="13">
        <f>-97.5</f>
        <v>-97.5</v>
      </c>
      <c r="H194" s="10"/>
    </row>
    <row r="195" spans="1:8" s="12" customFormat="1" hidden="1" outlineLevel="2" x14ac:dyDescent="0.25">
      <c r="A195" s="19"/>
      <c r="B195" s="17"/>
      <c r="C195" s="18"/>
      <c r="D195" s="21"/>
      <c r="E195" s="4" t="str">
        <f>CONCATENATE("2460", " - ", "CLEARING-BOARD INCOME")</f>
        <v>2460 - CLEARING-BOARD INCOME</v>
      </c>
      <c r="G195" s="13">
        <f>--0.02</f>
        <v>0.02</v>
      </c>
      <c r="H195" s="10"/>
    </row>
    <row r="196" spans="1:8" s="12" customFormat="1" hidden="1" outlineLevel="2" x14ac:dyDescent="0.25">
      <c r="A196" s="19"/>
      <c r="B196" s="17"/>
      <c r="C196" s="18"/>
      <c r="D196" s="21"/>
      <c r="E196" s="4" t="str">
        <f>CONCATENATE("2461", " - ", "CLEARING-PARKING FOR B/C")</f>
        <v>2461 - CLEARING-PARKING FOR B/C</v>
      </c>
      <c r="G196" s="13">
        <f>--187.54</f>
        <v>187.54</v>
      </c>
      <c r="H196" s="10"/>
    </row>
    <row r="197" spans="1:8" s="12" customFormat="1" hidden="1" outlineLevel="2" x14ac:dyDescent="0.25">
      <c r="A197" s="19"/>
      <c r="B197" s="17"/>
      <c r="C197" s="18"/>
      <c r="D197" s="21"/>
      <c r="E197" s="4" t="str">
        <f>CONCATENATE("2462", " - ", "CLEARING-TEXTBOOK SCHOLARSHIP")</f>
        <v>2462 - CLEARING-TEXTBOOK SCHOLARSHIP</v>
      </c>
      <c r="G197" s="13">
        <f>--1345</f>
        <v>1345</v>
      </c>
      <c r="H197" s="10"/>
    </row>
    <row r="198" spans="1:8" s="12" customFormat="1" hidden="1" outlineLevel="2" x14ac:dyDescent="0.25">
      <c r="A198" s="19"/>
      <c r="B198" s="17"/>
      <c r="C198" s="18"/>
      <c r="D198" s="21"/>
      <c r="E198" s="4" t="str">
        <f>CONCATENATE("2465", " - ", "CLEARING-LEARNING ASSISTANCE C")</f>
        <v>2465 - CLEARING-LEARNING ASSISTANCE C</v>
      </c>
      <c r="G198" s="13">
        <f>--3.2</f>
        <v>3.2</v>
      </c>
      <c r="H198" s="10"/>
    </row>
    <row r="199" spans="1:8" s="12" customFormat="1" hidden="1" outlineLevel="2" x14ac:dyDescent="0.25">
      <c r="A199" s="19"/>
      <c r="B199" s="17"/>
      <c r="C199" s="18"/>
      <c r="D199" s="21"/>
      <c r="E199" s="4" t="str">
        <f>CONCATENATE("2532", " - ", "ACCRUED LIAB.-THESIS BINDING/M")</f>
        <v>2532 - ACCRUED LIAB.-THESIS BINDING/M</v>
      </c>
      <c r="G199" s="13">
        <f>--107.21</f>
        <v>107.21</v>
      </c>
      <c r="H199" s="10"/>
    </row>
    <row r="200" spans="1:8" s="12" customFormat="1" hidden="1" outlineLevel="2" x14ac:dyDescent="0.25">
      <c r="A200" s="19"/>
      <c r="B200" s="17"/>
      <c r="C200" s="18"/>
      <c r="D200" s="21"/>
      <c r="E200" s="4" t="str">
        <f>CONCATENATE("2537", " - ", "OTHER ACCRUED LIABILITIES")</f>
        <v>2537 - OTHER ACCRUED LIABILITIES</v>
      </c>
      <c r="G200" s="13">
        <f>--818435.32</f>
        <v>818435.32</v>
      </c>
      <c r="H200" s="10"/>
    </row>
    <row r="201" spans="1:8" s="12" customFormat="1" hidden="1" outlineLevel="2" x14ac:dyDescent="0.25">
      <c r="A201" s="19"/>
      <c r="B201" s="17"/>
      <c r="C201" s="18"/>
      <c r="D201" s="21"/>
      <c r="E201" s="4" t="str">
        <f>CONCATENATE("2538", " - ", "ACCRUED INVENTORY ADJUSTMENT")</f>
        <v>2538 - ACCRUED INVENTORY ADJUSTMENT</v>
      </c>
      <c r="G201" s="13">
        <f>--3350</f>
        <v>3350</v>
      </c>
      <c r="H201" s="10"/>
    </row>
    <row r="202" spans="1:8" s="12" customFormat="1" hidden="1" outlineLevel="2" x14ac:dyDescent="0.25">
      <c r="A202" s="19"/>
      <c r="B202" s="17"/>
      <c r="C202" s="18"/>
      <c r="D202" s="21"/>
      <c r="E202" s="4" t="str">
        <f>CONCATENATE("3800", " - ", "RETAINED EARNINGS-OPERATIONS")</f>
        <v>3800 - RETAINED EARNINGS-OPERATIONS</v>
      </c>
      <c r="G202" s="13">
        <f>0</f>
        <v>0</v>
      </c>
      <c r="H202" s="10"/>
    </row>
    <row r="203" spans="1:8" s="5" customFormat="1" ht="15.75" thickBot="1" x14ac:dyDescent="0.3">
      <c r="B203" s="2"/>
      <c r="C203" s="25" t="s">
        <v>9</v>
      </c>
      <c r="D203" s="6"/>
      <c r="E203" s="6"/>
      <c r="F203" s="6"/>
      <c r="G203" s="26">
        <f>SUM(OSRRefG34x_0)</f>
        <v>2924900.09</v>
      </c>
      <c r="H203" s="2"/>
    </row>
    <row r="204" spans="1:8" ht="8.25" customHeight="1" thickBot="1" x14ac:dyDescent="0.3"/>
    <row r="205" spans="1:8" x14ac:dyDescent="0.25">
      <c r="B205" s="2"/>
      <c r="C205" s="24" t="s">
        <v>10</v>
      </c>
      <c r="D205" s="14"/>
      <c r="E205" s="23"/>
      <c r="F205" s="23"/>
      <c r="G205" s="34"/>
      <c r="H205" s="8"/>
    </row>
    <row r="206" spans="1:8" s="5" customFormat="1" collapsed="1" x14ac:dyDescent="0.25">
      <c r="B206" s="2"/>
      <c r="C206" s="9"/>
      <c r="D206" s="3" t="s">
        <v>308</v>
      </c>
      <c r="E206" s="3"/>
      <c r="F206" s="3"/>
      <c r="G206" s="11">
        <f>SUM(OSRRefG40_0x_0)</f>
        <v>630315.89</v>
      </c>
      <c r="H206" s="2"/>
    </row>
    <row r="207" spans="1:8" s="12" customFormat="1" hidden="1" outlineLevel="1" x14ac:dyDescent="0.25">
      <c r="B207" s="10"/>
      <c r="C207" s="40"/>
      <c r="D207" s="4"/>
      <c r="E207" s="4" t="str">
        <f>CONCATENATE("2739", " - ", "ACCRUED POST RETIREMENT BENEFI")</f>
        <v>2739 - ACCRUED POST RETIREMENT BENEFI</v>
      </c>
      <c r="F207" s="4"/>
      <c r="G207" s="13">
        <f>--630315.89</f>
        <v>630315.89</v>
      </c>
      <c r="H207" s="10"/>
    </row>
    <row r="208" spans="1:8" s="5" customFormat="1" x14ac:dyDescent="0.25">
      <c r="B208" s="2"/>
      <c r="C208" s="9"/>
      <c r="D208" s="3" t="s">
        <v>309</v>
      </c>
      <c r="E208" s="3"/>
      <c r="F208" s="3"/>
      <c r="G208" s="11">
        <f>SUM(OSRRefG40_1x_0)</f>
        <v>5165339.33</v>
      </c>
      <c r="H208" s="2"/>
    </row>
    <row r="209" spans="1:8" s="12" customFormat="1" outlineLevel="1" x14ac:dyDescent="0.25">
      <c r="B209" s="10"/>
      <c r="C209" s="40"/>
      <c r="D209" s="4"/>
      <c r="E209" s="4" t="str">
        <f>CONCATENATE("2236", " - ", "SBA LOAN")</f>
        <v>2236 - SBA LOAN</v>
      </c>
      <c r="F209" s="4"/>
      <c r="G209" s="13">
        <f>--2000000</f>
        <v>2000000</v>
      </c>
      <c r="H209" s="10"/>
    </row>
    <row r="210" spans="1:8" s="12" customFormat="1" outlineLevel="1" x14ac:dyDescent="0.25">
      <c r="B210" s="10"/>
      <c r="C210" s="40"/>
      <c r="D210" s="4"/>
      <c r="E210" s="4" t="str">
        <f>CONCATENATE("2303", " - ", "NOTES PAYABLE-CHANCELLORS OFFI")</f>
        <v>2303 - NOTES PAYABLE-CHANCELLORS OFFI</v>
      </c>
      <c r="F210" s="4"/>
      <c r="G210" s="13">
        <f>--3165339.33</f>
        <v>3165339.33</v>
      </c>
      <c r="H210" s="10"/>
    </row>
    <row r="211" spans="1:8" s="5" customFormat="1" collapsed="1" x14ac:dyDescent="0.25">
      <c r="B211" s="2"/>
      <c r="C211" s="9"/>
      <c r="D211" s="3" t="s">
        <v>310</v>
      </c>
      <c r="E211" s="3"/>
      <c r="F211" s="3"/>
      <c r="G211" s="11">
        <f>SUM(OSRRefG40_2x_0)</f>
        <v>3482422.62</v>
      </c>
      <c r="H211" s="2"/>
    </row>
    <row r="212" spans="1:8" s="12" customFormat="1" hidden="1" outlineLevel="1" x14ac:dyDescent="0.25">
      <c r="B212" s="10"/>
      <c r="C212" s="40"/>
      <c r="D212" s="4"/>
      <c r="E212" s="4" t="str">
        <f>CONCATENATE("2226", " - ", "ACCRUED PERS/PEPRA UNFUNDED LI")</f>
        <v>2226 - ACCRUED PERS/PEPRA UNFUNDED LI</v>
      </c>
      <c r="F212" s="4"/>
      <c r="G212" s="13">
        <f>--3482422.62</f>
        <v>3482422.62</v>
      </c>
      <c r="H212" s="10"/>
    </row>
    <row r="213" spans="1:8" s="5" customFormat="1" ht="15.75" thickBot="1" x14ac:dyDescent="0.3">
      <c r="B213" s="2"/>
      <c r="C213" s="25" t="s">
        <v>11</v>
      </c>
      <c r="D213" s="6"/>
      <c r="E213" s="6"/>
      <c r="F213" s="6"/>
      <c r="G213" s="26">
        <f>SUM(OSRRefG40x_0)</f>
        <v>9278077.8399999999</v>
      </c>
      <c r="H213" s="2"/>
    </row>
    <row r="214" spans="1:8" ht="8.25" customHeight="1" x14ac:dyDescent="0.25"/>
    <row r="215" spans="1:8" s="5" customFormat="1" x14ac:dyDescent="0.25">
      <c r="B215" s="33" t="s">
        <v>12</v>
      </c>
      <c r="C215" s="22"/>
      <c r="D215" s="22"/>
      <c r="E215" s="22"/>
      <c r="F215" s="22"/>
      <c r="G215" s="35">
        <f>+G203+G213</f>
        <v>12202977.93</v>
      </c>
      <c r="H215" s="2"/>
    </row>
    <row r="216" spans="1:8" s="5" customFormat="1" ht="8.25" customHeight="1" thickBot="1" x14ac:dyDescent="0.3">
      <c r="G216" s="36"/>
    </row>
    <row r="217" spans="1:8" s="5" customFormat="1" x14ac:dyDescent="0.25">
      <c r="B217" s="2"/>
      <c r="C217" s="24" t="s">
        <v>298</v>
      </c>
      <c r="D217" s="14"/>
      <c r="E217" s="14"/>
      <c r="F217" s="14"/>
      <c r="G217" s="37"/>
      <c r="H217" s="2"/>
    </row>
    <row r="218" spans="1:8" x14ac:dyDescent="0.25">
      <c r="A218" s="28"/>
      <c r="B218" s="8"/>
      <c r="C218" s="48"/>
      <c r="D218" s="7" t="s">
        <v>13</v>
      </c>
      <c r="E218" s="7"/>
      <c r="F218" s="7"/>
      <c r="G218" s="20">
        <f>-212502.04</f>
        <v>-212502.04</v>
      </c>
      <c r="H218" s="8"/>
    </row>
    <row r="219" spans="1:8" x14ac:dyDescent="0.25">
      <c r="A219" s="28"/>
      <c r="B219" s="8"/>
      <c r="C219" s="48"/>
      <c r="D219" s="7" t="s">
        <v>311</v>
      </c>
      <c r="E219" s="7"/>
      <c r="F219" s="7"/>
      <c r="G219" s="20">
        <f>--11916637.71</f>
        <v>11916637.710000001</v>
      </c>
      <c r="H219" s="8"/>
    </row>
    <row r="220" spans="1:8" x14ac:dyDescent="0.25">
      <c r="A220" s="28"/>
      <c r="B220" s="8"/>
      <c r="C220" s="48"/>
      <c r="D220" s="7" t="s">
        <v>312</v>
      </c>
      <c r="E220" s="7"/>
      <c r="F220" s="7"/>
      <c r="G220" s="20">
        <f>--403800.24</f>
        <v>403800.24</v>
      </c>
      <c r="H220" s="8"/>
    </row>
    <row r="221" spans="1:8" s="5" customFormat="1" ht="15.75" thickBot="1" x14ac:dyDescent="0.3">
      <c r="B221" s="2"/>
      <c r="C221" s="25" t="s">
        <v>299</v>
      </c>
      <c r="D221" s="6"/>
      <c r="E221" s="6"/>
      <c r="F221" s="6"/>
      <c r="G221" s="26">
        <f>SUM(G217:G220)</f>
        <v>12107935.910000002</v>
      </c>
      <c r="H221" s="2"/>
    </row>
    <row r="222" spans="1:8" ht="8.25" customHeight="1" x14ac:dyDescent="0.25"/>
    <row r="223" spans="1:8" x14ac:dyDescent="0.25">
      <c r="B223" s="33" t="s">
        <v>297</v>
      </c>
      <c r="C223" s="22"/>
      <c r="D223" s="22"/>
      <c r="E223" s="32"/>
      <c r="F223" s="32"/>
      <c r="G223" s="35">
        <f>+G221</f>
        <v>12107935.910000002</v>
      </c>
      <c r="H223" s="8"/>
    </row>
    <row r="224" spans="1:8" ht="8.25" customHeight="1" x14ac:dyDescent="0.25"/>
    <row r="225" spans="1:8" ht="15.75" thickBot="1" x14ac:dyDescent="0.3">
      <c r="B225" s="15" t="s">
        <v>301</v>
      </c>
      <c r="C225" s="16"/>
      <c r="D225" s="16"/>
      <c r="E225" s="27"/>
      <c r="F225" s="27"/>
      <c r="G225" s="30">
        <f>+G215+G223</f>
        <v>24310913.840000004</v>
      </c>
      <c r="H225" s="8"/>
    </row>
    <row r="226" spans="1:8" ht="8.25" customHeight="1" thickTop="1" x14ac:dyDescent="0.25"/>
    <row r="227" spans="1:8" s="41" customFormat="1" ht="11.25" x14ac:dyDescent="0.2">
      <c r="A227" s="43"/>
      <c r="B227" s="56">
        <v>44104.542263310184</v>
      </c>
      <c r="C227" s="56"/>
      <c r="D227" s="56"/>
      <c r="E227" s="56"/>
      <c r="F227" s="56"/>
      <c r="G227" s="46">
        <f>ROUND(G148-G225, 0)</f>
        <v>0</v>
      </c>
    </row>
    <row r="228" spans="1:8" s="41" customFormat="1" ht="11.25" x14ac:dyDescent="0.2">
      <c r="A228" s="43"/>
      <c r="B228" s="45" t="s">
        <v>302</v>
      </c>
      <c r="C228" s="39"/>
      <c r="D228" s="39"/>
      <c r="E228" s="31"/>
      <c r="F228" s="31"/>
      <c r="G228" s="44"/>
    </row>
  </sheetData>
  <mergeCells count="1">
    <mergeCell ref="B227:F227"/>
  </mergeCells>
  <conditionalFormatting sqref="G227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9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8"/>
      <c r="D2" s="38"/>
      <c r="E2" s="47"/>
      <c r="F2" s="42" t="s">
        <v>15</v>
      </c>
      <c r="G2" s="52"/>
      <c r="H2" s="50"/>
    </row>
    <row r="3" spans="1:8" x14ac:dyDescent="0.25">
      <c r="C3" s="38"/>
      <c r="D3" s="38"/>
      <c r="E3" s="47"/>
      <c r="F3" s="42" t="s">
        <v>14</v>
      </c>
      <c r="G3" s="52"/>
      <c r="H3" s="50"/>
    </row>
    <row r="4" spans="1:8" x14ac:dyDescent="0.25">
      <c r="C4" s="29"/>
      <c r="D4" s="29"/>
      <c r="E4" s="29"/>
      <c r="F4" s="42" t="s">
        <v>300</v>
      </c>
      <c r="G4" s="52"/>
      <c r="H4" s="50"/>
    </row>
    <row r="5" spans="1:8" x14ac:dyDescent="0.25">
      <c r="C5" s="29"/>
      <c r="D5" s="29"/>
      <c r="E5" s="29"/>
      <c r="F5" s="42" t="e">
        <f ca="1">_xll.OneStop.ReportPlayer.OSRFunctions.OSRGet("Period","PeriodEnd")</f>
        <v>#NAME?</v>
      </c>
      <c r="G5" s="52"/>
      <c r="H5" s="50"/>
    </row>
    <row r="7" spans="1:8" ht="15.75" thickBot="1" x14ac:dyDescent="0.3">
      <c r="B7" s="15" t="s">
        <v>0</v>
      </c>
      <c r="C7" s="16"/>
      <c r="D7" s="16"/>
      <c r="E7" s="27"/>
      <c r="F7" s="27"/>
      <c r="G7" s="51"/>
      <c r="H7" s="8"/>
    </row>
    <row r="8" spans="1:8" x14ac:dyDescent="0.25">
      <c r="B8" s="2"/>
      <c r="C8" s="24" t="s">
        <v>6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9"/>
      <c r="B11" s="17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9"/>
      <c r="B14" s="17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9"/>
      <c r="B17" s="17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9"/>
      <c r="B20" s="17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4"/>
      <c r="E24" s="23"/>
      <c r="F24" s="23"/>
      <c r="G24" s="34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9"/>
      <c r="B26" s="17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6"/>
      <c r="D30" s="16"/>
      <c r="E30" s="16"/>
      <c r="F30" s="16"/>
      <c r="G30" s="30" t="e">
        <f ca="1">+G22+G28</f>
        <v>#NAME?</v>
      </c>
      <c r="H30" s="2"/>
    </row>
    <row r="31" spans="1:8" s="5" customFormat="1" ht="15.75" thickTop="1" x14ac:dyDescent="0.25">
      <c r="G31" s="36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8</v>
      </c>
      <c r="D33" s="14"/>
      <c r="E33" s="14"/>
      <c r="F33" s="14"/>
      <c r="G33" s="37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9"/>
      <c r="B35" s="17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4"/>
      <c r="E38" s="23"/>
      <c r="F38" s="23"/>
      <c r="G38" s="34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3" t="s">
        <v>12</v>
      </c>
      <c r="C43" s="22"/>
      <c r="D43" s="22"/>
      <c r="E43" s="22"/>
      <c r="F43" s="22"/>
      <c r="G43" s="35" t="e">
        <f ca="1">+G36+G41</f>
        <v>#NAME?</v>
      </c>
      <c r="H43" s="2"/>
    </row>
    <row r="44" spans="1:8" s="5" customFormat="1" ht="8.25" customHeight="1" thickBot="1" x14ac:dyDescent="0.3">
      <c r="G44" s="36"/>
    </row>
    <row r="45" spans="1:8" s="5" customFormat="1" x14ac:dyDescent="0.25">
      <c r="B45" s="2"/>
      <c r="C45" s="24" t="s">
        <v>298</v>
      </c>
      <c r="D45" s="14"/>
      <c r="E45" s="14"/>
      <c r="F45" s="14"/>
      <c r="G45" s="37"/>
      <c r="H45" s="2"/>
    </row>
    <row r="46" spans="1:8" x14ac:dyDescent="0.25">
      <c r="A46" s="28"/>
      <c r="B46" s="8"/>
      <c r="C46" s="48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48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48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3" t="s">
        <v>297</v>
      </c>
      <c r="C51" s="22"/>
      <c r="D51" s="22"/>
      <c r="E51" s="32"/>
      <c r="F51" s="32"/>
      <c r="G51" s="35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6"/>
      <c r="D53" s="16"/>
      <c r="E53" s="27"/>
      <c r="F53" s="27"/>
      <c r="G53" s="30" t="e">
        <f ca="1">+G43+G51</f>
        <v>#NAME?</v>
      </c>
      <c r="H53" s="8"/>
    </row>
    <row r="54" spans="1:8" ht="8.25" customHeight="1" thickTop="1" x14ac:dyDescent="0.25"/>
    <row r="55" spans="1:8" s="41" customFormat="1" ht="11.25" x14ac:dyDescent="0.2">
      <c r="A55" s="43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6" t="e">
        <f ca="1">ROUND(G30-G53, 0)</f>
        <v>#NAME?</v>
      </c>
    </row>
    <row r="56" spans="1:8" s="41" customFormat="1" ht="11.25" x14ac:dyDescent="0.2">
      <c r="A56" s="43"/>
      <c r="B56" s="45" t="e">
        <f ca="1">_xll.OneStop.ReportPlayer.OSRFunctions.OSRGet("User","UserId")</f>
        <v>#NAME?</v>
      </c>
      <c r="C56" s="39"/>
      <c r="D56" s="39"/>
      <c r="E56" s="31"/>
      <c r="F56" s="31"/>
      <c r="G56" s="44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8" customWidth="1"/>
    <col min="6" max="6" width="43.42578125" style="28" customWidth="1"/>
    <col min="7" max="7" width="17.28515625" style="49" customWidth="1"/>
    <col min="8" max="8" width="2.7109375" style="28" customWidth="1"/>
    <col min="9" max="9" width="8.7109375" style="28" customWidth="1"/>
    <col min="10" max="16384" width="8.85546875" style="28"/>
  </cols>
  <sheetData>
    <row r="2" spans="1:8" x14ac:dyDescent="0.25">
      <c r="C2" s="38"/>
      <c r="D2" s="38"/>
      <c r="E2" s="47"/>
      <c r="F2" s="42" t="s">
        <v>15</v>
      </c>
      <c r="G2" s="52"/>
      <c r="H2" s="50"/>
    </row>
    <row r="3" spans="1:8" x14ac:dyDescent="0.25">
      <c r="C3" s="38"/>
      <c r="D3" s="38"/>
      <c r="E3" s="47"/>
      <c r="F3" s="42" t="s">
        <v>14</v>
      </c>
      <c r="G3" s="52"/>
      <c r="H3" s="50"/>
    </row>
    <row r="4" spans="1:8" x14ac:dyDescent="0.25">
      <c r="C4" s="29"/>
      <c r="D4" s="29"/>
      <c r="E4" s="29"/>
      <c r="F4" s="42" t="s">
        <v>300</v>
      </c>
      <c r="G4" s="52"/>
      <c r="H4" s="50"/>
    </row>
    <row r="5" spans="1:8" x14ac:dyDescent="0.25">
      <c r="C5" s="29"/>
      <c r="D5" s="29"/>
      <c r="E5" s="29"/>
      <c r="F5" s="42" t="e">
        <f ca="1">_xll.OneStop.ReportPlayer.OSRFunctions.OSRGet("Period","PeriodEnd")</f>
        <v>#NAME?</v>
      </c>
      <c r="G5" s="52"/>
      <c r="H5" s="50"/>
    </row>
    <row r="7" spans="1:8" ht="15.75" thickBot="1" x14ac:dyDescent="0.3">
      <c r="B7" s="15" t="s">
        <v>0</v>
      </c>
      <c r="C7" s="16"/>
      <c r="D7" s="16"/>
      <c r="E7" s="27"/>
      <c r="F7" s="27"/>
      <c r="G7" s="51"/>
      <c r="H7" s="8"/>
    </row>
    <row r="8" spans="1:8" x14ac:dyDescent="0.25">
      <c r="B8" s="2"/>
      <c r="C8" s="24" t="s">
        <v>6</v>
      </c>
      <c r="D8" s="14"/>
      <c r="E8" s="23"/>
      <c r="F8" s="23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2" customFormat="1" hidden="1" outlineLevel="2" x14ac:dyDescent="0.25">
      <c r="A11" s="19"/>
      <c r="B11" s="17"/>
      <c r="C11" s="18"/>
      <c r="D11" s="21"/>
      <c r="F11" s="4" t="e">
        <f ca="1">CONCATENATE(_xll.OneStop.ReportPlayer.OSRFunctions.OSRGet("d_Account","Code"), " - ", 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2" customFormat="1" hidden="1" outlineLevel="1" x14ac:dyDescent="0.25">
      <c r="A14" s="19"/>
      <c r="B14" s="17"/>
      <c r="C14" s="18"/>
      <c r="D14" s="21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3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2" customFormat="1" hidden="1" outlineLevel="1" x14ac:dyDescent="0.25">
      <c r="A17" s="19"/>
      <c r="B17" s="17"/>
      <c r="C17" s="18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3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2" customFormat="1" hidden="1" outlineLevel="1" x14ac:dyDescent="0.25">
      <c r="A20" s="19"/>
      <c r="B20" s="17"/>
      <c r="C20" s="18"/>
      <c r="D20" s="21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3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5" t="s">
        <v>7</v>
      </c>
      <c r="D22" s="6"/>
      <c r="E22" s="6"/>
      <c r="F22" s="6"/>
      <c r="G22" s="26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4" t="s">
        <v>2</v>
      </c>
      <c r="D24" s="14"/>
      <c r="E24" s="23"/>
      <c r="F24" s="23"/>
      <c r="G24" s="34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2" customFormat="1" hidden="1" outlineLevel="1" x14ac:dyDescent="0.25">
      <c r="A26" s="19"/>
      <c r="B26" s="17"/>
      <c r="C26" s="18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3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5" t="s">
        <v>19</v>
      </c>
      <c r="D28" s="6"/>
      <c r="E28" s="6"/>
      <c r="F28" s="6"/>
      <c r="G28" s="26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6"/>
      <c r="D30" s="16"/>
      <c r="E30" s="16"/>
      <c r="F30" s="16"/>
      <c r="G30" s="30" t="e">
        <f ca="1">+G22+G28</f>
        <v>#NAME?</v>
      </c>
      <c r="H30" s="2"/>
    </row>
    <row r="31" spans="1:8" s="5" customFormat="1" ht="15.75" thickTop="1" x14ac:dyDescent="0.25">
      <c r="G31" s="36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4" t="s">
        <v>8</v>
      </c>
      <c r="D33" s="14"/>
      <c r="E33" s="14"/>
      <c r="F33" s="14"/>
      <c r="G33" s="37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2" customFormat="1" hidden="1" outlineLevel="2" x14ac:dyDescent="0.25">
      <c r="A35" s="19"/>
      <c r="B35" s="17"/>
      <c r="C35" s="18"/>
      <c r="D35" s="21"/>
      <c r="E35" s="4" t="e">
        <f ca="1">CONCATENATE(_xll.OneStop.ReportPlayer.OSRFunctions.OSRGet("d_Account","Code"), " - ", 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5" t="s">
        <v>9</v>
      </c>
      <c r="D36" s="6"/>
      <c r="E36" s="6"/>
      <c r="F36" s="6"/>
      <c r="G36" s="26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4" t="s">
        <v>10</v>
      </c>
      <c r="D38" s="14"/>
      <c r="E38" s="23"/>
      <c r="F38" s="23"/>
      <c r="G38" s="34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2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3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5" t="s">
        <v>11</v>
      </c>
      <c r="D41" s="6"/>
      <c r="E41" s="6"/>
      <c r="F41" s="6"/>
      <c r="G41" s="26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3" t="s">
        <v>12</v>
      </c>
      <c r="C43" s="22"/>
      <c r="D43" s="22"/>
      <c r="E43" s="22"/>
      <c r="F43" s="22"/>
      <c r="G43" s="35" t="e">
        <f ca="1">+G36+G41</f>
        <v>#NAME?</v>
      </c>
      <c r="H43" s="2"/>
    </row>
    <row r="44" spans="1:8" s="5" customFormat="1" ht="8.25" customHeight="1" thickBot="1" x14ac:dyDescent="0.3">
      <c r="G44" s="36"/>
    </row>
    <row r="45" spans="1:8" s="5" customFormat="1" x14ac:dyDescent="0.25">
      <c r="B45" s="2"/>
      <c r="C45" s="24" t="s">
        <v>298</v>
      </c>
      <c r="D45" s="14"/>
      <c r="E45" s="14"/>
      <c r="F45" s="14"/>
      <c r="G45" s="37"/>
      <c r="H45" s="2"/>
    </row>
    <row r="46" spans="1:8" x14ac:dyDescent="0.25">
      <c r="A46" s="28"/>
      <c r="B46" s="8"/>
      <c r="C46" s="48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8"/>
      <c r="B47" s="8"/>
      <c r="C47" s="48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8"/>
      <c r="B48" s="8"/>
      <c r="C48" s="48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5" t="s">
        <v>299</v>
      </c>
      <c r="D49" s="6"/>
      <c r="E49" s="6"/>
      <c r="F49" s="6"/>
      <c r="G49" s="26" t="e">
        <f ca="1">SUM(G45:G48)</f>
        <v>#NAME?</v>
      </c>
      <c r="H49" s="2"/>
    </row>
    <row r="50" spans="1:8" ht="8.25" customHeight="1" x14ac:dyDescent="0.25"/>
    <row r="51" spans="1:8" x14ac:dyDescent="0.25">
      <c r="B51" s="33" t="s">
        <v>297</v>
      </c>
      <c r="C51" s="22"/>
      <c r="D51" s="22"/>
      <c r="E51" s="32"/>
      <c r="F51" s="32"/>
      <c r="G51" s="35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6"/>
      <c r="D53" s="16"/>
      <c r="E53" s="27"/>
      <c r="F53" s="27"/>
      <c r="G53" s="30" t="e">
        <f ca="1">+G43+G51</f>
        <v>#NAME?</v>
      </c>
      <c r="H53" s="8"/>
    </row>
    <row r="54" spans="1:8" ht="8.25" customHeight="1" thickTop="1" x14ac:dyDescent="0.25"/>
    <row r="55" spans="1:8" s="41" customFormat="1" ht="11.25" x14ac:dyDescent="0.2">
      <c r="A55" s="43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6" t="e">
        <f ca="1">ROUND(G30-G53, 0)</f>
        <v>#NAME?</v>
      </c>
    </row>
    <row r="56" spans="1:8" s="41" customFormat="1" ht="11.25" x14ac:dyDescent="0.2">
      <c r="A56" s="43"/>
      <c r="B56" s="45" t="e">
        <f ca="1">_xll.OneStop.ReportPlayer.OSRFunctions.OSRGet("User","UserId")</f>
        <v>#NAME?</v>
      </c>
      <c r="C56" s="39"/>
      <c r="D56" s="39"/>
      <c r="E56" s="31"/>
      <c r="F56" s="31"/>
      <c r="G56" s="44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 Monzon</cp:lastModifiedBy>
  <dcterms:modified xsi:type="dcterms:W3CDTF">2020-09-30T23:52:40Z</dcterms:modified>
</cp:coreProperties>
</file>