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Sheet'!$B$243:$F$243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</definedName>
    <definedName name="OSRRefG40_2x_0" localSheetId="2">'Balance Sheet'!$G$228</definedName>
    <definedName name="OSRRefG40x_0" localSheetId="2">'Balance Sheet'!$G$224,'Balance Sheet'!$G$226,'Balance Sheet'!$G$228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<sst xmlns="http://schemas.openxmlformats.org/spreadsheetml/2006/main" count="372" uniqueCount="316">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</sst>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/>
    <xf numFmtId="0" fontId="3" fillId="3" borderId="0" xfId="0" applyFont="1" applyFill="1"/>
    <xf numFmtId="0" fontId="4" fillId="0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4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167" fontId="5" fillId="0" borderId="0" xfId="0" applyNumberFormat="1" applyFont="1" applyAlignment="1">
      <alignment horizontal="left"/>
    </xf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165" fontId="1" fillId="0" borderId="9" xfId="1" applyNumberFormat="1" applyFont="1" applyFill="1" applyBorder="1"/>
    <xf numFmtId="165" fontId="1" fillId="0" borderId="0" xfId="1" applyNumberFormat="1" applyFont="1"/>
    <xf numFmtId="0" fontId="5" fillId="0" borderId="0" xfId="0" applyFont="1"/>
    <xf numFmtId="166" fontId="3" fillId="3" borderId="10" xfId="2" applyNumberFormat="1" applyFont="1" applyFill="1" applyBorder="1"/>
    <xf numFmtId="0" fontId="6" fillId="4" borderId="0" xfId="0" applyFont="1" applyFill="1"/>
    <xf numFmtId="165" fontId="3" fillId="4" borderId="11" xfId="1" applyNumberFormat="1" applyFont="1" applyFill="1" applyBorder="1"/>
    <xf numFmtId="165" fontId="0" fillId="0" borderId="9" xfId="1" applyNumberFormat="1" applyFont="1" applyFill="1" applyBorder="1"/>
    <xf numFmtId="0" fontId="2" fillId="0" borderId="3" xfId="0" applyFont="1" applyFill="1" applyBorder="1"/>
    <xf numFmtId="0" fontId="1" fillId="0" borderId="0" xfId="0" applyFont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65" fontId="8" fillId="0" borderId="0" xfId="1" applyNumberFormat="1" applyFont="1"/>
    <xf numFmtId="166" fontId="3" fillId="3" borderId="2" xfId="2" applyNumberFormat="1" applyFont="1" applyFill="1" applyBorder="1"/>
    <xf numFmtId="165" fontId="0" fillId="0" borderId="0" xfId="1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3" xfId="0" applyFont="1" applyFill="1" applyBorder="1"/>
    <xf numFmtId="165" fontId="9" fillId="0" borderId="0" xfId="1" applyNumberFormat="1" applyFont="1" applyFill="1"/>
    <xf numFmtId="165" fontId="0" fillId="0" borderId="0" xfId="1" applyNumberFormat="1" applyFont="1"/>
    <xf numFmtId="0" fontId="10" fillId="0" borderId="0" xfId="0" applyFont="1"/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5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4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4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2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2"/>
      <c s="32"/>
      <c s="44"/>
      <c s="42" t="s">
        <v>15</v>
      </c>
      <c s="48"/>
      <c s="45"/>
    </row>
    <row>
      <c r="C3" s="32"/>
      <c s="32"/>
      <c s="44"/>
      <c s="42" t="s">
        <v>14</v>
      </c>
      <c s="48"/>
      <c s="45"/>
    </row>
    <row>
      <c r="C4" s="30"/>
      <c s="30"/>
      <c s="30"/>
      <c s="42" t="s">
        <v>300</v>
      </c>
      <c s="48"/>
      <c s="45"/>
    </row>
    <row>
      <c r="C5" s="30"/>
      <c s="30"/>
      <c s="30"/>
      <c s="56">
        <v>43890</v>
      </c>
      <c s="48"/>
      <c s="45"/>
    </row>
    <row r="7" thickBot="1">
      <c r="B7" s="15" t="s">
        <v>0</v>
      </c>
      <c s="17"/>
      <c s="17"/>
      <c s="28"/>
      <c s="28"/>
      <c s="47"/>
      <c s="8"/>
    </row>
    <row>
      <c r="B8" s="2"/>
      <c s="24" t="s">
        <v>6</v>
      </c>
      <c s="14"/>
      <c s="22"/>
      <c s="22"/>
      <c s="20"/>
      <c s="8"/>
    </row>
    <row s="5" customFormat="1">
      <c r="B9" s="2"/>
      <c s="9"/>
      <c s="3" t="s">
        <v>1</v>
      </c>
      <c s="3"/>
      <c s="3"/>
      <c s="11">
        <f>SUM(OSRRefG10x_0)</f>
        <v>15679732.620000001</v>
      </c>
      <c s="2"/>
    </row>
    <row outlineLevel="1" collapsed="1">
      <c r="B10" s="2"/>
      <c s="9"/>
      <c s="3"/>
      <c s="7" t="s">
        <v>313</v>
      </c>
      <c s="7"/>
      <c s="20">
        <f>SUM(OSRRefG11_0x_0)</f>
        <v>5161916.9800000004</v>
      </c>
      <c s="8"/>
    </row>
    <row ht="15" hidden="1" outlineLevel="2" s="13" customFormat="1">
      <c s="16"/>
      <c s="18"/>
      <c s="19"/>
      <c s="23"/>
      <c r="F11" s="4" t="str">
        <f>CONCATENATE("1101", " - ", "VAULT FUND")</f>
        <v>1101 - VAULT FUND</v>
      </c>
      <c s="12">
        <v>150835.71000000002</v>
      </c>
      <c s="10"/>
    </row>
    <row ht="15" hidden="1" outlineLevel="2" s="13" customFormat="1">
      <c s="16"/>
      <c s="18"/>
      <c s="19"/>
      <c s="23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6"/>
      <c s="18"/>
      <c s="19"/>
      <c s="23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6"/>
      <c s="18"/>
      <c s="19"/>
      <c s="23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6"/>
      <c s="18"/>
      <c s="19"/>
      <c s="23"/>
      <c r="F15" s="4" t="str">
        <f>CONCATENATE("1106", " - ", "CITY NATIONAL BANK-GEN. CKG.")</f>
        <v>1106 - CITY NATIONAL BANK-GEN. CKG.</v>
      </c>
      <c s="12">
        <v>3603698.5999999996</v>
      </c>
      <c s="10"/>
    </row>
    <row ht="15" hidden="1" outlineLevel="2" s="13" customFormat="1">
      <c s="16"/>
      <c s="18"/>
      <c s="19"/>
      <c s="23"/>
      <c r="F16" s="4" t="str">
        <f>CONCATENATE("1110", " - ", "CITY NATIONAL BANK-P/R ACCOUNT")</f>
        <v>1110 - CITY NATIONAL BANK-P/R ACCOUNT</v>
      </c>
      <c s="12">
        <v>-4021.5100000000002</v>
      </c>
      <c s="10"/>
    </row>
    <row ht="15" hidden="1" outlineLevel="2" s="13" customFormat="1">
      <c s="16"/>
      <c s="18"/>
      <c s="19"/>
      <c s="23"/>
      <c r="F17" s="4" t="str">
        <f>CONCATENATE("1111", " - ", "CITY NATIONAL BANK- LADDER ACC")</f>
        <v>1111 - CITY NATIONAL BANK- LADDER ACC</v>
      </c>
      <c s="12">
        <v>1407418.1800000002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9787884.4800000004</v>
      </c>
      <c s="8"/>
    </row>
    <row ht="15" hidden="1" outlineLevel="2" s="13" customFormat="1">
      <c s="16"/>
      <c s="18"/>
      <c s="19"/>
      <c s="23"/>
      <c r="F19" s="4" t="str">
        <f>CONCATENATE("1112", " - ", "WELLS FARGO BANK-AC#04723-3500")</f>
        <v>1112 - WELLS FARGO BANK-AC#04723-3500</v>
      </c>
      <c s="12">
        <v>502241.21999999997</v>
      </c>
      <c s="10"/>
    </row>
    <row ht="15" hidden="1" outlineLevel="2" s="13" customFormat="1">
      <c s="16"/>
      <c s="18"/>
      <c s="19"/>
      <c s="23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6"/>
      <c s="18"/>
      <c s="19"/>
      <c s="23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6"/>
      <c s="18"/>
      <c s="19"/>
      <c s="23"/>
      <c r="F22" s="4" t="str">
        <f>CONCATENATE("1126", " - ", "PERS UNFUNDED LIABILITY")</f>
        <v>1126 - PERS UNFUNDED LIABILITY</v>
      </c>
      <c s="12">
        <v>3539063.6199999996</v>
      </c>
      <c s="10"/>
    </row>
    <row ht="15" hidden="1" outlineLevel="2" s="13" customFormat="1">
      <c s="16"/>
      <c s="18"/>
      <c s="19"/>
      <c s="23"/>
      <c r="F23" s="4" t="str">
        <f>CONCATENATE("1128", " - ", "SRB FUNDING- OUTPOST")</f>
        <v>1128 - SRB FUNDING- OUTPOST</v>
      </c>
      <c s="12">
        <v>3178147.9700000002</v>
      </c>
      <c s="10"/>
    </row>
    <row ht="15" hidden="1" outlineLevel="2" s="13" customFormat="1">
      <c s="16"/>
      <c s="18"/>
      <c s="19"/>
      <c s="23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6"/>
      <c s="18"/>
      <c s="19"/>
      <c s="23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729931.16000000003</v>
      </c>
      <c s="8"/>
    </row>
    <row ht="15" hidden="1" outlineLevel="2" s="13" customFormat="1">
      <c s="16"/>
      <c s="18"/>
      <c s="19"/>
      <c s="23"/>
      <c r="F27" s="4" t="str">
        <f>CONCATENATE("1108", " - ", "INVESTMENTS - BROKERS")</f>
        <v>1108 - INVESTMENTS - BROKERS</v>
      </c>
      <c s="12">
        <v>165907.84</v>
      </c>
      <c s="10"/>
    </row>
    <row ht="15" hidden="1" outlineLevel="2" s="13" customFormat="1">
      <c s="16"/>
      <c s="18"/>
      <c s="19"/>
      <c s="23"/>
      <c r="F28" s="4" t="str">
        <f>CONCATENATE("1109", " - ", "INVESTMENTS - BANKS")</f>
        <v>1109 - INVESTMENTS - BANKS</v>
      </c>
      <c s="12">
        <v>-855863.04000000004</v>
      </c>
      <c s="10"/>
    </row>
    <row ht="15" hidden="1" outlineLevel="2" s="13" customFormat="1">
      <c s="16"/>
      <c s="18"/>
      <c s="19"/>
      <c s="23"/>
      <c r="F29" s="4" t="str">
        <f>CONCATENATE("1118", " - ", "ALLOWANCE FOR FMV OF INVESTMEN")</f>
        <v>1118 - ALLOWANCE FOR FMV OF INVESTMEN</v>
      </c>
      <c s="12">
        <v>1419886.3600000001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1510982.8100000001</v>
      </c>
      <c s="2"/>
    </row>
    <row ht="15" hidden="1" outlineLevel="1" s="13" customFormat="1">
      <c s="16"/>
      <c s="18"/>
      <c s="19"/>
      <c s="23"/>
      <c s="4" t="str">
        <f>CONCATENATE("1210", " - ", "A/R - BOOKSTORE")</f>
        <v>1210 - A/R - BOOKSTORE</v>
      </c>
      <c s="4"/>
      <c s="12">
        <v>525888.57000000007</v>
      </c>
      <c s="10"/>
    </row>
    <row ht="15" hidden="1" outlineLevel="1" s="13" customFormat="1">
      <c s="16"/>
      <c s="18"/>
      <c s="19"/>
      <c s="23"/>
      <c s="4" t="str">
        <f>CONCATENATE("1211", " - ", "A/R - REBATE RECEIVABLE")</f>
        <v>1211 - A/R - REBATE RECEIVABLE</v>
      </c>
      <c s="4"/>
      <c s="12">
        <v>510093.84999999998</v>
      </c>
      <c s="10"/>
    </row>
    <row ht="15" hidden="1" outlineLevel="1" s="13" customFormat="1">
      <c s="16"/>
      <c s="18"/>
      <c s="19"/>
      <c s="23"/>
      <c s="4" t="str">
        <f>CONCATENATE("1212", " - ", "A/R - TAPINGO SALES")</f>
        <v>1212 - A/R - TAPINGO SALES</v>
      </c>
      <c s="4"/>
      <c s="12">
        <v>95885.289999999994</v>
      </c>
      <c s="10"/>
    </row>
    <row ht="15" hidden="1" outlineLevel="1" s="13" customFormat="1">
      <c s="16"/>
      <c s="18"/>
      <c s="19"/>
      <c s="23"/>
      <c s="4" t="str">
        <f>CONCATENATE("1215", " - ", "A/R - OFFSET BOOKSTORE")</f>
        <v>1215 - A/R - OFFSET BOOKSTORE</v>
      </c>
      <c s="4"/>
      <c s="12">
        <v>2511.9299999999998</v>
      </c>
      <c s="10"/>
    </row>
    <row ht="15" hidden="1" outlineLevel="1" s="13" customFormat="1">
      <c s="16"/>
      <c s="18"/>
      <c s="19"/>
      <c s="23"/>
      <c s="4" t="str">
        <f>CONCATENATE("1220", " - ", "A/R - FOOD SERVICE")</f>
        <v>1220 - A/R - FOOD SERVICE</v>
      </c>
      <c s="4"/>
      <c s="12">
        <v>0</v>
      </c>
      <c s="10"/>
    </row>
    <row ht="15" hidden="1" outlineLevel="1" s="13" customFormat="1">
      <c s="16"/>
      <c s="18"/>
      <c s="19"/>
      <c s="23"/>
      <c s="4" t="str">
        <f>CONCATENATE("1222", " - ", "A/R - VENDOR/LEASEE")</f>
        <v>1222 - A/R - VENDOR/LEASEE</v>
      </c>
      <c s="4"/>
      <c s="12">
        <v>956.54999999999995</v>
      </c>
      <c s="10"/>
    </row>
    <row ht="15" hidden="1" outlineLevel="1" s="13" customFormat="1">
      <c s="16"/>
      <c s="18"/>
      <c s="19"/>
      <c s="23"/>
      <c s="4" t="str">
        <f>CONCATENATE("1225", " - ", "A/R - OFFSET FOOD SERVICE")</f>
        <v>1225 - A/R - OFFSET FOOD SERVICE</v>
      </c>
      <c s="4"/>
      <c s="12">
        <v>-16340.310000000001</v>
      </c>
      <c s="10"/>
    </row>
    <row ht="15" hidden="1" outlineLevel="1" s="13" customFormat="1">
      <c s="16"/>
      <c s="18"/>
      <c s="19"/>
      <c s="23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6"/>
      <c s="18"/>
      <c s="19"/>
      <c s="23"/>
      <c s="4" t="str">
        <f>CONCATENATE("1250", " - ", "A/R - DORMS")</f>
        <v>1250 - A/R - DORMS</v>
      </c>
      <c s="4"/>
      <c s="12">
        <v>74068.649999999994</v>
      </c>
      <c s="10"/>
    </row>
    <row ht="15" hidden="1" outlineLevel="1" s="13" customFormat="1">
      <c s="16"/>
      <c s="18"/>
      <c s="19"/>
      <c s="23"/>
      <c s="4" t="str">
        <f>CONCATENATE("1254", " - ", "A/R - ONE CARD SYSTEM")</f>
        <v>1254 - A/R - ONE CARD SYSTEM</v>
      </c>
      <c s="4"/>
      <c s="12">
        <v>166641</v>
      </c>
      <c s="10"/>
    </row>
    <row ht="15" hidden="1" outlineLevel="1" s="13" customFormat="1">
      <c s="16"/>
      <c s="18"/>
      <c s="19"/>
      <c s="23"/>
      <c s="4" t="str">
        <f>CONCATENATE("1255", " - ", "A/R - UNIV STUDENT UNION")</f>
        <v>1255 - A/R - UNIV STUDENT UNION</v>
      </c>
      <c s="4"/>
      <c s="12">
        <v>-32.979999999999997</v>
      </c>
      <c s="10"/>
    </row>
    <row ht="15" hidden="1" outlineLevel="1" s="13" customFormat="1">
      <c s="16"/>
      <c s="18"/>
      <c s="19"/>
      <c s="23"/>
      <c s="4" t="str">
        <f>CONCATENATE("1260", " - ", "A/R - M/C - VISA DRAFTS")</f>
        <v>1260 - A/R - M/C - VISA DRAFTS</v>
      </c>
      <c s="4"/>
      <c s="12">
        <v>93700.380000000005</v>
      </c>
      <c s="10"/>
    </row>
    <row ht="15" hidden="1" outlineLevel="1" s="13" customFormat="1">
      <c s="16"/>
      <c s="18"/>
      <c s="19"/>
      <c s="23"/>
      <c s="4" t="str">
        <f>CONCATENATE("1261", " - ", "A/R - WEBSITE CREDIT CARDS")</f>
        <v>1261 - A/R - WEBSITE CREDIT CARDS</v>
      </c>
      <c s="4"/>
      <c s="12">
        <v>48772.57</v>
      </c>
      <c s="10"/>
    </row>
    <row ht="15" hidden="1" outlineLevel="1" s="13" customFormat="1">
      <c s="16"/>
      <c s="18"/>
      <c s="19"/>
      <c s="23"/>
      <c s="4" t="str">
        <f>CONCATENATE("1262", " - ", "A/R - STARBUCKS GIFT CARD")</f>
        <v>1262 - A/R - STARBUCKS GIFT CARD</v>
      </c>
      <c s="4"/>
      <c s="12">
        <v>4103.5100000000002</v>
      </c>
      <c s="10"/>
    </row>
    <row ht="15" hidden="1" outlineLevel="1" s="13" customFormat="1">
      <c s="16"/>
      <c s="18"/>
      <c s="19"/>
      <c s="23"/>
      <c s="4" t="str">
        <f>CONCATENATE("1271", " - ", "A/R - C.S.C.")</f>
        <v>1271 - A/R - C.S.C.</v>
      </c>
      <c s="4"/>
      <c s="12">
        <v>225.94</v>
      </c>
      <c s="10"/>
    </row>
    <row ht="15" hidden="1" outlineLevel="1" s="13" customFormat="1">
      <c s="16"/>
      <c s="18"/>
      <c s="19"/>
      <c s="23"/>
      <c s="4" t="str">
        <f>CONCATENATE("1275", " - ", "A/R - BEACH BUCKS")</f>
        <v>1275 - A/R - BEACH BUCKS</v>
      </c>
      <c s="4"/>
      <c s="12">
        <v>400</v>
      </c>
      <c s="10"/>
    </row>
    <row ht="15" hidden="1" outlineLevel="1" s="13" customFormat="1">
      <c s="16"/>
      <c s="18"/>
      <c s="19"/>
      <c s="23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6"/>
      <c s="18"/>
      <c s="19"/>
      <c s="23"/>
      <c s="4" t="str">
        <f>CONCATENATE("1286", " - ", "A/R - EMPLOYEES")</f>
        <v>1286 - A/R - EMPLOYEES</v>
      </c>
      <c s="4"/>
      <c s="12">
        <v>2922.3400000000001</v>
      </c>
      <c s="10"/>
    </row>
    <row ht="15" hidden="1" outlineLevel="1" s="13" customFormat="1">
      <c s="16"/>
      <c s="18"/>
      <c s="19"/>
      <c s="23"/>
      <c s="4" t="str">
        <f>CONCATENATE("1287", " - ", "A/R - EMPLOYEES SAFETY SHOES")</f>
        <v>1287 - A/R - EMPLOYEES SAFETY SHOES</v>
      </c>
      <c s="4"/>
      <c s="12">
        <v>763.02999999999997</v>
      </c>
      <c s="10"/>
    </row>
    <row ht="15" hidden="1" outlineLevel="1" s="13" customFormat="1">
      <c s="16"/>
      <c s="18"/>
      <c s="19"/>
      <c s="23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6"/>
      <c s="18"/>
      <c s="19"/>
      <c s="23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3168391.6699999999</v>
      </c>
      <c s="2"/>
    </row>
    <row ht="15" hidden="1" outlineLevel="1" s="13" customFormat="1">
      <c s="16"/>
      <c s="18"/>
      <c s="19"/>
      <c s="4"/>
      <c s="4" t="str">
        <f>CONCATENATE("1301", " - ", "INVENTORY @ COST-NEW TEXT")</f>
        <v>1301 - INVENTORY @ COST-NEW TEXT</v>
      </c>
      <c s="4"/>
      <c s="12">
        <v>1231597</v>
      </c>
      <c s="10"/>
    </row>
    <row ht="15" hidden="1" outlineLevel="1" s="13" customFormat="1">
      <c s="16"/>
      <c s="18"/>
      <c s="19"/>
      <c s="4"/>
      <c s="4" t="str">
        <f>CONCATENATE("1302", " - ", "INVENTORY @ COST-USED TEXT")</f>
        <v>1302 - INVENTORY @ COST-USED TEXT</v>
      </c>
      <c s="4"/>
      <c s="12">
        <v>-6300</v>
      </c>
      <c s="10"/>
    </row>
    <row ht="15" hidden="1" outlineLevel="1" s="13" customFormat="1">
      <c s="16"/>
      <c s="18"/>
      <c s="19"/>
      <c s="4"/>
      <c s="4" t="str">
        <f>CONCATENATE("1303", " - ", "INVENTORY @ COST-NEXT")</f>
        <v>1303 - INVENTORY @ COST-NEXT</v>
      </c>
      <c s="4"/>
      <c s="12">
        <v>-17596</v>
      </c>
      <c s="10"/>
    </row>
    <row ht="15" hidden="1" outlineLevel="1" s="13" customFormat="1">
      <c s="16"/>
      <c s="18"/>
      <c s="19"/>
      <c s="4"/>
      <c s="4" t="str">
        <f>CONCATENATE("1304", " - ", "INVENTORY @ COST-DIGITAL BOOKS")</f>
        <v>1304 - INVENTORY @ COST-DIGITAL BOOKS</v>
      </c>
      <c s="4"/>
      <c s="12">
        <v>181218</v>
      </c>
      <c s="10"/>
    </row>
    <row ht="15" hidden="1" outlineLevel="1" s="13" customFormat="1">
      <c s="16"/>
      <c s="18"/>
      <c s="19"/>
      <c s="4"/>
      <c s="4" t="str">
        <f>CONCATENATE("1311", " - ", "INVENTORY @ COST-NO VALUE TEXT")</f>
        <v>1311 - INVENTORY @ COST-NO VALUE TEXT</v>
      </c>
      <c s="4"/>
      <c s="12">
        <v>893</v>
      </c>
      <c s="10"/>
    </row>
    <row ht="15" hidden="1" outlineLevel="1" s="13" customFormat="1">
      <c s="16"/>
      <c s="18"/>
      <c s="19"/>
      <c s="4"/>
      <c s="4" t="str">
        <f>CONCATENATE("1313", " - ", "INVENTORY @ COST-TRADE BOOKS")</f>
        <v>1313 - INVENTORY @ COST-TRADE BOOKS</v>
      </c>
      <c s="4"/>
      <c s="12">
        <v>5806</v>
      </c>
      <c s="10"/>
    </row>
    <row ht="15" hidden="1" outlineLevel="1" s="13" customFormat="1">
      <c s="16"/>
      <c s="18"/>
      <c s="19"/>
      <c s="4"/>
      <c s="4" t="str">
        <f>CONCATENATE("1314", " - ", "INVENTORY @ COST-REMAINDERS")</f>
        <v>1314 - INVENTORY @ COST-REMAINDERS</v>
      </c>
      <c s="4"/>
      <c s="12">
        <v>-104</v>
      </c>
      <c s="10"/>
    </row>
    <row ht="15" hidden="1" outlineLevel="1" s="13" customFormat="1">
      <c s="16"/>
      <c s="18"/>
      <c s="19"/>
      <c s="4"/>
      <c s="4" t="str">
        <f>CONCATENATE("1317", " - ", "INVENTORY @ COST-DORMS/HOUSEWA")</f>
        <v>1317 - INVENTORY @ COST-DORMS/HOUSEWA</v>
      </c>
      <c s="4"/>
      <c s="12">
        <v>-59</v>
      </c>
      <c s="10"/>
    </row>
    <row ht="15" hidden="1" outlineLevel="1" s="13" customFormat="1">
      <c s="16"/>
      <c s="18"/>
      <c s="19"/>
      <c s="4"/>
      <c s="4" t="str">
        <f>CONCATENATE("1318", " - ", "INVENTORY @ COST-STUDY GUIDES")</f>
        <v>1318 - INVENTORY @ COST-STUDY GUIDES</v>
      </c>
      <c s="4"/>
      <c s="12">
        <v>4457.5299999999997</v>
      </c>
      <c s="10"/>
    </row>
    <row ht="15" hidden="1" outlineLevel="1" s="13" customFormat="1">
      <c s="16"/>
      <c s="18"/>
      <c s="19"/>
      <c s="4"/>
      <c s="4" t="str">
        <f>CONCATENATE("1325", " - ", "INVENTORY @ COST-TEST FORMS")</f>
        <v>1325 - INVENTORY @ COST-TEST FORMS</v>
      </c>
      <c s="4"/>
      <c s="12">
        <v>17082</v>
      </c>
      <c s="10"/>
    </row>
    <row ht="15" hidden="1" outlineLevel="1" s="13" customFormat="1">
      <c s="16"/>
      <c s="18"/>
      <c s="19"/>
      <c s="4"/>
      <c s="4" t="str">
        <f>CONCATENATE("1326", " - ", "INVENTORY @ COST-WRITING INSTR")</f>
        <v>1326 - INVENTORY @ COST-WRITING INSTR</v>
      </c>
      <c s="4"/>
      <c s="12">
        <v>42550</v>
      </c>
      <c s="10"/>
    </row>
    <row ht="15" hidden="1" outlineLevel="1" s="13" customFormat="1">
      <c s="16"/>
      <c s="18"/>
      <c s="19"/>
      <c s="4"/>
      <c s="4" t="str">
        <f>CONCATENATE("1327", " - ", "INVENTORY @ COST-SCHOOL SUPPLI")</f>
        <v>1327 - INVENTORY @ COST-SCHOOL SUPPLI</v>
      </c>
      <c s="4"/>
      <c s="12">
        <v>50104</v>
      </c>
      <c s="10"/>
    </row>
    <row ht="15" hidden="1" outlineLevel="1" s="13" customFormat="1">
      <c s="16"/>
      <c s="18"/>
      <c s="19"/>
      <c s="4"/>
      <c s="4" t="str">
        <f>CONCATENATE("1328", " - ", "INVENTORY @ COST-ART/TECH")</f>
        <v>1328 - INVENTORY @ COST-ART/TECH</v>
      </c>
      <c s="4"/>
      <c s="12">
        <v>71393</v>
      </c>
      <c s="10"/>
    </row>
    <row ht="15" hidden="1" outlineLevel="1" s="13" customFormat="1">
      <c s="16"/>
      <c s="18"/>
      <c s="19"/>
      <c s="4"/>
      <c s="4" t="str">
        <f>CONCATENATE("1331", " - ", "INVENTORY @ COST-FOOD")</f>
        <v>1331 - INVENTORY @ COST-FOOD</v>
      </c>
      <c s="4"/>
      <c s="12">
        <v>215021.90999999997</v>
      </c>
      <c s="10"/>
    </row>
    <row ht="15" hidden="1" outlineLevel="1" s="13" customFormat="1">
      <c s="16"/>
      <c s="18"/>
      <c s="19"/>
      <c s="4"/>
      <c s="4" t="str">
        <f>CONCATENATE("1332", " - ", "INVENTORY @ COST-JUICE")</f>
        <v>1332 - INVENTORY @ COST-JUICE</v>
      </c>
      <c s="4"/>
      <c s="12">
        <v>-304</v>
      </c>
      <c s="10"/>
    </row>
    <row ht="15" hidden="1" outlineLevel="1" s="13" customFormat="1">
      <c s="16"/>
      <c s="18"/>
      <c s="19"/>
      <c s="4"/>
      <c s="4" t="str">
        <f>CONCATENATE("1333", " - ", "INVENTORY @ COST-CANDY")</f>
        <v>1333 - INVENTORY @ COST-CANDY</v>
      </c>
      <c s="4"/>
      <c s="12">
        <v>2482</v>
      </c>
      <c s="10"/>
    </row>
    <row ht="15" hidden="1" outlineLevel="1" s="13" customFormat="1">
      <c s="16"/>
      <c s="18"/>
      <c s="19"/>
      <c s="4"/>
      <c s="4" t="str">
        <f>CONCATENATE("1334", " - ", "INVENTORY @ COST-SODA")</f>
        <v>1334 - INVENTORY @ COST-SODA</v>
      </c>
      <c s="4"/>
      <c s="12">
        <v>1276</v>
      </c>
      <c s="10"/>
    </row>
    <row ht="15" hidden="1" outlineLevel="1" s="13" customFormat="1">
      <c s="16"/>
      <c s="18"/>
      <c s="19"/>
      <c s="4"/>
      <c s="4" t="str">
        <f>CONCATENATE("1335", " - ", "INVENTORY @ COST-HEALTH &amp; BEAU")</f>
        <v>1335 - INVENTORY @ COST-HEALTH &amp; BEAU</v>
      </c>
      <c s="4"/>
      <c s="12">
        <v>543</v>
      </c>
      <c s="10"/>
    </row>
    <row ht="15" hidden="1" outlineLevel="1" s="13" customFormat="1">
      <c s="16"/>
      <c s="18"/>
      <c s="19"/>
      <c s="4"/>
      <c s="4" t="str">
        <f>CONCATENATE("1337", " - ", "INVENTORY @ COST-WATER")</f>
        <v>1337 - INVENTORY @ COST-WATER</v>
      </c>
      <c s="4"/>
      <c s="12">
        <v>1269</v>
      </c>
      <c s="10"/>
    </row>
    <row ht="15" hidden="1" outlineLevel="1" s="13" customFormat="1">
      <c s="16"/>
      <c s="18"/>
      <c s="19"/>
      <c s="4"/>
      <c s="4" t="str">
        <f>CONCATENATE("1340", " - ", "INVENTORY @ COST-LOGO CLOTHING")</f>
        <v>1340 - INVENTORY @ COST-LOGO CLOTHING</v>
      </c>
      <c s="4"/>
      <c s="12">
        <v>522836.99999999994</v>
      </c>
      <c s="10"/>
    </row>
    <row ht="15" hidden="1" outlineLevel="1" s="13" customFormat="1">
      <c s="16"/>
      <c s="18"/>
      <c s="19"/>
      <c s="4"/>
      <c s="4" t="str">
        <f>CONCATENATE("1341", " - ", "INVENTORY @ COST-LOGO GIFTS")</f>
        <v>1341 - INVENTORY @ COST-LOGO GIFTS</v>
      </c>
      <c s="4"/>
      <c s="12">
        <v>164391</v>
      </c>
      <c s="10"/>
    </row>
    <row ht="15" hidden="1" outlineLevel="1" s="13" customFormat="1">
      <c s="16"/>
      <c s="18"/>
      <c s="19"/>
      <c s="4"/>
      <c s="4" t="str">
        <f>CONCATENATE("1342", " - ", "INVENTORY @ COST-EVERYDAY GIFT")</f>
        <v>1342 - INVENTORY @ COST-EVERYDAY GIFT</v>
      </c>
      <c s="4"/>
      <c s="12">
        <v>76666</v>
      </c>
      <c s="10"/>
    </row>
    <row ht="15" hidden="1" outlineLevel="1" s="13" customFormat="1">
      <c s="16"/>
      <c s="18"/>
      <c s="19"/>
      <c s="4"/>
      <c s="4" t="str">
        <f>CONCATENATE("1343", " - ", "INVENTORY @ COST-CARDS")</f>
        <v>1343 - INVENTORY @ COST-CARDS</v>
      </c>
      <c s="4"/>
      <c s="12">
        <v>-9359</v>
      </c>
      <c s="10"/>
    </row>
    <row ht="15" hidden="1" outlineLevel="1" s="13" customFormat="1">
      <c s="16"/>
      <c s="18"/>
      <c s="19"/>
      <c s="4"/>
      <c s="4" t="str">
        <f>CONCATENATE("1344", " - ", "INVENTORY @ COST-ACCESSORIES")</f>
        <v>1344 - INVENTORY @ COST-ACCESSORIES</v>
      </c>
      <c s="4"/>
      <c s="12">
        <v>26093</v>
      </c>
      <c s="10"/>
    </row>
    <row ht="15" hidden="1" outlineLevel="1" s="13" customFormat="1">
      <c s="16"/>
      <c s="18"/>
      <c s="19"/>
      <c s="4"/>
      <c s="4" t="str">
        <f>CONCATENATE("1345", " - ", "INVENTORY @ COST-SPECIAL ORDER")</f>
        <v>1345 - INVENTORY @ COST-SPECIAL ORDER</v>
      </c>
      <c s="4"/>
      <c s="12">
        <v>7063</v>
      </c>
      <c s="10"/>
    </row>
    <row ht="15" hidden="1" outlineLevel="1" s="13" customFormat="1">
      <c s="16"/>
      <c s="18"/>
      <c s="19"/>
      <c s="4"/>
      <c s="4" t="str">
        <f>CONCATENATE("1350", " - ", "INVENTORY @ COST-CAFETERIA")</f>
        <v>1350 - INVENTORY @ COST-CAFETERIA</v>
      </c>
      <c s="4"/>
      <c s="12">
        <v>149755.23000000001</v>
      </c>
      <c s="10"/>
    </row>
    <row ht="15" hidden="1" outlineLevel="1" s="13" customFormat="1">
      <c s="16"/>
      <c s="18"/>
      <c s="19"/>
      <c s="4"/>
      <c s="4" t="str">
        <f>CONCATENATE("1359", " - ", "INVENTORY @ COST-CARTS")</f>
        <v>1359 - INVENTORY @ COST-CARTS</v>
      </c>
      <c s="4"/>
      <c s="12">
        <v>41249</v>
      </c>
      <c s="10"/>
    </row>
    <row ht="15" hidden="1" outlineLevel="1" s="13" customFormat="1">
      <c s="16"/>
      <c s="18"/>
      <c s="19"/>
      <c s="4"/>
      <c s="4" t="str">
        <f>CONCATENATE("1370", " - ", "INVENTORY @ COST-HILLSIDE")</f>
        <v>1370 - INVENTORY @ COST-HILLSIDE</v>
      </c>
      <c s="4"/>
      <c s="12">
        <v>35957</v>
      </c>
      <c s="10"/>
    </row>
    <row ht="15" hidden="1" outlineLevel="1" s="13" customFormat="1">
      <c s="16"/>
      <c s="18"/>
      <c s="19"/>
      <c s="4"/>
      <c s="4" t="str">
        <f>CONCATENATE("1380", " - ", "INVENTORY @ COST-PARKSIDE COMM")</f>
        <v>1380 - INVENTORY @ COST-PARKSIDE COMM</v>
      </c>
      <c s="4"/>
      <c s="12">
        <v>42944</v>
      </c>
      <c s="10"/>
    </row>
    <row ht="15" hidden="1" outlineLevel="1" s="13" customFormat="1">
      <c s="16"/>
      <c s="18"/>
      <c s="19"/>
      <c s="4"/>
      <c s="4" t="str">
        <f>CONCATENATE("1381", " - ", "INVENTORY @ COST-ELECTRONICS")</f>
        <v>1381 - INVENTORY @ COST-ELECTRONICS</v>
      </c>
      <c s="4"/>
      <c s="12">
        <v>54568</v>
      </c>
      <c s="10"/>
    </row>
    <row ht="15" hidden="1" outlineLevel="1" s="13" customFormat="1">
      <c s="16"/>
      <c s="18"/>
      <c s="19"/>
      <c s="4"/>
      <c s="4" t="str">
        <f>CONCATENATE("1382", " - ", "INVENTORY @ COST-COMPUTER HARD")</f>
        <v>1382 - INVENTORY @ COST-COMPUTER HARD</v>
      </c>
      <c s="4"/>
      <c s="12">
        <v>154750</v>
      </c>
      <c s="10"/>
    </row>
    <row ht="15" hidden="1" outlineLevel="1" s="13" customFormat="1">
      <c s="16"/>
      <c s="18"/>
      <c s="19"/>
      <c s="4"/>
      <c s="4" t="str">
        <f>CONCATENATE("1383", " - ", "INVENTORY @ COST-COMPUTER EQUI")</f>
        <v>1383 - INVENTORY @ COST-COMPUTER EQUI</v>
      </c>
      <c s="4"/>
      <c s="12">
        <v>41978</v>
      </c>
      <c s="10"/>
    </row>
    <row ht="15" hidden="1" outlineLevel="1" s="13" customFormat="1">
      <c s="16"/>
      <c s="18"/>
      <c s="19"/>
      <c s="4"/>
      <c s="4" t="str">
        <f>CONCATENATE("1384", " - ", "INVENTORY @ COST-SOFTWARE LICE")</f>
        <v>1384 - INVENTORY @ COST-SOFTWARE LICE</v>
      </c>
      <c s="4"/>
      <c s="12">
        <v>4260</v>
      </c>
      <c s="10"/>
    </row>
    <row ht="15" hidden="1" outlineLevel="1" s="13" customFormat="1">
      <c s="16"/>
      <c s="18"/>
      <c s="19"/>
      <c s="4"/>
      <c s="4" t="str">
        <f>CONCATENATE("1385", " - ", "INVENTORY @ COST-COMPUTER SOFT")</f>
        <v>1385 - INVENTORY @ COST-COMPUTER SOFT</v>
      </c>
      <c s="4"/>
      <c s="12">
        <v>3905</v>
      </c>
      <c s="10"/>
    </row>
    <row ht="15" hidden="1" outlineLevel="1" s="13" customFormat="1">
      <c s="16"/>
      <c s="18"/>
      <c s="19"/>
      <c s="4"/>
      <c s="4" t="str">
        <f>CONCATENATE("1386", " - ", "INVENTORY @ COST-COMPUTER SUPP")</f>
        <v>1386 - INVENTORY @ COST-COMPUTER SUPP</v>
      </c>
      <c s="4"/>
      <c s="12">
        <v>20877</v>
      </c>
      <c s="10"/>
    </row>
    <row ht="15" hidden="1" outlineLevel="1" s="13" customFormat="1">
      <c s="16"/>
      <c s="18"/>
      <c s="19"/>
      <c s="4"/>
      <c s="4" t="str">
        <f>CONCATENATE("1388", " - ", "INVENTORY @ COST-MUSIC")</f>
        <v>1388 - INVENTORY @ COST-MUSIC</v>
      </c>
      <c s="4"/>
      <c s="12">
        <v>1862</v>
      </c>
      <c s="10"/>
    </row>
    <row ht="15" hidden="1" outlineLevel="1" s="13" customFormat="1">
      <c s="16"/>
      <c s="18"/>
      <c s="19"/>
      <c s="4"/>
      <c s="4" t="str">
        <f>CONCATENATE("1390", " - ", "INVENTORY @ COST- BEACHSIDE")</f>
        <v>1390 - INVENTORY @ COST- BEACHSIDE</v>
      </c>
      <c s="4"/>
      <c s="12">
        <v>22612</v>
      </c>
      <c s="10"/>
    </row>
    <row ht="15" hidden="1" outlineLevel="1" s="13" customFormat="1">
      <c s="16"/>
      <c s="18"/>
      <c s="19"/>
      <c s="4"/>
      <c s="4" t="str">
        <f>CONCATENATE("1392", " - ", "INVENTORY @ COST-GRAD MERCH")</f>
        <v>1392 - INVENTORY @ COST-GRAD MERCH</v>
      </c>
      <c s="4"/>
      <c s="12">
        <v>4638</v>
      </c>
      <c s="10"/>
    </row>
    <row ht="15" hidden="1" outlineLevel="1" s="13" customFormat="1">
      <c s="16"/>
      <c s="18"/>
      <c s="19"/>
      <c s="4"/>
      <c s="4" t="str">
        <f>CONCATENATE("1395", " - ", "INVENTORY @ COST-CUSTOMER SERV")</f>
        <v>1395 - INVENTORY @ COST-CUSTOMER SERV</v>
      </c>
      <c s="4"/>
      <c s="12">
        <v>16</v>
      </c>
      <c s="10"/>
    </row>
    <row ht="15" hidden="1" outlineLevel="1" s="13" customFormat="1">
      <c s="16"/>
      <c s="18"/>
      <c s="19"/>
      <c s="4"/>
      <c s="4" t="str">
        <f>CONCATENATE("7100", " - ", "INVENTORY @ RETAIL-CONTRA")</f>
        <v>7100 - INVENTORY @ RETAIL-CONTRA</v>
      </c>
      <c s="4"/>
      <c s="12">
        <v>-4379321</v>
      </c>
      <c s="10"/>
    </row>
    <row ht="15" hidden="1" outlineLevel="1" s="13" customFormat="1">
      <c s="16"/>
      <c s="18"/>
      <c s="19"/>
      <c s="4"/>
      <c s="4" t="str">
        <f>CONCATENATE("7101", " - ", "INVENTORY @ RETAIL-NEW TEXT")</f>
        <v>7101 - INVENTORY @ RETAIL-NEW TEXT</v>
      </c>
      <c s="4"/>
      <c s="12">
        <v>1630110</v>
      </c>
      <c s="10"/>
    </row>
    <row ht="15" hidden="1" outlineLevel="1" s="13" customFormat="1">
      <c s="16"/>
      <c s="18"/>
      <c s="19"/>
      <c s="4"/>
      <c s="4" t="str">
        <f>CONCATENATE("7102", " - ", "INVENTORY @ RETAIL-USED TEXT")</f>
        <v>7102 - INVENTORY @ RETAIL-USED TEXT</v>
      </c>
      <c s="4"/>
      <c s="12">
        <v>92871</v>
      </c>
      <c s="10"/>
    </row>
    <row ht="15" hidden="1" outlineLevel="1" s="13" customFormat="1">
      <c s="16"/>
      <c s="18"/>
      <c s="19"/>
      <c s="4"/>
      <c s="4" t="str">
        <f>CONCATENATE("7103", " - ", "INVENTORY @ RETAIL-RENTAL TEXT")</f>
        <v>7103 - INVENTORY @ RETAIL-RENTAL TEXT</v>
      </c>
      <c s="4"/>
      <c s="12">
        <v>-32743</v>
      </c>
      <c s="10"/>
    </row>
    <row ht="15" hidden="1" outlineLevel="1" s="13" customFormat="1">
      <c s="16"/>
      <c s="18"/>
      <c s="19"/>
      <c s="4"/>
      <c s="4" t="str">
        <f>CONCATENATE("7104", " - ", "INVENTORY @ RETAIL-DIGITAL TEX")</f>
        <v>7104 - INVENTORY @ RETAIL-DIGITAL TEX</v>
      </c>
      <c s="4"/>
      <c s="12">
        <v>149992</v>
      </c>
      <c s="10"/>
    </row>
    <row ht="15" hidden="1" outlineLevel="1" s="13" customFormat="1">
      <c s="16"/>
      <c s="18"/>
      <c s="19"/>
      <c s="4"/>
      <c s="4" t="str">
        <f>CONCATENATE("7111", " - ", "INVENTORY @ RETAIL-NO VALUE TE")</f>
        <v>7111 - INVENTORY @ RETAIL-NO VALUE TE</v>
      </c>
      <c s="4"/>
      <c s="12">
        <v>-827</v>
      </c>
      <c s="10"/>
    </row>
    <row ht="15" hidden="1" outlineLevel="1" s="13" customFormat="1">
      <c s="16"/>
      <c s="18"/>
      <c s="19"/>
      <c s="4"/>
      <c s="4" t="str">
        <f>CONCATENATE("7113", " - ", "INVENTORY @ RETAIL-TRADE BOOKS")</f>
        <v>7113 - INVENTORY @ RETAIL-TRADE BOOKS</v>
      </c>
      <c s="4"/>
      <c s="12">
        <v>9136</v>
      </c>
      <c s="10"/>
    </row>
    <row ht="15" hidden="1" outlineLevel="1" s="13" customFormat="1">
      <c s="16"/>
      <c s="18"/>
      <c s="19"/>
      <c s="4"/>
      <c s="4" t="str">
        <f>CONCATENATE("7114", " - ", "INVENTORY @ RETAIL-REMAINDERS")</f>
        <v>7114 - INVENTORY @ RETAIL-REMAINDERS</v>
      </c>
      <c s="4"/>
      <c s="12">
        <v>-143</v>
      </c>
      <c s="10"/>
    </row>
    <row ht="15" hidden="1" outlineLevel="1" s="13" customFormat="1">
      <c s="16"/>
      <c s="18"/>
      <c s="19"/>
      <c s="4"/>
      <c s="4" t="str">
        <f>CONCATENATE("7117", " - ", "INVENTORY @ RETAIL-DORM/HOUSEW")</f>
        <v>7117 - INVENTORY @ RETAIL-DORM/HOUSEW</v>
      </c>
      <c s="4"/>
      <c s="12">
        <v>-175</v>
      </c>
      <c s="10"/>
    </row>
    <row ht="15" hidden="1" outlineLevel="1" s="13" customFormat="1">
      <c s="16"/>
      <c s="18"/>
      <c s="19"/>
      <c s="4"/>
      <c s="4" t="str">
        <f>CONCATENATE("7118", " - ", "INVENTORY @ RETAIL-STUDY GUIDE")</f>
        <v>7118 - INVENTORY @ RETAIL-STUDY GUIDE</v>
      </c>
      <c s="4"/>
      <c s="12">
        <v>8352</v>
      </c>
      <c s="10"/>
    </row>
    <row ht="15" hidden="1" outlineLevel="1" s="13" customFormat="1">
      <c s="16"/>
      <c s="18"/>
      <c s="19"/>
      <c s="4"/>
      <c s="4" t="str">
        <f>CONCATENATE("7119", " - ", "INVENTORY @ RETAIL-BOOK RELATE")</f>
        <v>7119 - INVENTORY @ RETAIL-BOOK RELATE</v>
      </c>
      <c s="4"/>
      <c s="12">
        <v>-43</v>
      </c>
      <c s="10"/>
    </row>
    <row ht="15" hidden="1" outlineLevel="1" s="13" customFormat="1">
      <c s="16"/>
      <c s="18"/>
      <c s="19"/>
      <c s="4"/>
      <c s="4" t="str">
        <f>CONCATENATE("7125", " - ", "INVENTORY @ RETAIL-TEST FORMS")</f>
        <v>7125 - INVENTORY @ RETAIL-TEST FORMS</v>
      </c>
      <c s="4"/>
      <c s="12">
        <v>51645</v>
      </c>
      <c s="10"/>
    </row>
    <row ht="15" hidden="1" outlineLevel="1" s="13" customFormat="1">
      <c s="16"/>
      <c s="18"/>
      <c s="19"/>
      <c s="4"/>
      <c s="4" t="str">
        <f>CONCATENATE("7126", " - ", "INVENTORY @ RETAIL-WRITING INS")</f>
        <v>7126 - INVENTORY @ RETAIL-WRITING INS</v>
      </c>
      <c s="4"/>
      <c s="12">
        <v>68921</v>
      </c>
      <c s="10"/>
    </row>
    <row ht="15" hidden="1" outlineLevel="1" s="13" customFormat="1">
      <c s="16"/>
      <c s="18"/>
      <c s="19"/>
      <c s="4"/>
      <c s="4" t="str">
        <f>CONCATENATE("7127", " - ", "INVENTORY @ RETAIL-SCHOOL SUPP")</f>
        <v>7127 - INVENTORY @ RETAIL-SCHOOL SUPP</v>
      </c>
      <c s="4"/>
      <c s="12">
        <v>99147</v>
      </c>
      <c s="10"/>
    </row>
    <row ht="15" hidden="1" outlineLevel="1" s="13" customFormat="1">
      <c s="16"/>
      <c s="18"/>
      <c s="19"/>
      <c s="4"/>
      <c s="4" t="str">
        <f>CONCATENATE("7128", " - ", "INVENTORY @ RETAIL-ART/TECH")</f>
        <v>7128 - INVENTORY @ RETAIL-ART/TECH</v>
      </c>
      <c s="4"/>
      <c s="12">
        <v>130326.00000000001</v>
      </c>
      <c s="10"/>
    </row>
    <row ht="15" hidden="1" outlineLevel="1" s="13" customFormat="1">
      <c s="16"/>
      <c s="18"/>
      <c s="19"/>
      <c s="4"/>
      <c s="4" t="str">
        <f>CONCATENATE("7131", " - ", "INVENTORY @ RETAIL-FOOD")</f>
        <v>7131 - INVENTORY @ RETAIL-FOOD</v>
      </c>
      <c s="4"/>
      <c s="12">
        <v>9171</v>
      </c>
      <c s="10"/>
    </row>
    <row ht="15" hidden="1" outlineLevel="1" s="13" customFormat="1">
      <c s="16"/>
      <c s="18"/>
      <c s="19"/>
      <c s="4"/>
      <c s="4" t="str">
        <f>CONCATENATE("7132", " - ", "INVENTORY @ RETAIL-JUICE")</f>
        <v>7132 - INVENTORY @ RETAIL-JUICE</v>
      </c>
      <c s="4"/>
      <c s="12">
        <v>-1264</v>
      </c>
      <c s="10"/>
    </row>
    <row ht="15" hidden="1" outlineLevel="1" s="13" customFormat="1">
      <c s="16"/>
      <c s="18"/>
      <c s="19"/>
      <c s="4"/>
      <c s="4" t="str">
        <f>CONCATENATE("7133", " - ", "INVENTORY @ RETAIL-CANDY")</f>
        <v>7133 - INVENTORY @ RETAIL-CANDY</v>
      </c>
      <c s="4"/>
      <c s="12">
        <v>4622</v>
      </c>
      <c s="10"/>
    </row>
    <row ht="15" hidden="1" outlineLevel="1" s="13" customFormat="1">
      <c s="16"/>
      <c s="18"/>
      <c s="19"/>
      <c s="4"/>
      <c s="4" t="str">
        <f>CONCATENATE("7134", " - ", "INVENTORY @ RETAIL-SODA")</f>
        <v>7134 - INVENTORY @ RETAIL-SODA</v>
      </c>
      <c s="4"/>
      <c s="12">
        <v>2629</v>
      </c>
      <c s="10"/>
    </row>
    <row ht="15" hidden="1" outlineLevel="1" s="13" customFormat="1">
      <c s="16"/>
      <c s="18"/>
      <c s="19"/>
      <c s="4"/>
      <c s="4" t="str">
        <f>CONCATENATE("7135", " - ", "INVENTORY @ RETAIL-HEALTH &amp; BE")</f>
        <v>7135 - INVENTORY @ RETAIL-HEALTH &amp; BE</v>
      </c>
      <c s="4"/>
      <c s="12">
        <v>1133</v>
      </c>
      <c s="10"/>
    </row>
    <row ht="15" hidden="1" outlineLevel="1" s="13" customFormat="1">
      <c s="16"/>
      <c s="18"/>
      <c s="19"/>
      <c s="4"/>
      <c s="4" t="str">
        <f>CONCATENATE("7137", " - ", "INVENTORY @ RETAIL-WATER")</f>
        <v>7137 - INVENTORY @ RETAIL-WATER</v>
      </c>
      <c s="4"/>
      <c s="12">
        <v>2276</v>
      </c>
      <c s="10"/>
    </row>
    <row ht="15" hidden="1" outlineLevel="1" s="13" customFormat="1">
      <c s="16"/>
      <c s="18"/>
      <c s="19"/>
      <c s="4"/>
      <c s="4" t="str">
        <f>CONCATENATE("7140", " - ", "INVENTORY @ RETAIL-LOGO CLOTHI")</f>
        <v>7140 - INVENTORY @ RETAIL-LOGO CLOTHI</v>
      </c>
      <c s="4"/>
      <c s="12">
        <v>1177752</v>
      </c>
      <c s="10"/>
    </row>
    <row ht="15" hidden="1" outlineLevel="1" s="13" customFormat="1">
      <c s="16"/>
      <c s="18"/>
      <c s="19"/>
      <c s="4"/>
      <c s="4" t="str">
        <f>CONCATENATE("7141", " - ", "INVENTORY @ RETAIL-LOGO GIFTS")</f>
        <v>7141 - INVENTORY @ RETAIL-LOGO GIFTS</v>
      </c>
      <c s="4"/>
      <c s="12">
        <v>367451</v>
      </c>
      <c s="10"/>
    </row>
    <row ht="15" hidden="1" outlineLevel="1" s="13" customFormat="1">
      <c s="16"/>
      <c s="18"/>
      <c s="19"/>
      <c s="4"/>
      <c s="4" t="str">
        <f>CONCATENATE("7142", " - ", "INVENTORY @ RETAIL-EVERYDAY GI")</f>
        <v>7142 - INVENTORY @ RETAIL-EVERYDAY GI</v>
      </c>
      <c s="4"/>
      <c s="12">
        <v>159156</v>
      </c>
      <c s="10"/>
    </row>
    <row ht="15" hidden="1" outlineLevel="1" s="13" customFormat="1">
      <c s="16"/>
      <c s="18"/>
      <c s="19"/>
      <c s="4"/>
      <c s="4" t="str">
        <f>CONCATENATE("7143", " - ", "INVENTORY @ RETAIL-CARDS")</f>
        <v>7143 - INVENTORY @ RETAIL-CARDS</v>
      </c>
      <c s="4"/>
      <c s="12">
        <v>-9759</v>
      </c>
      <c s="10"/>
    </row>
    <row ht="15" hidden="1" outlineLevel="1" s="13" customFormat="1">
      <c s="16"/>
      <c s="18"/>
      <c s="19"/>
      <c s="4"/>
      <c s="4" t="str">
        <f>CONCATENATE("7144", " - ", "INVENTORY @ RETAIL-ACCESSORIES")</f>
        <v>7144 - INVENTORY @ RETAIL-ACCESSORIES</v>
      </c>
      <c s="4"/>
      <c s="12">
        <v>56157</v>
      </c>
      <c s="10"/>
    </row>
    <row ht="15" hidden="1" outlineLevel="1" s="13" customFormat="1">
      <c s="16"/>
      <c s="18"/>
      <c s="19"/>
      <c s="4"/>
      <c s="4" t="str">
        <f>CONCATENATE("7145", " - ", "INVENTORY @ RETAIL-SPECIAL ORD")</f>
        <v>7145 - INVENTORY @ RETAIL-SPECIAL ORD</v>
      </c>
      <c s="4"/>
      <c s="12">
        <v>10108</v>
      </c>
      <c s="10"/>
    </row>
    <row ht="15" hidden="1" outlineLevel="1" s="13" customFormat="1">
      <c s="16"/>
      <c s="18"/>
      <c s="19"/>
      <c s="4"/>
      <c s="4" t="str">
        <f>CONCATENATE("7181", " - ", "PURCHASES @ RETAIL-ELECTRONICS")</f>
        <v>7181 - PURCHASES @ RETAIL-ELECTRONICS</v>
      </c>
      <c s="4"/>
      <c s="12">
        <v>33589</v>
      </c>
      <c s="10"/>
    </row>
    <row ht="15" hidden="1" outlineLevel="1" s="13" customFormat="1">
      <c s="16"/>
      <c s="18"/>
      <c s="19"/>
      <c s="4"/>
      <c s="4" t="str">
        <f>CONCATENATE("7182", " - ", "INVENTORY @ RETAIL-COMPUTER HA")</f>
        <v>7182 - INVENTORY @ RETAIL-COMPUTER HA</v>
      </c>
      <c s="4"/>
      <c s="12">
        <v>241507.99999999997</v>
      </c>
      <c s="10"/>
    </row>
    <row ht="15" hidden="1" outlineLevel="1" s="13" customFormat="1">
      <c s="16"/>
      <c s="18"/>
      <c s="19"/>
      <c s="4"/>
      <c s="4" t="str">
        <f>CONCATENATE("7183", " - ", "INVENTORY @ RETAIL-COMPUTER EQ")</f>
        <v>7183 - INVENTORY @ RETAIL-COMPUTER EQ</v>
      </c>
      <c s="4"/>
      <c s="12">
        <v>61728</v>
      </c>
      <c s="10"/>
    </row>
    <row ht="15" hidden="1" outlineLevel="1" s="13" customFormat="1">
      <c s="16"/>
      <c s="18"/>
      <c s="19"/>
      <c s="4"/>
      <c s="4" t="str">
        <f>CONCATENATE("7184", " - ", "INVENTORY @ RETAIL-SOFTWARE LI")</f>
        <v>7184 - INVENTORY @ RETAIL-SOFTWARE LI</v>
      </c>
      <c s="4"/>
      <c s="12">
        <v>5697</v>
      </c>
      <c s="10"/>
    </row>
    <row ht="15" hidden="1" outlineLevel="1" s="13" customFormat="1">
      <c s="16"/>
      <c s="18"/>
      <c s="19"/>
      <c s="4"/>
      <c s="4" t="str">
        <f>CONCATENATE("7185", " - ", "INVENTORY @ RETAIL-SOFTWARE")</f>
        <v>7185 - INVENTORY @ RETAIL-SOFTWARE</v>
      </c>
      <c s="4"/>
      <c s="12">
        <v>3600</v>
      </c>
      <c s="10"/>
    </row>
    <row ht="15" hidden="1" outlineLevel="1" s="13" customFormat="1">
      <c s="16"/>
      <c s="18"/>
      <c s="19"/>
      <c s="4"/>
      <c s="4" t="str">
        <f>CONCATENATE("7186", " - ", "INVENTORY @ RETAIL-COMPUTER SU")</f>
        <v>7186 - INVENTORY @ RETAIL-COMPUTER SU</v>
      </c>
      <c s="4"/>
      <c s="12">
        <v>34190</v>
      </c>
      <c s="10"/>
    </row>
    <row ht="15" hidden="1" outlineLevel="1" s="13" customFormat="1">
      <c s="16"/>
      <c s="18"/>
      <c s="19"/>
      <c s="4"/>
      <c s="4" t="str">
        <f>CONCATENATE("7188", " - ", "INVENTORY @ RETAIL-MUSIC")</f>
        <v>7188 - INVENTORY @ RETAIL-MUSIC</v>
      </c>
      <c s="4"/>
      <c s="12">
        <v>2430</v>
      </c>
      <c s="10"/>
    </row>
    <row ht="15" hidden="1" outlineLevel="1" s="13" customFormat="1">
      <c s="16"/>
      <c s="18"/>
      <c s="19"/>
      <c s="4"/>
      <c s="4" t="str">
        <f>CONCATENATE("7192", " - ", "INVENTORY @ RETAIL-GRAD MERCH")</f>
        <v>7192 - INVENTORY @ RETAIL-GRAD MERCH</v>
      </c>
      <c s="4"/>
      <c s="12">
        <v>10711</v>
      </c>
      <c s="10"/>
    </row>
    <row ht="15" hidden="1" outlineLevel="1" s="13" customFormat="1">
      <c s="16"/>
      <c s="18"/>
      <c s="19"/>
      <c s="4"/>
      <c s="4" t="str">
        <f>CONCATENATE("7195", " - ", "INVENTORY @ RETAIL-CUSTOMER SE")</f>
        <v>7195 - INVENTORY @ RETAIL-CUSTOMER SE</v>
      </c>
      <c s="4"/>
      <c s="12">
        <v>-133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82221.150000000009</v>
      </c>
      <c s="2"/>
    </row>
    <row ht="15" hidden="1" outlineLevel="1" s="13" customFormat="1">
      <c s="16"/>
      <c s="18"/>
      <c s="19"/>
      <c s="23"/>
      <c s="4" t="str">
        <f>CONCATENATE("1410", " - ", "PREPAID-GENERAL INSURANCE")</f>
        <v>1410 - PREPAID-GENERAL INSURANCE</v>
      </c>
      <c s="4"/>
      <c s="12">
        <v>35827.959999999999</v>
      </c>
      <c s="10"/>
    </row>
    <row ht="15" hidden="1" outlineLevel="1" s="13" customFormat="1">
      <c s="16"/>
      <c s="18"/>
      <c s="19"/>
      <c s="23"/>
      <c s="4" t="str">
        <f>CONCATENATE("1418", " - ", "PREPAID-WORKERS COMP. INSURANC")</f>
        <v>1418 - PREPAID-WORKERS COMP. INSURANC</v>
      </c>
      <c s="4"/>
      <c s="12">
        <v>18904.98</v>
      </c>
      <c s="10"/>
    </row>
    <row ht="15" hidden="1" outlineLevel="1" s="13" customFormat="1">
      <c s="16"/>
      <c s="18"/>
      <c s="19"/>
      <c s="23"/>
      <c s="4" t="str">
        <f>CONCATENATE("1432", " - ", "PREPAID EXPENSES")</f>
        <v>1432 - PREPAID EXPENSES</v>
      </c>
      <c s="4"/>
      <c s="12">
        <v>1922.23</v>
      </c>
      <c s="10"/>
    </row>
    <row ht="15" hidden="1" outlineLevel="1" s="13" customFormat="1">
      <c s="16"/>
      <c s="18"/>
      <c s="19"/>
      <c s="23"/>
      <c s="4" t="str">
        <f>CONCATENATE("1435", " - ", "PREP.PURCHASES-WHOLESALE BOOKS")</f>
        <v>1435 - PREP.PURCHASES-WHOLESALE BOOKS</v>
      </c>
      <c s="4"/>
      <c s="12">
        <v>25565.98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5" t="s">
        <v>7</v>
      </c>
      <c s="6"/>
      <c s="6"/>
      <c s="6"/>
      <c s="26">
        <f>+G9+G31+G54+G131</f>
        <v>20441328.25</v>
      </c>
      <c s="2"/>
    </row>
    <row ht="8.25" customHeight="1" thickBot="1"/>
    <row>
      <c r="B139" s="2"/>
      <c s="24" t="s">
        <v>2</v>
      </c>
      <c s="14"/>
      <c s="22"/>
      <c s="22"/>
      <c s="40"/>
      <c s="8"/>
    </row>
    <row collapsed="1" s="5" customFormat="1">
      <c r="B140" s="2"/>
      <c s="9"/>
      <c s="3" t="s">
        <v>3</v>
      </c>
      <c s="3"/>
      <c s="3"/>
      <c s="11">
        <f>SUM(OSRRefG26x_0)</f>
        <v>27372941.809999999</v>
      </c>
      <c s="2"/>
    </row>
    <row ht="15" hidden="1" outlineLevel="1" s="13" customFormat="1">
      <c s="16"/>
      <c s="18"/>
      <c s="19"/>
      <c s="4"/>
      <c s="4" t="str">
        <f>CONCATENATE("1620", " - ", "CAPITAL IMPROVEMENTS-BOOKSTORE")</f>
        <v>1620 - CAPITAL IMPROVEMENTS-BOOKSTORE</v>
      </c>
      <c s="4"/>
      <c s="12">
        <v>4356.1000000000004</v>
      </c>
      <c s="10"/>
    </row>
    <row ht="15" hidden="1" outlineLevel="1" s="13" customFormat="1">
      <c s="16"/>
      <c s="18"/>
      <c s="19"/>
      <c s="4"/>
      <c s="4" t="str">
        <f>CONCATENATE("1630", " - ", "CAPITAL IMPROVEMENTS-FOOD SVC.")</f>
        <v>1630 - CAPITAL IMPROVEMENTS-FOOD SVC.</v>
      </c>
      <c s="4"/>
      <c s="12">
        <v>199788.59</v>
      </c>
      <c s="10"/>
    </row>
    <row ht="15" hidden="1" outlineLevel="1" s="13" customFormat="1">
      <c s="16"/>
      <c s="18"/>
      <c s="19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6"/>
      <c s="18"/>
      <c s="19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6"/>
      <c s="18"/>
      <c s="19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6"/>
      <c s="18"/>
      <c s="19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6"/>
      <c s="18"/>
      <c s="19"/>
      <c s="4"/>
      <c s="4" t="str">
        <f>CONCATENATE("1730", " - ", "FIXED ASSETS-BKSTR EQUIPMENT")</f>
        <v>1730 - FIXED ASSETS-BKSTR EQUIPMENT</v>
      </c>
      <c s="4"/>
      <c s="12">
        <v>2757988.5899999999</v>
      </c>
      <c s="10"/>
    </row>
    <row ht="15" hidden="1" outlineLevel="1" s="13" customFormat="1">
      <c s="16"/>
      <c s="18"/>
      <c s="19"/>
      <c s="4"/>
      <c s="4" t="str">
        <f>CONCATENATE("1740", " - ", "FIXED ASSETS-FOOD SERVICE EQUI")</f>
        <v>1740 - FIXED ASSETS-FOOD SERVICE EQUI</v>
      </c>
      <c s="4"/>
      <c s="12">
        <v>3242632.71</v>
      </c>
      <c s="10"/>
    </row>
    <row ht="15" hidden="1" outlineLevel="1" s="13" customFormat="1">
      <c s="16"/>
      <c s="18"/>
      <c s="19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6"/>
      <c s="18"/>
      <c s="19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6"/>
      <c s="18"/>
      <c s="19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6"/>
      <c s="18"/>
      <c s="19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6"/>
      <c s="18"/>
      <c s="19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-20025582</v>
      </c>
      <c s="2"/>
    </row>
    <row thickBot="1" s="5" customFormat="1">
      <c r="B155" s="2"/>
      <c s="25" t="s">
        <v>19</v>
      </c>
      <c s="6"/>
      <c s="6"/>
      <c s="6"/>
      <c s="26">
        <f>+G140+G154</f>
        <v>7347359.8099999987</v>
      </c>
      <c s="2"/>
    </row>
    <row ht="8.25" customHeight="1"/>
    <row thickBot="1" s="5" customFormat="1">
      <c r="B157" s="15" t="s">
        <v>5</v>
      </c>
      <c s="17"/>
      <c s="17"/>
      <c s="17"/>
      <c s="17"/>
      <c s="37">
        <f>+G137+G155</f>
        <v>27788688.059999999</v>
      </c>
      <c s="2"/>
    </row>
    <row thickTop="1" s="5" customFormat="1">
      <c r="G158" s="35"/>
    </row>
    <row thickBot="1" s="5" customFormat="1">
      <c r="B159" s="15" t="s">
        <v>296</v>
      </c>
      <c s="15"/>
      <c s="15"/>
      <c s="15"/>
      <c s="15"/>
      <c s="15"/>
      <c s="2"/>
    </row>
    <row s="5" customFormat="1">
      <c r="B160" s="2"/>
      <c s="24" t="s">
        <v>8</v>
      </c>
      <c s="14"/>
      <c s="14"/>
      <c s="14"/>
      <c s="34"/>
      <c s="2"/>
    </row>
    <row collapsed="1" s="5" customFormat="1">
      <c r="B161" s="2"/>
      <c s="9"/>
      <c s="3" t="s">
        <v>303</v>
      </c>
      <c s="3"/>
      <c s="3"/>
      <c s="11">
        <f>--1130116.44</f>
        <v>1130116.4399999999</v>
      </c>
      <c s="2"/>
    </row>
    <row ht="15" hidden="1" outlineLevel="2" s="13" customFormat="1">
      <c s="16"/>
      <c s="18"/>
      <c s="19"/>
      <c s="23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6"/>
      <c s="18"/>
      <c s="19"/>
      <c s="23"/>
      <c s="4" t="str">
        <f>CONCATENATE("2001", " - ", "A/P - MERCHANDISE")</f>
        <v>2001 - A/P - MERCHANDISE</v>
      </c>
      <c r="G163" s="12">
        <f>--368386.95</f>
        <v>368386.95000000001</v>
      </c>
      <c s="10"/>
    </row>
    <row ht="15" hidden="1" outlineLevel="2" s="13" customFormat="1">
      <c s="16"/>
      <c s="18"/>
      <c s="19"/>
      <c s="23"/>
      <c s="4" t="str">
        <f>CONCATENATE("2003", " - ", "A/P - FOOD SVC.")</f>
        <v>2003 - A/P - FOOD SVC.</v>
      </c>
      <c r="G164" s="12">
        <f>--440035.66</f>
        <v>440035.65999999997</v>
      </c>
      <c s="10"/>
    </row>
    <row ht="15" hidden="1" outlineLevel="2" s="13" customFormat="1">
      <c s="16"/>
      <c s="18"/>
      <c s="19"/>
      <c s="23"/>
      <c s="4" t="str">
        <f>CONCATENATE("2004", " - ", "A/P - GENERAL")</f>
        <v>2004 - A/P - GENERAL</v>
      </c>
      <c r="G165" s="12">
        <f>--307512.19</f>
        <v>307512.19</v>
      </c>
      <c s="10"/>
    </row>
    <row ht="15" hidden="1" outlineLevel="2" s="13" customFormat="1">
      <c s="16"/>
      <c s="18"/>
      <c s="19"/>
      <c s="23"/>
      <c s="4" t="str">
        <f>CONCATENATE("2013", " - ", "A/P - UNIVERSITY")</f>
        <v>2013 - A/P - UNIVERSITY</v>
      </c>
      <c r="G166" s="12">
        <f>--14035.04</f>
        <v>14035.040000000001</v>
      </c>
      <c s="10"/>
    </row>
    <row ht="15" hidden="1" outlineLevel="2" s="13" customFormat="1">
      <c s="16"/>
      <c s="18"/>
      <c s="19"/>
      <c s="23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--1944356</f>
        <v>1944356</v>
      </c>
      <c s="2"/>
    </row>
    <row ht="15" hidden="1" outlineLevel="2" s="13" customFormat="1">
      <c s="16"/>
      <c s="18"/>
      <c s="19"/>
      <c s="23"/>
      <c s="4" t="str">
        <f>CONCATENATE("2231", " - ", "ACCRUED PAYROLL")</f>
        <v>2231 - ACCRUED PAYROLL</v>
      </c>
      <c r="G169" s="12">
        <f>--202009</f>
        <v>202009</v>
      </c>
      <c s="10"/>
    </row>
    <row ht="15" hidden="1" outlineLevel="2" s="13" customFormat="1">
      <c s="16"/>
      <c s="18"/>
      <c s="19"/>
      <c s="23"/>
      <c s="4" t="str">
        <f>CONCATENATE("2232", " - ", "ACCRUED VACATION")</f>
        <v>2232 - ACCRUED VACATION</v>
      </c>
      <c r="G170" s="12">
        <f>--528501.87</f>
        <v>528501.87</v>
      </c>
      <c s="10"/>
    </row>
    <row ht="15" hidden="1" outlineLevel="2" s="13" customFormat="1">
      <c s="16"/>
      <c s="18"/>
      <c s="19"/>
      <c s="23"/>
      <c s="4" t="str">
        <f>CONCATENATE("2233", " - ", "ACCRUED SICK LEAVE")</f>
        <v>2233 - ACCRUED SICK LEAVE</v>
      </c>
      <c r="G171" s="12">
        <f>--731944.48</f>
        <v>731944.47999999998</v>
      </c>
      <c s="10"/>
    </row>
    <row ht="15" hidden="1" outlineLevel="2" s="13" customFormat="1">
      <c s="16"/>
      <c s="18"/>
      <c s="19"/>
      <c s="23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--58117.93</f>
        <v>58117.93</v>
      </c>
      <c s="2"/>
    </row>
    <row ht="15" hidden="1" outlineLevel="2" s="13" customFormat="1">
      <c s="16"/>
      <c s="18"/>
      <c s="19"/>
      <c s="23"/>
      <c s="4" t="str">
        <f>CONCATENATE("2219", " - ", "UNEMPLOYMENT INSURANCE")</f>
        <v>2219 - UNEMPLOYMENT INSURANCE</v>
      </c>
      <c r="G174" s="12">
        <f>--24253.01</f>
        <v>24253.009999999998</v>
      </c>
      <c s="10"/>
    </row>
    <row ht="15" hidden="1" outlineLevel="2" s="13" customFormat="1">
      <c s="16"/>
      <c s="18"/>
      <c s="19"/>
      <c s="23"/>
      <c s="4" t="str">
        <f>CONCATENATE("2221", " - ", "ACCRUED GROUP INSURANCE")</f>
        <v>2221 - ACCRUED GROUP INSURANCE</v>
      </c>
      <c r="G175" s="12">
        <f>-4236.54</f>
        <v>-4236.54</v>
      </c>
      <c s="10"/>
    </row>
    <row ht="15" hidden="1" outlineLevel="2" s="13" customFormat="1">
      <c s="16"/>
      <c s="18"/>
      <c s="19"/>
      <c s="23"/>
      <c s="4" t="str">
        <f>CONCATENATE("2222", " - ", "LIFE INSURANCE")</f>
        <v>2222 - LIFE INSURANCE</v>
      </c>
      <c r="G176" s="12">
        <f>--355.48</f>
        <v>355.48000000000002</v>
      </c>
      <c s="10"/>
    </row>
    <row ht="15" hidden="1" outlineLevel="2" s="13" customFormat="1">
      <c s="16"/>
      <c s="18"/>
      <c s="19"/>
      <c s="23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6"/>
      <c s="18"/>
      <c s="19"/>
      <c s="23"/>
      <c s="4" t="str">
        <f>CONCATENATE("2225", " - ", "ACCRUED P.E.R.S.")</f>
        <v>2225 - ACCRUED P.E.R.S.</v>
      </c>
      <c r="G178" s="12">
        <f>--20892.75</f>
        <v>20892.75</v>
      </c>
      <c s="10"/>
    </row>
    <row ht="15" hidden="1" outlineLevel="2" s="13" customFormat="1">
      <c s="16"/>
      <c s="18"/>
      <c s="19"/>
      <c s="23"/>
      <c s="4" t="str">
        <f>CONCATENATE("2229", " - ", "ACCRUED RETIREMENT STAFF HOURL")</f>
        <v>2229 - ACCRUED RETIREMENT STAFF HOURL</v>
      </c>
      <c r="G179" s="12">
        <f>--10715.73</f>
        <v>10715.73</v>
      </c>
      <c s="10"/>
    </row>
    <row ht="15" hidden="1" outlineLevel="2" s="13" customFormat="1">
      <c s="16"/>
      <c s="18"/>
      <c s="19"/>
      <c s="23"/>
      <c s="4" t="str">
        <f>CONCATENATE("2230", " - ", "P/R DEDUCTIONS-PARKING")</f>
        <v>2230 - P/R DEDUCTIONS-PARKING</v>
      </c>
      <c r="G180" s="12">
        <f>-4612.7</f>
        <v>-4612.6999999999998</v>
      </c>
      <c s="10"/>
    </row>
    <row ht="15" hidden="1" outlineLevel="2" s="13" customFormat="1">
      <c s="16"/>
      <c s="18"/>
      <c s="19"/>
      <c s="23"/>
      <c s="4" t="str">
        <f>CONCATENATE("2234", " - ", "ACCRUED FLEXIBLE BENEFITS")</f>
        <v>2234 - ACCRUED FLEXIBLE BENEFITS</v>
      </c>
      <c r="G181" s="12">
        <f>--7582.2</f>
        <v>7582.1999999999998</v>
      </c>
      <c s="10"/>
    </row>
    <row ht="15" hidden="1" outlineLevel="2" s="13" customFormat="1">
      <c s="16"/>
      <c s="18"/>
      <c s="19"/>
      <c s="23"/>
      <c s="4" t="str">
        <f>CONCATENATE("2235", " - ", "UNITED WAY-EMPL.CONTIBUTION")</f>
        <v>2235 - UNITED WAY-EMPL.CONTIBUTION</v>
      </c>
      <c r="G182" s="12">
        <f>0</f>
        <v>0</v>
      </c>
      <c s="10"/>
    </row>
    <row collapsed="1" s="5" customFormat="1">
      <c r="B183" s="2"/>
      <c s="9"/>
      <c s="3" t="s">
        <v>306</v>
      </c>
      <c s="3"/>
      <c s="3"/>
      <c s="11">
        <f>--191437.44</f>
        <v>191437.44</v>
      </c>
      <c s="2"/>
    </row>
    <row ht="15" hidden="1" outlineLevel="2" s="13" customFormat="1">
      <c s="16"/>
      <c s="18"/>
      <c s="19"/>
      <c s="23"/>
      <c s="4" t="str">
        <f>CONCATENATE("2111", " - ", "SALES TAX-BOOKSTORE")</f>
        <v>2111 - SALES TAX-BOOKSTORE</v>
      </c>
      <c r="G184" s="12">
        <f>--129018.29</f>
        <v>129018.28999999999</v>
      </c>
      <c s="10"/>
    </row>
    <row ht="15" hidden="1" outlineLevel="2" s="13" customFormat="1">
      <c s="16"/>
      <c s="18"/>
      <c s="19"/>
      <c s="23"/>
      <c s="4" t="str">
        <f>CONCATENATE("2112", " - ", "SALES TAX-FOOD SERVICE")</f>
        <v>2112 - SALES TAX-FOOD SERVICE</v>
      </c>
      <c r="G185" s="12">
        <f>--61708.97</f>
        <v>61708.970000000001</v>
      </c>
      <c s="10"/>
    </row>
    <row ht="15" hidden="1" outlineLevel="2" s="13" customFormat="1">
      <c s="16"/>
      <c s="18"/>
      <c s="19"/>
      <c s="23"/>
      <c s="4" t="str">
        <f>CONCATENATE("2113", " - ", "USE TAX")</f>
        <v>2113 - USE TAX</v>
      </c>
      <c r="G186" s="12">
        <f>--50.18</f>
        <v>50.18</v>
      </c>
      <c s="10"/>
    </row>
    <row ht="15" hidden="1" outlineLevel="2" s="13" customFormat="1">
      <c s="16"/>
      <c s="18"/>
      <c s="19"/>
      <c s="23"/>
      <c s="4" t="str">
        <f>CONCATENATE("2114", " - ", "CA ELECT.WASTE RECYL.4-14 IN")</f>
        <v>2114 - CA ELECT.WASTE RECYL.4-14 IN</v>
      </c>
      <c r="G187" s="12">
        <f>--308</f>
        <v>308</v>
      </c>
      <c s="10"/>
    </row>
    <row ht="15" hidden="1" outlineLevel="2" s="13" customFormat="1">
      <c s="16"/>
      <c s="18"/>
      <c s="19"/>
      <c s="23"/>
      <c s="4" t="str">
        <f>CONCATENATE("2115", " - ", "CA ELECT.WASTE RECYL 15-34 IN")</f>
        <v>2115 - CA ELECT.WASTE RECYL 15-34 IN</v>
      </c>
      <c r="G188" s="12">
        <f>--352</f>
        <v>352</v>
      </c>
      <c s="10"/>
    </row>
    <row ht="15" hidden="1" outlineLevel="2" s="13" customFormat="1">
      <c s="16"/>
      <c s="18"/>
      <c s="19"/>
      <c s="23"/>
      <c s="4" t="str">
        <f>CONCATENATE("2116", " - ", "CA ELECT.WASTE RECYCL.35 IN+")</f>
        <v>2116 - CA ELECT.WASTE RECYCL.35 IN+</v>
      </c>
      <c r="G189" s="12">
        <f t="shared" si="0" ref="G189:G193">0</f>
        <v>0</v>
      </c>
      <c s="10"/>
    </row>
    <row ht="15" hidden="1" outlineLevel="2" s="13" customFormat="1">
      <c s="16"/>
      <c s="18"/>
      <c s="19"/>
      <c s="23"/>
      <c s="4" t="str">
        <f>CONCATENATE("2215", " - ", "ACCRUED FEDERAL WITHHOLDING TA")</f>
        <v>2215 - ACCRUED FEDERAL WITHHOLDING TA</v>
      </c>
      <c r="G190" s="12">
        <f t="shared" si="0"/>
        <v>0</v>
      </c>
      <c s="10"/>
    </row>
    <row ht="15" hidden="1" outlineLevel="2" s="13" customFormat="1">
      <c s="16"/>
      <c s="18"/>
      <c s="19"/>
      <c s="23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6"/>
      <c s="18"/>
      <c s="19"/>
      <c s="23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6"/>
      <c s="18"/>
      <c s="19"/>
      <c s="23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--1696521.81</f>
        <v>1696521.8100000001</v>
      </c>
      <c s="2"/>
    </row>
    <row ht="15" hidden="1" outlineLevel="2" s="13" customFormat="1">
      <c s="16"/>
      <c s="18"/>
      <c s="19"/>
      <c s="23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6"/>
      <c s="18"/>
      <c s="19"/>
      <c s="23"/>
      <c s="4" t="str">
        <f>CONCATENATE("2424", " - ", "CLEARING-ATHLETIC PROGRAM SALE")</f>
        <v>2424 - CLEARING-ATHLETIC PROGRAM SALE</v>
      </c>
      <c r="G196" s="12">
        <f>--3</f>
        <v>3</v>
      </c>
      <c s="10"/>
    </row>
    <row ht="15" hidden="1" outlineLevel="2" s="13" customFormat="1">
      <c s="16"/>
      <c s="18"/>
      <c s="19"/>
      <c s="23"/>
      <c s="4" t="str">
        <f>CONCATENATE("2425", " - ", "NBC REWARDS")</f>
        <v>2425 - NBC REWARDS</v>
      </c>
      <c r="G197" s="12">
        <f>--3613.24</f>
        <v>3613.2399999999998</v>
      </c>
      <c s="10"/>
    </row>
    <row ht="15" hidden="1" outlineLevel="2" s="13" customFormat="1">
      <c s="16"/>
      <c s="18"/>
      <c s="19"/>
      <c s="23"/>
      <c s="4" t="str">
        <f>CONCATENATE("2426", " - ", "UNCLEARED CKS/UNCLAIMED MONIES")</f>
        <v>2426 - UNCLEARED CKS/UNCLAIMED MONIES</v>
      </c>
      <c r="G198" s="12">
        <f>-3388.84</f>
        <v>-3388.8400000000001</v>
      </c>
      <c s="10"/>
    </row>
    <row ht="15" hidden="1" outlineLevel="2" s="13" customFormat="1">
      <c s="16"/>
      <c s="18"/>
      <c s="19"/>
      <c s="23"/>
      <c s="4" t="str">
        <f>CONCATENATE("2430", " - ", "CLEARING-REGAL ENT.MOVIE TKT.")</f>
        <v>2430 - CLEARING-REGAL ENT.MOVIE TKT.</v>
      </c>
      <c r="G199" s="12">
        <f>-184</f>
        <v>-184</v>
      </c>
      <c s="10"/>
    </row>
    <row ht="15" hidden="1" outlineLevel="2" s="13" customFormat="1">
      <c s="16"/>
      <c s="18"/>
      <c s="19"/>
      <c s="23"/>
      <c s="4" t="str">
        <f>CONCATENATE("2432", " - ", "CLEARING-AMC THEATRE TICKETS")</f>
        <v>2432 - CLEARING-AMC THEATRE TICKETS</v>
      </c>
      <c r="G200" s="12">
        <f>-2.5</f>
        <v>-2.5</v>
      </c>
      <c s="10"/>
    </row>
    <row ht="15" hidden="1" outlineLevel="2" s="13" customFormat="1">
      <c s="16"/>
      <c s="18"/>
      <c s="19"/>
      <c s="23"/>
      <c s="4" t="str">
        <f>CONCATENATE("2437", " - ", "CLEARING-CINEMARK MOVIE")</f>
        <v>2437 - CLEARING-CINEMARK MOVIE</v>
      </c>
      <c r="G201" s="12">
        <f>-1155</f>
        <v>-1155</v>
      </c>
      <c s="10"/>
    </row>
    <row ht="15" hidden="1" outlineLevel="2" s="13" customFormat="1">
      <c s="16"/>
      <c s="18"/>
      <c s="19"/>
      <c s="23"/>
      <c s="4" t="str">
        <f>CONCATENATE("2440", " - ", "CLEARING-A/R")</f>
        <v>2440 - CLEARING-A/R</v>
      </c>
      <c r="G202" s="12">
        <f>-56163.92</f>
        <v>-56163.919999999998</v>
      </c>
      <c s="10"/>
    </row>
    <row ht="15" hidden="1" outlineLevel="2" s="13" customFormat="1">
      <c s="16"/>
      <c s="18"/>
      <c s="19"/>
      <c s="23"/>
      <c s="4" t="str">
        <f>CONCATENATE("2441", " - ", "DEPOSIT-BEACH CLUB")</f>
        <v>2441 - DEPOSIT-BEACH CLUB</v>
      </c>
      <c r="G203" s="12">
        <f>--418153.54</f>
        <v>418153.53999999998</v>
      </c>
      <c s="10"/>
    </row>
    <row ht="15" hidden="1" outlineLevel="2" s="13" customFormat="1">
      <c s="16"/>
      <c s="18"/>
      <c s="19"/>
      <c s="23"/>
      <c s="4" t="str">
        <f>CONCATENATE("2447", " - ", "PROMO A/C DEPOSIT")</f>
        <v>2447 - PROMO A/C DEPOSIT</v>
      </c>
      <c r="G204" s="12">
        <f>--10960.89</f>
        <v>10960.889999999999</v>
      </c>
      <c s="10"/>
    </row>
    <row ht="15" hidden="1" outlineLevel="2" s="13" customFormat="1">
      <c s="16"/>
      <c s="18"/>
      <c s="19"/>
      <c s="23"/>
      <c s="4" t="str">
        <f>CONCATENATE("2448", " - ", "ACCRUED OVERPAYMENTS")</f>
        <v>2448 - ACCRUED OVERPAYMENTS</v>
      </c>
      <c r="G205" s="12">
        <f>0</f>
        <v>0</v>
      </c>
      <c s="10"/>
    </row>
    <row ht="15" hidden="1" outlineLevel="2" s="13" customFormat="1">
      <c s="16"/>
      <c s="18"/>
      <c s="19"/>
      <c s="23"/>
      <c s="4" t="str">
        <f>CONCATENATE("2449", " - ", "MISCELLANEOUS DEFERRED INCOME")</f>
        <v>2449 - MISCELLANEOUS DEFERRED INCOME</v>
      </c>
      <c r="G206" s="12">
        <f>-25723.16</f>
        <v>-25723.16</v>
      </c>
      <c s="10"/>
    </row>
    <row ht="15" hidden="1" outlineLevel="2" s="13" customFormat="1">
      <c s="16"/>
      <c s="18"/>
      <c s="19"/>
      <c s="23"/>
      <c s="4" t="str">
        <f>CONCATENATE("2450", " - ", "CLEARING-DESIGN DEPT-ACTIVITY")</f>
        <v>2450 - CLEARING-DESIGN DEPT-ACTIVITY</v>
      </c>
      <c r="G207" s="12">
        <f>-3</f>
        <v>-3</v>
      </c>
      <c s="10"/>
    </row>
    <row ht="15" hidden="1" outlineLevel="2" s="13" customFormat="1">
      <c s="16"/>
      <c s="18"/>
      <c s="19"/>
      <c s="23"/>
      <c s="4" t="str">
        <f>CONCATENATE("2454", " - ", "CLEARING-CARLS/EL POLLO/PANDA")</f>
        <v>2454 - CLEARING-CARLS/EL POLLO/PANDA</v>
      </c>
      <c r="G208" s="12">
        <f>-18.53</f>
        <v>-18.530000000000001</v>
      </c>
      <c s="10"/>
    </row>
    <row ht="15" hidden="1" outlineLevel="2" s="13" customFormat="1">
      <c s="16"/>
      <c s="18"/>
      <c s="19"/>
      <c s="23"/>
      <c s="4" t="str">
        <f>CONCATENATE("2455", " - ", "CLEARING-LIBRARY MICROFILMS")</f>
        <v>2455 - CLEARING-LIBRARY MICROFILMS</v>
      </c>
      <c r="G209" s="12">
        <f>-71</f>
        <v>-71</v>
      </c>
      <c s="10"/>
    </row>
    <row ht="15" hidden="1" outlineLevel="2" s="13" customFormat="1">
      <c s="16"/>
      <c s="18"/>
      <c s="19"/>
      <c s="23"/>
      <c s="4" t="str">
        <f>CONCATENATE("2456", " - ", "CLEARING-ART LAB")</f>
        <v>2456 - CLEARING-ART LAB</v>
      </c>
      <c r="G210" s="12">
        <f>-97.5</f>
        <v>-97.5</v>
      </c>
      <c s="10"/>
    </row>
    <row ht="15" hidden="1" outlineLevel="2" s="13" customFormat="1">
      <c s="16"/>
      <c s="18"/>
      <c s="19"/>
      <c s="23"/>
      <c s="4" t="str">
        <f>CONCATENATE("2460", " - ", "CLEARING-BOARD INCOME")</f>
        <v>2460 - CLEARING-BOARD INCOME</v>
      </c>
      <c r="G211" s="12">
        <f>--751499.51</f>
        <v>751499.51000000001</v>
      </c>
      <c s="10"/>
    </row>
    <row ht="15" hidden="1" outlineLevel="2" s="13" customFormat="1">
      <c s="16"/>
      <c s="18"/>
      <c s="19"/>
      <c s="23"/>
      <c s="4" t="str">
        <f>CONCATENATE("2461", " - ", "CLEARING-PARKING FOR B/C")</f>
        <v>2461 - CLEARING-PARKING FOR B/C</v>
      </c>
      <c r="G212" s="12">
        <f>--187.54</f>
        <v>187.53999999999999</v>
      </c>
      <c s="10"/>
    </row>
    <row ht="15" hidden="1" outlineLevel="2" s="13" customFormat="1">
      <c s="16"/>
      <c s="18"/>
      <c s="19"/>
      <c s="23"/>
      <c s="4" t="str">
        <f>CONCATENATE("2462", " - ", "CLEARING-TEXTBOOK SCHOLARSHIP")</f>
        <v>2462 - CLEARING-TEXTBOOK SCHOLARSHIP</v>
      </c>
      <c r="G213" s="12">
        <f>--1345</f>
        <v>1345</v>
      </c>
      <c s="10"/>
    </row>
    <row ht="15" hidden="1" outlineLevel="2" s="13" customFormat="1">
      <c s="16"/>
      <c s="18"/>
      <c s="19"/>
      <c s="23"/>
      <c s="4" t="str">
        <f>CONCATENATE("2464", " - ", "CLEARING-SAS COMPUTER LAB")</f>
        <v>2464 - CLEARING-SAS COMPUTER LAB</v>
      </c>
      <c r="G214" s="12">
        <f>0</f>
        <v>0</v>
      </c>
      <c s="10"/>
    </row>
    <row ht="15" hidden="1" outlineLevel="2" s="13" customFormat="1">
      <c s="16"/>
      <c s="18"/>
      <c s="19"/>
      <c s="23"/>
      <c s="4" t="str">
        <f>CONCATENATE("2465", " - ", "CLEARING-LEARNING ASSISTANCE C")</f>
        <v>2465 - CLEARING-LEARNING ASSISTANCE C</v>
      </c>
      <c r="G215" s="12">
        <f>--3.2</f>
        <v>3.2000000000000002</v>
      </c>
      <c s="10"/>
    </row>
    <row ht="15" hidden="1" outlineLevel="2" s="13" customFormat="1">
      <c s="16"/>
      <c s="18"/>
      <c s="19"/>
      <c s="23"/>
      <c s="4" t="str">
        <f>CONCATENATE("2532", " - ", "ACCRUED LIAB.-THESIS BINDING/M")</f>
        <v>2532 - ACCRUED LIAB.-THESIS BINDING/M</v>
      </c>
      <c r="G216" s="12">
        <f>--107.21</f>
        <v>107.20999999999999</v>
      </c>
      <c s="10"/>
    </row>
    <row ht="15" hidden="1" outlineLevel="2" s="13" customFormat="1">
      <c s="16"/>
      <c s="18"/>
      <c s="19"/>
      <c s="23"/>
      <c s="4" t="str">
        <f>CONCATENATE("2537", " - ", "OTHER ACCRUED LIABILITIES")</f>
        <v>2537 - OTHER ACCRUED LIABILITIES</v>
      </c>
      <c r="G217" s="12">
        <f>--557751.13</f>
        <v>557751.13</v>
      </c>
      <c s="10"/>
    </row>
    <row ht="15" hidden="1" outlineLevel="2" s="13" customFormat="1">
      <c s="16"/>
      <c s="18"/>
      <c s="19"/>
      <c s="23"/>
      <c s="4" t="str">
        <f>CONCATENATE("2538", " - ", "ACCRUED INVENTORY ADJUSTMENT")</f>
        <v>2538 - ACCRUED INVENTORY ADJUSTMENT</v>
      </c>
      <c r="G218" s="12">
        <f>--39700</f>
        <v>39700</v>
      </c>
      <c s="10"/>
    </row>
    <row ht="15" hidden="1" outlineLevel="2" s="13" customFormat="1">
      <c s="16"/>
      <c s="18"/>
      <c s="19"/>
      <c s="23"/>
      <c s="4" t="str">
        <f>CONCATENATE("3800", " - ", "RETAINED EARNINGS-OPERATIONS")</f>
        <v>3800 - RETAINED EARNINGS-OPERATIONS</v>
      </c>
      <c r="G219" s="12">
        <f>0</f>
        <v>0</v>
      </c>
      <c s="10"/>
    </row>
    <row thickBot="1" s="5" customFormat="1">
      <c r="B220" s="2"/>
      <c s="25" t="s">
        <v>9</v>
      </c>
      <c s="6"/>
      <c s="6"/>
      <c s="6"/>
      <c s="26">
        <f>SUM(OSRRefG34x_0)</f>
        <v>5020549.6200000001</v>
      </c>
      <c s="2"/>
    </row>
    <row ht="8.25" customHeight="1" thickBot="1"/>
    <row>
      <c r="B222" s="2"/>
      <c s="24" t="s">
        <v>10</v>
      </c>
      <c s="14"/>
      <c s="22"/>
      <c s="22"/>
      <c s="40"/>
      <c s="8"/>
    </row>
    <row collapsed="1" s="5" customFormat="1">
      <c r="B223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4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5" s="2"/>
      <c s="9"/>
      <c s="3" t="s">
        <v>309</v>
      </c>
      <c s="3"/>
      <c s="3"/>
      <c s="11">
        <f>SUM(OSRRefG40_1x_0)</f>
        <v>3178148.1000000001</v>
      </c>
      <c s="2"/>
    </row>
    <row ht="15" hidden="1" outlineLevel="1" s="13" customFormat="1">
      <c r="B226" s="10"/>
      <c s="41"/>
      <c s="4"/>
      <c s="4" t="str">
        <f>CONCATENATE("2303", " - ", "NOTES PAYABLE-CHANCELLORS OFFI")</f>
        <v>2303 - NOTES PAYABLE-CHANCELLORS OFFI</v>
      </c>
      <c s="4"/>
      <c s="12">
        <f>--3178148.1</f>
        <v>3178148.1000000001</v>
      </c>
      <c s="10"/>
    </row>
    <row collapsed="1" s="5" customFormat="1">
      <c r="B227" s="2"/>
      <c s="9"/>
      <c s="3" t="s">
        <v>310</v>
      </c>
      <c s="3"/>
      <c s="3"/>
      <c s="11">
        <f>SUM(OSRRefG40_2x_0)</f>
        <v>3539063.6200000001</v>
      </c>
      <c s="2"/>
    </row>
    <row ht="15" hidden="1" outlineLevel="1" s="13" customFormat="1">
      <c r="B228" s="10"/>
      <c s="41"/>
      <c s="4"/>
      <c s="4" t="str">
        <f>CONCATENATE("2226", " - ", "ACCRUED PERS/PEPRA UNFUNDED LI")</f>
        <v>2226 - ACCRUED PERS/PEPRA UNFUNDED LI</v>
      </c>
      <c s="4"/>
      <c s="12">
        <f>--3539063.62</f>
        <v>3539063.6200000001</v>
      </c>
      <c s="10"/>
    </row>
    <row thickBot="1" s="5" customFormat="1">
      <c r="B229" s="2"/>
      <c s="25" t="s">
        <v>11</v>
      </c>
      <c s="6"/>
      <c s="6"/>
      <c s="6"/>
      <c s="26">
        <f>SUM(OSRRefG40x_0)</f>
        <v>7546876.0600000005</v>
      </c>
      <c s="2"/>
    </row>
    <row ht="8.25" customHeight="1"/>
    <row s="5" customFormat="1">
      <c r="B231" s="33" t="s">
        <v>12</v>
      </c>
      <c s="21"/>
      <c s="21"/>
      <c s="21"/>
      <c s="21"/>
      <c s="39">
        <f>+G220+G229</f>
        <v>12567425.68</v>
      </c>
      <c s="2"/>
    </row>
    <row ht="8.25" customHeight="1" thickBot="1" s="5" customFormat="1">
      <c r="G232" s="35"/>
    </row>
    <row s="5" customFormat="1">
      <c r="B233" s="2"/>
      <c s="24" t="s">
        <v>298</v>
      </c>
      <c s="14"/>
      <c s="14"/>
      <c s="14"/>
      <c s="34"/>
      <c s="2"/>
    </row>
    <row>
      <c s="29"/>
      <c s="8"/>
      <c s="50"/>
      <c s="7" t="s">
        <v>13</v>
      </c>
      <c s="7"/>
      <c s="7"/>
      <c s="20">
        <f>--660317.67</f>
        <v>660317.67000000004</v>
      </c>
      <c s="8"/>
    </row>
    <row>
      <c s="29"/>
      <c s="8"/>
      <c s="50"/>
      <c s="7" t="s">
        <v>311</v>
      </c>
      <c s="7"/>
      <c s="7"/>
      <c s="20">
        <f>--14157144.47</f>
        <v>14157144.470000001</v>
      </c>
      <c s="8"/>
    </row>
    <row>
      <c s="29"/>
      <c s="8"/>
      <c s="50"/>
      <c s="7" t="s">
        <v>312</v>
      </c>
      <c s="7"/>
      <c s="7"/>
      <c s="20">
        <f>--403800.24</f>
        <v>403800.23999999999</v>
      </c>
      <c s="8"/>
    </row>
    <row thickBot="1" s="5" customFormat="1">
      <c r="B237" s="2"/>
      <c s="25" t="s">
        <v>299</v>
      </c>
      <c s="6"/>
      <c s="6"/>
      <c s="6"/>
      <c s="26">
        <f>SUM(G233:G236)</f>
        <v>15221262.380000001</v>
      </c>
      <c s="2"/>
    </row>
    <row ht="8.25" customHeight="1"/>
    <row>
      <c r="B239" s="33" t="s">
        <v>297</v>
      </c>
      <c s="21"/>
      <c s="21"/>
      <c s="38"/>
      <c s="38"/>
      <c s="39">
        <f>+G237</f>
        <v>15221262.380000001</v>
      </c>
      <c s="8"/>
    </row>
    <row ht="8.25" customHeight="1"/>
    <row thickBot="1">
      <c r="B241" s="15" t="s">
        <v>301</v>
      </c>
      <c s="17"/>
      <c s="17"/>
      <c s="28"/>
      <c s="28"/>
      <c s="37">
        <f>+G231+G239</f>
        <v>27788688.060000002</v>
      </c>
      <c s="8"/>
    </row>
    <row ht="8.25" customHeight="1" thickTop="1"/>
    <row ht="11.3" s="43" customFormat="1">
      <c s="53"/>
      <c s="27">
        <v>43908.49270185185</v>
      </c>
      <c s="27"/>
      <c s="27"/>
      <c s="27"/>
      <c s="27"/>
      <c s="51">
        <f>ROUND(G157-G241, 0)</f>
        <v>0</v>
      </c>
    </row>
    <row ht="11.3" s="43" customFormat="1">
      <c s="53"/>
      <c s="49" t="s">
        <v>302</v>
      </c>
      <c s="31"/>
      <c s="31"/>
      <c s="36"/>
      <c s="36"/>
      <c s="46"/>
    </row>
  </sheetData>
  <mergeCells count="1">
    <mergeCell ref="B243:F243"/>
  </mergeCells>
  <conditionalFormatting sqref="G243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2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2"/>
      <c s="32"/>
      <c s="44"/>
      <c s="42" t="s">
        <v>15</v>
      </c>
      <c s="48"/>
      <c s="45"/>
    </row>
    <row>
      <c r="C3" s="32"/>
      <c s="32"/>
      <c s="44"/>
      <c s="42" t="s">
        <v>14</v>
      </c>
      <c s="48"/>
      <c s="45"/>
    </row>
    <row>
      <c r="C4" s="30"/>
      <c s="30"/>
      <c s="30"/>
      <c s="42" t="s">
        <v>300</v>
      </c>
      <c s="48"/>
      <c s="45"/>
    </row>
    <row>
      <c r="C5" s="30"/>
      <c s="30"/>
      <c s="30"/>
      <c s="42" t="e">
        <f>_xll.OneStop.ReportPlayer.OSRFunctions.OSRGet("Period","PeriodEnd")</f>
        <v>#NAME?</v>
      </c>
      <c s="48"/>
      <c s="45"/>
    </row>
    <row r="7" thickBot="1">
      <c r="B7" s="15" t="s">
        <v>0</v>
      </c>
      <c s="17"/>
      <c s="17"/>
      <c s="28"/>
      <c s="28"/>
      <c s="47"/>
      <c s="8"/>
    </row>
    <row>
      <c r="B8" s="2"/>
      <c s="24" t="s">
        <v>6</v>
      </c>
      <c s="14"/>
      <c s="22"/>
      <c s="22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6"/>
      <c s="18"/>
      <c s="19"/>
      <c s="23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6"/>
      <c s="18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5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4" t="s">
        <v>2</v>
      </c>
      <c s="14"/>
      <c s="22"/>
      <c s="22"/>
      <c s="40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6"/>
      <c s="18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5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5" t="s">
        <v>5</v>
      </c>
      <c s="17"/>
      <c s="17"/>
      <c s="17"/>
      <c s="17"/>
      <c s="37" t="e">
        <f>+G22+G28</f>
        <v>#NAME?</v>
      </c>
      <c s="2"/>
    </row>
    <row thickTop="1" s="5" customFormat="1">
      <c r="G31" s="35"/>
    </row>
    <row thickBot="1" s="5" customFormat="1">
      <c r="B32" s="15" t="s">
        <v>296</v>
      </c>
      <c s="15"/>
      <c s="15"/>
      <c s="15"/>
      <c s="15"/>
      <c s="15"/>
      <c s="2"/>
    </row>
    <row s="5" customFormat="1">
      <c r="B33" s="2"/>
      <c s="24" t="s">
        <v>8</v>
      </c>
      <c s="14"/>
      <c s="14"/>
      <c s="14"/>
      <c s="34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5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4" t="s">
        <v>10</v>
      </c>
      <c s="14"/>
      <c s="22"/>
      <c s="22"/>
      <c s="40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5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3" t="s">
        <v>12</v>
      </c>
      <c s="21"/>
      <c s="21"/>
      <c s="21"/>
      <c s="21"/>
      <c s="39" t="e">
        <f>+G36+G41</f>
        <v>#NAME?</v>
      </c>
      <c s="2"/>
    </row>
    <row ht="8.25" customHeight="1" thickBot="1" s="5" customFormat="1">
      <c r="G44" s="35"/>
    </row>
    <row s="5" customFormat="1">
      <c r="B45" s="2"/>
      <c s="24" t="s">
        <v>298</v>
      </c>
      <c s="14"/>
      <c s="14"/>
      <c s="14"/>
      <c s="34"/>
      <c s="2"/>
    </row>
    <row>
      <c s="29"/>
      <c s="8"/>
      <c s="50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5" t="s">
        <v>299</v>
      </c>
      <c s="6"/>
      <c s="6"/>
      <c s="6"/>
      <c s="26" t="e">
        <f>SUM(G45:G48)</f>
        <v>#NAME?</v>
      </c>
      <c s="2"/>
    </row>
    <row ht="8.25" customHeight="1"/>
    <row>
      <c r="B51" s="33" t="s">
        <v>297</v>
      </c>
      <c s="21"/>
      <c s="21"/>
      <c s="38"/>
      <c s="38"/>
      <c s="39" t="e">
        <f>+G49</f>
        <v>#NAME?</v>
      </c>
      <c s="8"/>
    </row>
    <row ht="8.25" customHeight="1"/>
    <row thickBot="1">
      <c r="B53" s="15" t="s">
        <v>301</v>
      </c>
      <c s="17"/>
      <c s="17"/>
      <c s="28"/>
      <c s="28"/>
      <c s="37" t="e">
        <f>+G43+G51</f>
        <v>#NAME?</v>
      </c>
      <c s="8"/>
    </row>
    <row ht="8.25" customHeight="1" thickTop="1"/>
    <row ht="11.3" s="43" customFormat="1">
      <c s="53"/>
      <c s="27" t="e">
        <f>_xll.OneStop.ReportPlayer.OSRFunctions.OSRGet("CurrentDate","Date")</f>
        <v>#NAME?</v>
      </c>
      <c s="27"/>
      <c s="27"/>
      <c s="27"/>
      <c s="27"/>
      <c s="51" t="e">
        <f>ROUND(G30-G53, 0)</f>
        <v>#NAME?</v>
      </c>
    </row>
    <row ht="11.3" s="43" customFormat="1">
      <c s="53"/>
      <c s="49" t="e">
        <f>_xll.OneStop.ReportPlayer.OSRFunctions.OSRGet("User","UserId")</f>
        <v>#NAME?</v>
      </c>
      <c s="31"/>
      <c s="31"/>
      <c s="36"/>
      <c s="36"/>
      <c s="46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52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2"/>
      <c s="32"/>
      <c s="44"/>
      <c s="42" t="s">
        <v>15</v>
      </c>
      <c s="48"/>
      <c s="45"/>
    </row>
    <row>
      <c r="C3" s="32"/>
      <c s="32"/>
      <c s="44"/>
      <c s="42" t="s">
        <v>14</v>
      </c>
      <c s="48"/>
      <c s="45"/>
    </row>
    <row>
      <c r="C4" s="30"/>
      <c s="30"/>
      <c s="30"/>
      <c s="42" t="s">
        <v>300</v>
      </c>
      <c s="48"/>
      <c s="45"/>
    </row>
    <row>
      <c r="C5" s="30"/>
      <c s="30"/>
      <c s="30"/>
      <c s="42" t="e">
        <f>_xll.OneStop.ReportPlayer.OSRFunctions.OSRGet("Period","PeriodEnd")</f>
        <v>#NAME?</v>
      </c>
      <c s="48"/>
      <c s="45"/>
    </row>
    <row r="7" thickBot="1">
      <c r="B7" s="15" t="s">
        <v>0</v>
      </c>
      <c s="17"/>
      <c s="17"/>
      <c s="28"/>
      <c s="28"/>
      <c s="47"/>
      <c s="8"/>
    </row>
    <row>
      <c r="B8" s="2"/>
      <c s="24" t="s">
        <v>6</v>
      </c>
      <c s="14"/>
      <c s="22"/>
      <c s="22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6"/>
      <c s="18"/>
      <c s="19"/>
      <c s="23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6"/>
      <c s="18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5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4" t="s">
        <v>2</v>
      </c>
      <c s="14"/>
      <c s="22"/>
      <c s="22"/>
      <c s="40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6"/>
      <c s="18"/>
      <c s="19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5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5" t="s">
        <v>5</v>
      </c>
      <c s="17"/>
      <c s="17"/>
      <c s="17"/>
      <c s="17"/>
      <c s="37" t="e">
        <f>+G22+G28</f>
        <v>#NAME?</v>
      </c>
      <c s="2"/>
    </row>
    <row thickTop="1" s="5" customFormat="1">
      <c r="G31" s="35"/>
    </row>
    <row thickBot="1" s="5" customFormat="1">
      <c r="B32" s="15" t="s">
        <v>296</v>
      </c>
      <c s="15"/>
      <c s="15"/>
      <c s="15"/>
      <c s="15"/>
      <c s="15"/>
      <c s="2"/>
    </row>
    <row s="5" customFormat="1">
      <c r="B33" s="2"/>
      <c s="24" t="s">
        <v>8</v>
      </c>
      <c s="14"/>
      <c s="14"/>
      <c s="14"/>
      <c s="34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6"/>
      <c s="18"/>
      <c s="19"/>
      <c s="23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5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4" t="s">
        <v>10</v>
      </c>
      <c s="14"/>
      <c s="22"/>
      <c s="22"/>
      <c s="40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5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3" t="s">
        <v>12</v>
      </c>
      <c s="21"/>
      <c s="21"/>
      <c s="21"/>
      <c s="21"/>
      <c s="39" t="e">
        <f>+G36+G41</f>
        <v>#NAME?</v>
      </c>
      <c s="2"/>
    </row>
    <row ht="8.25" customHeight="1" thickBot="1" s="5" customFormat="1">
      <c r="G44" s="35"/>
    </row>
    <row s="5" customFormat="1">
      <c r="B45" s="2"/>
      <c s="24" t="s">
        <v>298</v>
      </c>
      <c s="14"/>
      <c s="14"/>
      <c s="14"/>
      <c s="34"/>
      <c s="2"/>
    </row>
    <row>
      <c s="29"/>
      <c s="8"/>
      <c s="50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50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5" t="s">
        <v>299</v>
      </c>
      <c s="6"/>
      <c s="6"/>
      <c s="6"/>
      <c s="26" t="e">
        <f>SUM(G45:G48)</f>
        <v>#NAME?</v>
      </c>
      <c s="2"/>
    </row>
    <row ht="8.25" customHeight="1"/>
    <row>
      <c r="B51" s="33" t="s">
        <v>297</v>
      </c>
      <c s="21"/>
      <c s="21"/>
      <c s="38"/>
      <c s="38"/>
      <c s="39" t="e">
        <f>+G49</f>
        <v>#NAME?</v>
      </c>
      <c s="8"/>
    </row>
    <row ht="8.25" customHeight="1"/>
    <row thickBot="1">
      <c r="B53" s="15" t="s">
        <v>301</v>
      </c>
      <c s="17"/>
      <c s="17"/>
      <c s="28"/>
      <c s="28"/>
      <c s="37" t="e">
        <f>+G43+G51</f>
        <v>#NAME?</v>
      </c>
      <c s="8"/>
    </row>
    <row ht="8.25" customHeight="1" thickTop="1"/>
    <row ht="11.3" s="43" customFormat="1">
      <c s="53"/>
      <c s="27" t="e">
        <f>_xll.OneStop.ReportPlayer.OSRFunctions.OSRGet("CurrentDate","Date")</f>
        <v>#NAME?</v>
      </c>
      <c s="27"/>
      <c s="27"/>
      <c s="27"/>
      <c s="27"/>
      <c s="51" t="e">
        <f>ROUND(G30-G53, 0)</f>
        <v>#NAME?</v>
      </c>
    </row>
    <row ht="11.3" s="43" customFormat="1">
      <c s="53"/>
      <c s="49" t="e">
        <f>_xll.OneStop.ReportPlayer.OSRFunctions.OSRGet("User","UserId")</f>
        <v>#NAME?</v>
      </c>
      <c s="31"/>
      <c s="31"/>
      <c s="36"/>
      <c s="36"/>
      <c s="46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