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"/>
    </mc:Choice>
  </mc:AlternateContent>
  <xr:revisionPtr revIDLastSave="0" documentId="8_{93DF8FE9-63E1-4438-A2CB-09974C27E9CE}" xr6:coauthVersionLast="46" xr6:coauthVersionMax="46" xr10:uidLastSave="{00000000-0000-0000-0000-000000000000}"/>
  <bookViews>
    <workbookView xWindow="-120" yWindow="-120" windowWidth="29040" windowHeight="17640" firstSheet="2" activeTab="2" xr2:uid="{00000000-000D-0000-FFFF-FFFF00000000}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Sheet'!$B$237:$F$237</definedName>
    <definedName name="OSRRefG10x_0" localSheetId="2">'Balance Sheet'!$G$10,'Balance Sheet'!$G$20,'Balance Sheet'!$G$29</definedName>
    <definedName name="OSRRefG11_0x_0" localSheetId="2">'Balance Sheet'!$G$11:$G$19</definedName>
    <definedName name="OSRRefG11_1x_0" localSheetId="2">'Balance Sheet'!$G$21:$G$28</definedName>
    <definedName name="OSRRefG11_2x_0" localSheetId="2">'Balance Sheet'!$G$30:$G$32</definedName>
    <definedName name="OSRRefG14x_0" localSheetId="2">'Balance Sheet'!$G$35:$G$53</definedName>
    <definedName name="OSRRefG17x_0" localSheetId="2">'Balance Sheet'!$G$56:$G$124</definedName>
    <definedName name="OSRRefG20x_0" localSheetId="2">'Balance Sheet'!$G$127:$G$130</definedName>
    <definedName name="OSRRefG26x_0" localSheetId="2">'Balance Sheet'!$G$136:$G$149</definedName>
    <definedName name="OSRRefG34x_0" localSheetId="2">'Balance Sheet'!$G$157,'Balance Sheet'!$G$164,'Balance Sheet'!$G$169,'Balance Sheet'!$G$178,'Balance Sheet'!$G$188</definedName>
    <definedName name="OSRRefG40_0x_0" localSheetId="2">'Balance Sheet'!$G$217</definedName>
    <definedName name="OSRRefG40_1x_0" localSheetId="2">'Balance Sheet'!$G$219:$G$220</definedName>
    <definedName name="OSRRefG40_2x_0" localSheetId="2">'Balance Sheet'!$G$222</definedName>
    <definedName name="OSRRefG40x_0" localSheetId="2">'Balance Sheet'!$G$217,'Balance Sheet'!$G$219:$G$220,'Balance Sheet'!$G$222</definedName>
    <definedName name="_xlnm.Print_Titles" localSheetId="2">'Balance Sheet'!$1:$6</definedName>
    <definedName name="_xlnm.Print_Titles" localSheetId="3">'OSR_Balance Sheet_1OOAXMZ'!$1:$6</definedName>
    <definedName name="_xlnm.Print_Titles" localSheetId="4">'OSR_Sheet1_93...aec08b11_9YXV63'!$1:$6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3" l="1"/>
  <c r="E219" i="3"/>
  <c r="B56" i="5"/>
  <c r="B55" i="5"/>
  <c r="G48" i="5"/>
  <c r="D48" i="5"/>
  <c r="G47" i="5"/>
  <c r="D47" i="5"/>
  <c r="G46" i="5"/>
  <c r="G49" i="5" s="1"/>
  <c r="G51" i="5" s="1"/>
  <c r="G41" i="5"/>
  <c r="G40" i="5"/>
  <c r="E40" i="5"/>
  <c r="G39" i="5"/>
  <c r="D39" i="5"/>
  <c r="G36" i="5"/>
  <c r="G35" i="5"/>
  <c r="E35" i="5"/>
  <c r="G34" i="5"/>
  <c r="D34" i="5"/>
  <c r="G27" i="5"/>
  <c r="G26" i="5"/>
  <c r="E26" i="5"/>
  <c r="G25" i="5"/>
  <c r="G20" i="5"/>
  <c r="E20" i="5"/>
  <c r="G19" i="5"/>
  <c r="G17" i="5"/>
  <c r="E17" i="5"/>
  <c r="G16" i="5"/>
  <c r="G14" i="5"/>
  <c r="E14" i="5"/>
  <c r="G13" i="5"/>
  <c r="G11" i="5"/>
  <c r="F11" i="5"/>
  <c r="G10" i="5"/>
  <c r="E10" i="5"/>
  <c r="G9" i="5"/>
  <c r="F5" i="5"/>
  <c r="B56" i="4"/>
  <c r="B55" i="4"/>
  <c r="G48" i="4"/>
  <c r="D48" i="4"/>
  <c r="G47" i="4"/>
  <c r="D47" i="4"/>
  <c r="G46" i="4"/>
  <c r="G49" i="4" s="1"/>
  <c r="G51" i="4" s="1"/>
  <c r="G41" i="4"/>
  <c r="G43" i="4" s="1"/>
  <c r="G40" i="4"/>
  <c r="E40" i="4"/>
  <c r="G39" i="4"/>
  <c r="D39" i="4"/>
  <c r="G36" i="4"/>
  <c r="G35" i="4"/>
  <c r="E35" i="4"/>
  <c r="G34" i="4"/>
  <c r="D34" i="4"/>
  <c r="G27" i="4"/>
  <c r="G26" i="4"/>
  <c r="E26" i="4"/>
  <c r="G25" i="4"/>
  <c r="G20" i="4"/>
  <c r="E20" i="4"/>
  <c r="G19" i="4"/>
  <c r="G17" i="4"/>
  <c r="E17" i="4"/>
  <c r="G16" i="4"/>
  <c r="G14" i="4"/>
  <c r="E14" i="4"/>
  <c r="G13" i="4"/>
  <c r="G11" i="4"/>
  <c r="F11" i="4"/>
  <c r="G10" i="4"/>
  <c r="E10" i="4"/>
  <c r="G9" i="4"/>
  <c r="F5" i="4"/>
  <c r="G231" i="3"/>
  <c r="G233" i="3" s="1"/>
  <c r="G230" i="3"/>
  <c r="G229" i="3"/>
  <c r="G228" i="3"/>
  <c r="G222" i="3"/>
  <c r="G221" i="3" s="1"/>
  <c r="E222" i="3"/>
  <c r="G220" i="3"/>
  <c r="E220" i="3"/>
  <c r="G219" i="3"/>
  <c r="G218" i="3"/>
  <c r="G217" i="3"/>
  <c r="G223" i="3" s="1"/>
  <c r="E217" i="3"/>
  <c r="G212" i="3"/>
  <c r="E212" i="3"/>
  <c r="G211" i="3"/>
  <c r="E211" i="3"/>
  <c r="G210" i="3"/>
  <c r="E210" i="3"/>
  <c r="G209" i="3"/>
  <c r="E209" i="3"/>
  <c r="G208" i="3"/>
  <c r="E208" i="3"/>
  <c r="G207" i="3"/>
  <c r="E207" i="3"/>
  <c r="G206" i="3"/>
  <c r="E206" i="3"/>
  <c r="G205" i="3"/>
  <c r="E205" i="3"/>
  <c r="G204" i="3"/>
  <c r="E204" i="3"/>
  <c r="G203" i="3"/>
  <c r="E203" i="3"/>
  <c r="G202" i="3"/>
  <c r="E202" i="3"/>
  <c r="G201" i="3"/>
  <c r="E201" i="3"/>
  <c r="G200" i="3"/>
  <c r="E200" i="3"/>
  <c r="G199" i="3"/>
  <c r="E199" i="3"/>
  <c r="G198" i="3"/>
  <c r="E198" i="3"/>
  <c r="G197" i="3"/>
  <c r="E197" i="3"/>
  <c r="G196" i="3"/>
  <c r="E196" i="3"/>
  <c r="G195" i="3"/>
  <c r="E195" i="3"/>
  <c r="G194" i="3"/>
  <c r="E194" i="3"/>
  <c r="G193" i="3"/>
  <c r="E193" i="3"/>
  <c r="G192" i="3"/>
  <c r="E192" i="3"/>
  <c r="G191" i="3"/>
  <c r="E191" i="3"/>
  <c r="G190" i="3"/>
  <c r="E190" i="3"/>
  <c r="G189" i="3"/>
  <c r="E189" i="3"/>
  <c r="G188" i="3"/>
  <c r="G187" i="3"/>
  <c r="E187" i="3"/>
  <c r="G186" i="3"/>
  <c r="E186" i="3"/>
  <c r="G185" i="3"/>
  <c r="E185" i="3"/>
  <c r="G184" i="3"/>
  <c r="E184" i="3"/>
  <c r="G183" i="3"/>
  <c r="E183" i="3"/>
  <c r="G182" i="3"/>
  <c r="E182" i="3"/>
  <c r="G181" i="3"/>
  <c r="E181" i="3"/>
  <c r="G180" i="3"/>
  <c r="E180" i="3"/>
  <c r="G179" i="3"/>
  <c r="E179" i="3"/>
  <c r="G178" i="3"/>
  <c r="G177" i="3"/>
  <c r="E177" i="3"/>
  <c r="G176" i="3"/>
  <c r="E176" i="3"/>
  <c r="G175" i="3"/>
  <c r="E175" i="3"/>
  <c r="G174" i="3"/>
  <c r="E174" i="3"/>
  <c r="G173" i="3"/>
  <c r="E173" i="3"/>
  <c r="G172" i="3"/>
  <c r="E172" i="3"/>
  <c r="G171" i="3"/>
  <c r="E171" i="3"/>
  <c r="G170" i="3"/>
  <c r="E170" i="3"/>
  <c r="G169" i="3"/>
  <c r="G168" i="3"/>
  <c r="E168" i="3"/>
  <c r="G167" i="3"/>
  <c r="E167" i="3"/>
  <c r="G166" i="3"/>
  <c r="E166" i="3"/>
  <c r="G165" i="3"/>
  <c r="E165" i="3"/>
  <c r="G164" i="3"/>
  <c r="G163" i="3"/>
  <c r="E163" i="3"/>
  <c r="G162" i="3"/>
  <c r="E162" i="3"/>
  <c r="G161" i="3"/>
  <c r="E161" i="3"/>
  <c r="G160" i="3"/>
  <c r="E160" i="3"/>
  <c r="G159" i="3"/>
  <c r="E159" i="3"/>
  <c r="G158" i="3"/>
  <c r="E158" i="3"/>
  <c r="G157" i="3"/>
  <c r="G213" i="3" s="1"/>
  <c r="G151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G135" i="3"/>
  <c r="E130" i="3"/>
  <c r="E129" i="3"/>
  <c r="E128" i="3"/>
  <c r="E127" i="3"/>
  <c r="G126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G55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G34" i="3"/>
  <c r="F32" i="3"/>
  <c r="F31" i="3"/>
  <c r="F30" i="3"/>
  <c r="G29" i="3"/>
  <c r="F28" i="3"/>
  <c r="F26" i="3"/>
  <c r="F25" i="3"/>
  <c r="F24" i="3"/>
  <c r="F23" i="3"/>
  <c r="F22" i="3"/>
  <c r="F21" i="3"/>
  <c r="G20" i="3"/>
  <c r="F19" i="3"/>
  <c r="F18" i="3"/>
  <c r="F17" i="3"/>
  <c r="F16" i="3"/>
  <c r="F15" i="3"/>
  <c r="F14" i="3"/>
  <c r="F13" i="3"/>
  <c r="F12" i="3"/>
  <c r="F11" i="3"/>
  <c r="G10" i="3"/>
  <c r="G9" i="3"/>
  <c r="G132" i="3" s="1"/>
  <c r="G153" i="3" s="1"/>
  <c r="G43" i="5" l="1"/>
  <c r="G53" i="5" s="1"/>
  <c r="G22" i="4"/>
  <c r="G22" i="5"/>
  <c r="G53" i="4"/>
  <c r="G28" i="4"/>
  <c r="G28" i="5"/>
  <c r="G225" i="3"/>
  <c r="G235" i="3" s="1"/>
  <c r="G237" i="3" s="1"/>
  <c r="G216" i="3"/>
  <c r="G30" i="4" l="1"/>
  <c r="G55" i="4" s="1"/>
  <c r="G30" i="5"/>
  <c r="G55" i="5" s="1"/>
</calcChain>
</file>

<file path=xl/sharedStrings.xml><?xml version="1.0" encoding="utf-8"?>
<sst xmlns="http://schemas.openxmlformats.org/spreadsheetml/2006/main" count="372" uniqueCount="316">
  <si>
    <t>Grid Title</t>
  </si>
  <si>
    <t>FxCode Text</t>
  </si>
  <si>
    <t>Storage Type</t>
  </si>
  <si>
    <t>Dim3Text</t>
  </si>
  <si>
    <t>Dim4Relate to data</t>
  </si>
  <si>
    <t>Variable Dim0Relate to data</t>
  </si>
  <si>
    <t>Variable Dim5Special Rules</t>
  </si>
  <si>
    <t>Variable Dim6</t>
  </si>
  <si>
    <t>Variable Dim6Relate to data</t>
  </si>
  <si>
    <t>Variable Dim8Text</t>
  </si>
  <si>
    <t>Variable Dim Name12</t>
  </si>
  <si>
    <t>Variable Dim12Text</t>
  </si>
  <si>
    <t>Storage Field0</t>
  </si>
  <si>
    <t>Storage Field9 Name</t>
  </si>
  <si>
    <t>Storage Field14</t>
  </si>
  <si>
    <t>Storage Field18</t>
  </si>
  <si>
    <t>DimGridName</t>
  </si>
  <si>
    <t>Chart 4th Data Series</t>
  </si>
  <si>
    <t>Chart 4th Data Series Name</t>
  </si>
  <si>
    <t>IGRowLabelRange</t>
  </si>
  <si>
    <t>MinDG</t>
  </si>
  <si>
    <t>TOTAL LIABILITIES &amp; NET ASSETS</t>
  </si>
  <si>
    <t xml:space="preserve">Forty Niner Shops, Inc. </t>
  </si>
  <si>
    <t>Module Name</t>
  </si>
  <si>
    <t>Time  Relate to data</t>
  </si>
  <si>
    <t>Scenario  Special Rules</t>
  </si>
  <si>
    <t>Category  Special Rules</t>
  </si>
  <si>
    <t>Dim2Text</t>
  </si>
  <si>
    <t>Variable Dim7Special Rules</t>
  </si>
  <si>
    <t>Variable Dim7Text</t>
  </si>
  <si>
    <t>Variable Dim10Relate to data</t>
  </si>
  <si>
    <t>Variable Dim10Special Rules</t>
  </si>
  <si>
    <t>Variable Dim11Text</t>
  </si>
  <si>
    <t>Variable Dim Name16</t>
  </si>
  <si>
    <t>Storage Field3 Name</t>
  </si>
  <si>
    <t>Storage Field4</t>
  </si>
  <si>
    <t>Storage Field8</t>
  </si>
  <si>
    <t>LIDColLabelRange</t>
  </si>
  <si>
    <t>Net Contribution YTD</t>
  </si>
  <si>
    <t>Time Text</t>
  </si>
  <si>
    <t>Dim0Special Rules</t>
  </si>
  <si>
    <t>Dim1</t>
  </si>
  <si>
    <t>Variable Dim Name1</t>
  </si>
  <si>
    <t>Variable Dim1Relate to data</t>
  </si>
  <si>
    <t>Variable Dim Name5</t>
  </si>
  <si>
    <t>Variable Dim6Text</t>
  </si>
  <si>
    <t>Variable Dim10Text</t>
  </si>
  <si>
    <t>Variable Dim12Special Rules</t>
  </si>
  <si>
    <t>Variable Dim16Relate to data</t>
  </si>
  <si>
    <t>Storage Field13 Name</t>
  </si>
  <si>
    <t>Storage Field19 Name</t>
  </si>
  <si>
    <t>ChartType</t>
  </si>
  <si>
    <t>Chart 5th Data Series</t>
  </si>
  <si>
    <t xml:space="preserve">Savings and other investments                     </t>
  </si>
  <si>
    <t xml:space="preserve">Accounts Payable                                  </t>
  </si>
  <si>
    <t xml:space="preserve">Accrued Payroll Expenses                          </t>
  </si>
  <si>
    <t>Tess.Monzon@csulb.edu</t>
  </si>
  <si>
    <t>Total Fixed Assets</t>
  </si>
  <si>
    <t>Total Long-Term Liabilities</t>
  </si>
  <si>
    <t>Grid Cell Range</t>
  </si>
  <si>
    <t>Time  Special Rules</t>
  </si>
  <si>
    <t>Scenario</t>
  </si>
  <si>
    <t>Retain Zero Value</t>
  </si>
  <si>
    <t>Dim1Text</t>
  </si>
  <si>
    <t>Dim2Special Rules</t>
  </si>
  <si>
    <t>Dim Label3</t>
  </si>
  <si>
    <t>Dim5</t>
  </si>
  <si>
    <t>Dim5Relate to data</t>
  </si>
  <si>
    <t>Dim Label7</t>
  </si>
  <si>
    <t>Dim9</t>
  </si>
  <si>
    <t>Variable Dim7Relate to data</t>
  </si>
  <si>
    <t>Variable Dim Name9</t>
  </si>
  <si>
    <t>Variable Dim9Special Rules</t>
  </si>
  <si>
    <t>Variable Dim13</t>
  </si>
  <si>
    <t>Variable Dim14Special Rules</t>
  </si>
  <si>
    <t>Storage Field8 Name</t>
  </si>
  <si>
    <t>Storage Field11</t>
  </si>
  <si>
    <t>StorageGridName</t>
  </si>
  <si>
    <t>Chart 2nd Data Series</t>
  </si>
  <si>
    <t>Chart 2nd Data Series Name</t>
  </si>
  <si>
    <t>LIDRowsNumber</t>
  </si>
  <si>
    <t xml:space="preserve">Designated funds                                  </t>
  </si>
  <si>
    <t>Long-Term Liabilities</t>
  </si>
  <si>
    <t>Total Prepaid Expenses</t>
  </si>
  <si>
    <t>Grid Special Rules</t>
  </si>
  <si>
    <t>Dim0Text</t>
  </si>
  <si>
    <t>Dim4Special Rules</t>
  </si>
  <si>
    <t>Variable Dim3</t>
  </si>
  <si>
    <t>Variable Dim5Text</t>
  </si>
  <si>
    <t>Variable Dim7</t>
  </si>
  <si>
    <t>Variable Dim11Relate to data</t>
  </si>
  <si>
    <t>Variable Dim Name13</t>
  </si>
  <si>
    <t>Variable Dim16Special Rules</t>
  </si>
  <si>
    <t>Variable Dim17</t>
  </si>
  <si>
    <t>Variable Dim17Relate to data</t>
  </si>
  <si>
    <t>Storage Field1</t>
  </si>
  <si>
    <t>Storage Field2 Name</t>
  </si>
  <si>
    <t>Storage Field15</t>
  </si>
  <si>
    <t>Storage Field18 Name</t>
  </si>
  <si>
    <t>Storage Field19</t>
  </si>
  <si>
    <t>Running Actual Sheet row Number</t>
  </si>
  <si>
    <t>ChartDisplayLabel</t>
  </si>
  <si>
    <t>Chart 6th Data Series Name</t>
  </si>
  <si>
    <t>DG Display Label</t>
  </si>
  <si>
    <t>IGDataRange</t>
  </si>
  <si>
    <t>IGDecimalDigits</t>
  </si>
  <si>
    <t>Less Accumulated Depreciation</t>
  </si>
  <si>
    <t>TOTAL LIABILITIES</t>
  </si>
  <si>
    <t>Total Inventory</t>
  </si>
  <si>
    <t>Entity Special Rules</t>
  </si>
  <si>
    <t>Updated Date</t>
  </si>
  <si>
    <t>Dim0Relate to data</t>
  </si>
  <si>
    <t>Dim6Relate to data</t>
  </si>
  <si>
    <t>Dim6Special Rules</t>
  </si>
  <si>
    <t>Variable Dim0Special Rules</t>
  </si>
  <si>
    <t>Variable Dim2Relate to data</t>
  </si>
  <si>
    <t>Variable Dim4Text</t>
  </si>
  <si>
    <t>Variable Dim Name17</t>
  </si>
  <si>
    <t>Variable Dim18Special Rules</t>
  </si>
  <si>
    <t>Storage Field5</t>
  </si>
  <si>
    <t>Storage Field9</t>
  </si>
  <si>
    <t>Storage Field12 Name</t>
  </si>
  <si>
    <t>Enable SIMWindow</t>
  </si>
  <si>
    <t>Chart 6th Data Series</t>
  </si>
  <si>
    <t>BudgetTotal</t>
  </si>
  <si>
    <t xml:space="preserve">Accrued Post Retirement Benefits                  </t>
  </si>
  <si>
    <t>ASSETS</t>
  </si>
  <si>
    <t>Total Cash</t>
  </si>
  <si>
    <t>Entity</t>
  </si>
  <si>
    <t>Time</t>
  </si>
  <si>
    <t>Dim Label0</t>
  </si>
  <si>
    <t>Dim2</t>
  </si>
  <si>
    <t>Dim8Special Rules</t>
  </si>
  <si>
    <t>Variable Dim Name2</t>
  </si>
  <si>
    <t>Variable Dim3Text</t>
  </si>
  <si>
    <t>Variable Dim8Relate to data</t>
  </si>
  <si>
    <t>Storage Field7 Name</t>
  </si>
  <si>
    <t>Chart 1stData Series</t>
  </si>
  <si>
    <t xml:space="preserve">Accrued Payroll and Benefits                      </t>
  </si>
  <si>
    <t>Current Liabilities</t>
  </si>
  <si>
    <t>Total Current Liabilities</t>
  </si>
  <si>
    <t>Net Fixed Assets</t>
  </si>
  <si>
    <t>Dim Label4</t>
  </si>
  <si>
    <t>Dim6</t>
  </si>
  <si>
    <t>Dim Label8</t>
  </si>
  <si>
    <t>Variable Dim0</t>
  </si>
  <si>
    <t>Variable Dim2Special Rules</t>
  </si>
  <si>
    <t>Variable Dim2Text</t>
  </si>
  <si>
    <t>Variable Dim Name6</t>
  </si>
  <si>
    <t>Variable Dim10</t>
  </si>
  <si>
    <t>Variable Dim12Relate to data</t>
  </si>
  <si>
    <t>Variable Dim14</t>
  </si>
  <si>
    <t>Variable Dim18Relate to data</t>
  </si>
  <si>
    <t>Variable Dim19Text</t>
  </si>
  <si>
    <t>Storage Field1 Name</t>
  </si>
  <si>
    <t>Storage Field12</t>
  </si>
  <si>
    <t>Storage Field17 Name</t>
  </si>
  <si>
    <t>DimSheetName</t>
  </si>
  <si>
    <t>StorageSheetName</t>
  </si>
  <si>
    <t>Running Actual Grid Number</t>
  </si>
  <si>
    <t>DGHide</t>
  </si>
  <si>
    <t>IGDisplayLabel</t>
  </si>
  <si>
    <t>Net Assets Without Donor Restrictions</t>
  </si>
  <si>
    <t>TOTAL ASSETS</t>
  </si>
  <si>
    <t>Total Current Assets</t>
  </si>
  <si>
    <t>Entity Relate to data</t>
  </si>
  <si>
    <t>Scenario  Relate to data</t>
  </si>
  <si>
    <t>Dim1Relate to data</t>
  </si>
  <si>
    <t>Dim7Relate to data</t>
  </si>
  <si>
    <t>Dim9Text</t>
  </si>
  <si>
    <t>Variable Dim3Relate to data</t>
  </si>
  <si>
    <t>Variable Dim4</t>
  </si>
  <si>
    <t>Variable Dim4Special Rules</t>
  </si>
  <si>
    <t>Variable Dim8</t>
  </si>
  <si>
    <t>Variable Dim9Relate to data</t>
  </si>
  <si>
    <t>Variable Dim Name10</t>
  </si>
  <si>
    <t>Variable Dim Name14</t>
  </si>
  <si>
    <t>Variable Dim18</t>
  </si>
  <si>
    <t>Variable Dim18Text</t>
  </si>
  <si>
    <t>Storage Field2</t>
  </si>
  <si>
    <t>Storage Field11 Name</t>
  </si>
  <si>
    <t>Storage Field16</t>
  </si>
  <si>
    <t>Interface Setting Grid Number</t>
  </si>
  <si>
    <t>Chart Legend Location</t>
  </si>
  <si>
    <t>Chart 3rd Data Series</t>
  </si>
  <si>
    <t>DGRow Label</t>
  </si>
  <si>
    <t>ActualTotal</t>
  </si>
  <si>
    <t>Scenario Text</t>
  </si>
  <si>
    <t>Category</t>
  </si>
  <si>
    <t>FxCode  Special Rules</t>
  </si>
  <si>
    <t>Variable Dim1Text</t>
  </si>
  <si>
    <t>Variable Dim6Special Rules</t>
  </si>
  <si>
    <t>Variable Dim11Special Rules</t>
  </si>
  <si>
    <t>Variable Dim17Text</t>
  </si>
  <si>
    <t>Variable Dim Name18</t>
  </si>
  <si>
    <t>Storage Field0 Name</t>
  </si>
  <si>
    <t>Storage Field6</t>
  </si>
  <si>
    <t>Storage Field6 Name</t>
  </si>
  <si>
    <t>Active Grid Number</t>
  </si>
  <si>
    <t>Chart 3rd Data SeriesName</t>
  </si>
  <si>
    <t>IGHide</t>
  </si>
  <si>
    <t>Current Assets</t>
  </si>
  <si>
    <t>Category  Relate to data</t>
  </si>
  <si>
    <t>FxCode  Relate to data</t>
  </si>
  <si>
    <t>Dim1Special Rules</t>
  </si>
  <si>
    <t>Dim2Relate to data</t>
  </si>
  <si>
    <t>Dim3</t>
  </si>
  <si>
    <t>Dim8Text</t>
  </si>
  <si>
    <t>Variable Dim0Text</t>
  </si>
  <si>
    <t>Variable Dim Name3</t>
  </si>
  <si>
    <t>Variable Dim8Special Rules</t>
  </si>
  <si>
    <t>Variable Dim13Relate to data</t>
  </si>
  <si>
    <t>Variable Dim19Relate to data</t>
  </si>
  <si>
    <t>Storage Field10 Name</t>
  </si>
  <si>
    <t>Storage Field16 Name</t>
  </si>
  <si>
    <t>ChartXAxiesLabel</t>
  </si>
  <si>
    <t>Chart 1st DataSeries Name</t>
  </si>
  <si>
    <t>Chart 5th Data Series Name</t>
  </si>
  <si>
    <t>EnableLID</t>
  </si>
  <si>
    <t>Dim Label1</t>
  </si>
  <si>
    <t>Dim3Special Rules</t>
  </si>
  <si>
    <t>Dim Label5</t>
  </si>
  <si>
    <t>Dim7</t>
  </si>
  <si>
    <t>Dim7Text</t>
  </si>
  <si>
    <t>Dim8Relate to data</t>
  </si>
  <si>
    <t>Dim Label9</t>
  </si>
  <si>
    <t>Variable Dim1</t>
  </si>
  <si>
    <t>Variable Dim4Relate to data</t>
  </si>
  <si>
    <t>Variable Dim Name7</t>
  </si>
  <si>
    <t>Variable Dim11</t>
  </si>
  <si>
    <t>Variable Dim13Special Rules</t>
  </si>
  <si>
    <t>Variable Dim15</t>
  </si>
  <si>
    <t>Variable Dim16Text</t>
  </si>
  <si>
    <t>Storage Field5 Name</t>
  </si>
  <si>
    <t>SliderMinMovePer</t>
  </si>
  <si>
    <t>TotalHide</t>
  </si>
  <si>
    <t xml:space="preserve">Accrued Taxes (sales &amp;w/h )                       </t>
  </si>
  <si>
    <t xml:space="preserve">PERS/PEPRA Unfunded Liability                     </t>
  </si>
  <si>
    <t>Total Accounts Receivable</t>
  </si>
  <si>
    <t>Sheet Name</t>
  </si>
  <si>
    <t>Entity Text</t>
  </si>
  <si>
    <t>Category Text</t>
  </si>
  <si>
    <t>Dim5Special Rules</t>
  </si>
  <si>
    <t>Dim6Text</t>
  </si>
  <si>
    <t>Variable Dim5</t>
  </si>
  <si>
    <t>Variable Dim9</t>
  </si>
  <si>
    <t>Variable Dim Name11</t>
  </si>
  <si>
    <t>Variable Dim14Relate to data</t>
  </si>
  <si>
    <t>Variable Dim15Special Rules</t>
  </si>
  <si>
    <t>Variable Dim15Text</t>
  </si>
  <si>
    <t>Variable Dim19</t>
  </si>
  <si>
    <t>Storage Field13</t>
  </si>
  <si>
    <t>Storage Field17</t>
  </si>
  <si>
    <t>DG Decimal Digits</t>
  </si>
  <si>
    <t>LIDHide</t>
  </si>
  <si>
    <t>SliderMaxpercentage</t>
  </si>
  <si>
    <t>LIABILITIES &amp; NET ASSETS</t>
  </si>
  <si>
    <t>TOTAL NET ASSETS</t>
  </si>
  <si>
    <t xml:space="preserve">FxCode </t>
  </si>
  <si>
    <t>Dim3Relate to data</t>
  </si>
  <si>
    <t>Dim9Relate to data</t>
  </si>
  <si>
    <t>Variable Dim5Relate to data</t>
  </si>
  <si>
    <t>Variable Dim14Text</t>
  </si>
  <si>
    <t>Variable Dim Name15</t>
  </si>
  <si>
    <t>Variable Dim17Special Rules</t>
  </si>
  <si>
    <t>Variable Dim Name19</t>
  </si>
  <si>
    <t>Storage Field3</t>
  </si>
  <si>
    <t>Storage Field7</t>
  </si>
  <si>
    <t>Storage Field15 Name</t>
  </si>
  <si>
    <t>Period Type</t>
  </si>
  <si>
    <t>ChartHide</t>
  </si>
  <si>
    <t>DGData</t>
  </si>
  <si>
    <t>IGColLabelRange</t>
  </si>
  <si>
    <t>LIDActualDataRange</t>
  </si>
  <si>
    <t>LIDDisplayLabel</t>
  </si>
  <si>
    <t>TotalGridHeadings</t>
  </si>
  <si>
    <t xml:space="preserve">Bonds Payable                                     </t>
  </si>
  <si>
    <t xml:space="preserve">Fund Balance-Auxiliary                            </t>
  </si>
  <si>
    <t xml:space="preserve">Fund Balance-Designated                           </t>
  </si>
  <si>
    <t>Balance Sheet</t>
  </si>
  <si>
    <t>Created Date</t>
  </si>
  <si>
    <t>Dim0</t>
  </si>
  <si>
    <t>Dim4</t>
  </si>
  <si>
    <t>Dim5Text</t>
  </si>
  <si>
    <t>Dim7Special Rules</t>
  </si>
  <si>
    <t>Variable Dim Name0</t>
  </si>
  <si>
    <t>Variable Dim1Special Rules</t>
  </si>
  <si>
    <t>Variable Dim Name4</t>
  </si>
  <si>
    <t>Variable Dim13Text</t>
  </si>
  <si>
    <t>Variable Dim19Special Rules</t>
  </si>
  <si>
    <t>Storage Field4 Name</t>
  </si>
  <si>
    <t>DGCol Label</t>
  </si>
  <si>
    <t>MinChart</t>
  </si>
  <si>
    <t>EnableCustomSpreading</t>
  </si>
  <si>
    <t>Total Net Assets Without Donor Restrictions</t>
  </si>
  <si>
    <t xml:space="preserve">Cash on hand and in commercial accounts           </t>
  </si>
  <si>
    <t xml:space="preserve">Other Accrued Liablities                          </t>
  </si>
  <si>
    <t>Fixed Assets</t>
  </si>
  <si>
    <t>InfoManager Number</t>
  </si>
  <si>
    <t>Dim Label2</t>
  </si>
  <si>
    <t>Dim4Text</t>
  </si>
  <si>
    <t>Dim Label6</t>
  </si>
  <si>
    <t>Dim8</t>
  </si>
  <si>
    <t>Dim9Special Rules</t>
  </si>
  <si>
    <t>Variable Dim2</t>
  </si>
  <si>
    <t>Variable Dim3Special Rules</t>
  </si>
  <si>
    <t>Variable Dim Name8</t>
  </si>
  <si>
    <t>Variable Dim9Text</t>
  </si>
  <si>
    <t>Variable Dim12</t>
  </si>
  <si>
    <t>Variable Dim15Relate to data</t>
  </si>
  <si>
    <t>Variable Dim16</t>
  </si>
  <si>
    <t>Storage Field10</t>
  </si>
  <si>
    <t>Storage Field14 Name</t>
  </si>
  <si>
    <t>SaveType</t>
  </si>
  <si>
    <t>FormatType</t>
  </si>
  <si>
    <t>For The Period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</si>
</sst>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0" fontId="2" fillId="0" borderId="0" xfId="0" applyFont="1"/>
    <xf numFmtId="165" fontId="2" fillId="0" borderId="4" xfId="1" applyNumberFormat="1" applyFont="1" applyFill="1" applyBorder="1"/>
    <xf numFmtId="0" fontId="1" fillId="0" borderId="5" xfId="0" applyFont="1" applyFill="1" applyBorder="1"/>
    <xf numFmtId="0" fontId="3" fillId="3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/>
    <xf numFmtId="0" fontId="3" fillId="3" borderId="0" xfId="0" applyFont="1" applyFill="1"/>
    <xf numFmtId="0" fontId="4" fillId="0" borderId="3" xfId="0" applyFont="1" applyFill="1" applyBorder="1"/>
    <xf numFmtId="165" fontId="0" fillId="0" borderId="4" xfId="1" applyNumberFormat="1" applyFont="1" applyFill="1" applyBorder="1"/>
    <xf numFmtId="0" fontId="4" fillId="0" borderId="0" xfId="0" applyFont="1" applyFill="1" applyBorder="1"/>
    <xf numFmtId="0" fontId="3" fillId="4" borderId="0" xfId="0" applyFont="1" applyFill="1"/>
    <xf numFmtId="0" fontId="0" fillId="0" borderId="5" xfId="0" applyFont="1" applyFill="1" applyBorder="1"/>
    <xf numFmtId="165" fontId="1" fillId="0" borderId="6" xfId="1" applyNumberFormat="1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0" fillId="0" borderId="0" xfId="0" applyFont="1"/>
    <xf numFmtId="0" fontId="6" fillId="3" borderId="0" xfId="0" applyFont="1" applyFill="1"/>
    <xf numFmtId="164" fontId="1" fillId="0" borderId="0" xfId="0" applyNumberFormat="1" applyFont="1" applyAlignment="1">
      <alignment horizontal="left" vertical="top"/>
    </xf>
    <xf numFmtId="165" fontId="1" fillId="0" borderId="0" xfId="1" applyNumberFormat="1" applyFont="1"/>
    <xf numFmtId="0" fontId="1" fillId="0" borderId="0" xfId="0" applyFont="1" applyAlignment="1">
      <alignment horizontal="center"/>
    </xf>
    <xf numFmtId="165" fontId="3" fillId="4" borderId="9" xfId="1" applyNumberFormat="1" applyFont="1" applyFill="1" applyBorder="1"/>
    <xf numFmtId="166" fontId="3" fillId="3" borderId="10" xfId="2" applyNumberFormat="1" applyFont="1" applyFill="1" applyBorder="1"/>
    <xf numFmtId="0" fontId="3" fillId="4" borderId="0" xfId="0" applyFont="1" applyFill="1" applyAlignment="1">
      <alignment horizontal="left"/>
    </xf>
    <xf numFmtId="165" fontId="0" fillId="0" borderId="11" xfId="1" applyNumberFormat="1" applyFont="1" applyFill="1" applyBorder="1"/>
    <xf numFmtId="0" fontId="7" fillId="0" borderId="0" xfId="0" applyFont="1"/>
    <xf numFmtId="0" fontId="6" fillId="4" borderId="0" xfId="0" applyFont="1" applyFill="1"/>
    <xf numFmtId="0" fontId="5" fillId="0" borderId="0" xfId="0" applyFont="1"/>
    <xf numFmtId="165" fontId="1" fillId="0" borderId="11" xfId="1" applyNumberFormat="1" applyFont="1" applyFill="1" applyBorder="1"/>
    <xf numFmtId="0" fontId="2" fillId="0" borderId="3" xfId="0" applyFont="1" applyFill="1" applyBorder="1"/>
    <xf numFmtId="0" fontId="0" fillId="0" borderId="0" xfId="0" applyFont="1" applyAlignment="1">
      <alignment horizontal="centerContinuous"/>
    </xf>
    <xf numFmtId="166" fontId="3" fillId="3" borderId="2" xfId="2" applyNumberFormat="1" applyFont="1" applyFill="1" applyBorder="1"/>
    <xf numFmtId="0" fontId="1" fillId="0" borderId="0" xfId="0" applyFont="1" applyAlignment="1">
      <alignment horizontal="left"/>
    </xf>
    <xf numFmtId="165" fontId="8" fillId="0" borderId="0" xfId="1" applyNumberFormat="1" applyFont="1"/>
    <xf numFmtId="0" fontId="5" fillId="0" borderId="0" xfId="0" applyFont="1" applyAlignment="1">
      <alignment horizontal="left"/>
    </xf>
    <xf numFmtId="165" fontId="9" fillId="0" borderId="0" xfId="1" applyNumberFormat="1" applyFont="1" applyFill="1"/>
    <xf numFmtId="165" fontId="0" fillId="0" borderId="0" xfId="1" applyNumberFormat="1" applyFont="1"/>
    <xf numFmtId="165" fontId="0" fillId="0" borderId="0" xfId="1" applyNumberFormat="1" applyFont="1" applyAlignment="1">
      <alignment horizontal="centerContinuous"/>
    </xf>
    <xf numFmtId="0" fontId="8" fillId="0" borderId="0" xfId="0" applyFont="1"/>
    <xf numFmtId="0" fontId="10" fillId="0" borderId="0" xfId="0" applyFont="1"/>
    <xf numFmtId="0" fontId="0" fillId="0" borderId="3" xfId="0" applyFont="1" applyFill="1" applyBorder="1"/>
    <xf numFmtId="0" fontId="0" fillId="0" borderId="0" xfId="0" applyFont="1" applyAlignment="1">
      <alignment horizontal="center"/>
    </xf>
    <xf numFmtId="49" fontId="0" fillId="2" borderId="1" xfId="0" applyNumberForma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left"/>
    </xf>
    <xf numFmtId="49" fontId="0" fillId="0" borderId="0" xfId="0" applyNumberFormat="1"/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3"/>
  <sheetViews>
    <sheetView workbookViewId="0"/>
  </sheetViews>
  <sheetFormatPr defaultRowHeight="15" x14ac:dyDescent="0.25"/>
  <cols>
    <col min="1" max="130" width="20.7109375" customWidth="1"/>
  </cols>
  <sheetData>
    <row r="1" spans="1:130" x14ac:dyDescent="0.25">
      <c r="B1">
        <v>4</v>
      </c>
    </row>
    <row r="3" spans="1:130" ht="30" x14ac:dyDescent="0.25">
      <c r="A3" s="1" t="s">
        <v>182</v>
      </c>
      <c r="B3" s="1" t="s">
        <v>198</v>
      </c>
      <c r="C3" s="1" t="s">
        <v>239</v>
      </c>
      <c r="D3" s="1" t="s">
        <v>100</v>
      </c>
      <c r="E3" s="1" t="s">
        <v>159</v>
      </c>
      <c r="F3" s="1" t="s">
        <v>0</v>
      </c>
      <c r="G3" s="1" t="s">
        <v>183</v>
      </c>
      <c r="H3" s="1" t="s">
        <v>51</v>
      </c>
      <c r="I3" s="1" t="s">
        <v>101</v>
      </c>
      <c r="J3" s="1" t="s">
        <v>215</v>
      </c>
      <c r="K3" s="1" t="s">
        <v>137</v>
      </c>
      <c r="L3" s="1" t="s">
        <v>216</v>
      </c>
      <c r="M3" s="1" t="s">
        <v>78</v>
      </c>
      <c r="N3" s="1" t="s">
        <v>79</v>
      </c>
      <c r="O3" s="1" t="s">
        <v>184</v>
      </c>
      <c r="P3" s="1" t="s">
        <v>199</v>
      </c>
      <c r="Q3" s="1" t="s">
        <v>17</v>
      </c>
      <c r="R3" s="1" t="s">
        <v>18</v>
      </c>
      <c r="S3" s="1" t="s">
        <v>52</v>
      </c>
      <c r="T3" s="1" t="s">
        <v>217</v>
      </c>
      <c r="U3" s="1" t="s">
        <v>270</v>
      </c>
      <c r="V3" s="1" t="s">
        <v>291</v>
      </c>
      <c r="W3" s="1" t="s">
        <v>185</v>
      </c>
      <c r="X3" s="1" t="s">
        <v>271</v>
      </c>
      <c r="Y3" s="1" t="s">
        <v>103</v>
      </c>
      <c r="Z3" s="1" t="s">
        <v>253</v>
      </c>
      <c r="AA3" s="1" t="s">
        <v>160</v>
      </c>
      <c r="AB3" s="1" t="s">
        <v>272</v>
      </c>
      <c r="AC3" s="1" t="s">
        <v>19</v>
      </c>
      <c r="AD3" s="1" t="s">
        <v>104</v>
      </c>
      <c r="AE3" s="1" t="s">
        <v>161</v>
      </c>
      <c r="AF3" s="1" t="s">
        <v>105</v>
      </c>
      <c r="AG3" s="1" t="s">
        <v>200</v>
      </c>
      <c r="AH3" s="1" t="s">
        <v>37</v>
      </c>
      <c r="AI3" s="1" t="s">
        <v>273</v>
      </c>
      <c r="AJ3" s="1" t="s">
        <v>274</v>
      </c>
      <c r="AK3" s="1" t="s">
        <v>80</v>
      </c>
      <c r="AL3" s="1" t="s">
        <v>254</v>
      </c>
      <c r="AM3" s="1" t="s">
        <v>255</v>
      </c>
      <c r="AN3" s="1" t="s">
        <v>234</v>
      </c>
      <c r="AO3" s="1" t="s">
        <v>313</v>
      </c>
      <c r="AP3" s="1" t="s">
        <v>314</v>
      </c>
      <c r="AQ3" s="1" t="s">
        <v>124</v>
      </c>
      <c r="AR3" s="1" t="s">
        <v>186</v>
      </c>
      <c r="AS3" s="1" t="s">
        <v>235</v>
      </c>
      <c r="AT3" s="1" t="s">
        <v>275</v>
      </c>
      <c r="AU3" s="1" t="s">
        <v>218</v>
      </c>
      <c r="AV3" s="1" t="s">
        <v>123</v>
      </c>
      <c r="AW3" s="1" t="s">
        <v>102</v>
      </c>
      <c r="AX3" s="1" t="s">
        <v>292</v>
      </c>
      <c r="AY3" s="1" t="s">
        <v>20</v>
      </c>
      <c r="AZ3" s="1" t="s">
        <v>293</v>
      </c>
      <c r="BA3" s="1" t="s">
        <v>280</v>
      </c>
      <c r="BB3" s="1" t="s">
        <v>110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L10002"/>
  <sheetViews>
    <sheetView workbookViewId="0"/>
  </sheetViews>
  <sheetFormatPr defaultRowHeight="15" x14ac:dyDescent="0.25"/>
  <cols>
    <col min="1" max="220" width="20.7109375" customWidth="1"/>
    <col min="221" max="221" width="20.7109375" style="55" customWidth="1"/>
    <col min="222" max="223" width="20.7109375" customWidth="1"/>
  </cols>
  <sheetData>
    <row r="1" spans="1:272" x14ac:dyDescent="0.25">
      <c r="D1">
        <v>4</v>
      </c>
    </row>
    <row r="2" spans="1:272" x14ac:dyDescent="0.25">
      <c r="JK2">
        <v>271</v>
      </c>
      <c r="JL2">
        <v>4</v>
      </c>
    </row>
    <row r="3" spans="1:272" ht="30" x14ac:dyDescent="0.25">
      <c r="A3" s="1" t="s">
        <v>239</v>
      </c>
      <c r="B3" s="1" t="s">
        <v>298</v>
      </c>
      <c r="C3" s="1" t="s">
        <v>0</v>
      </c>
      <c r="D3" s="1" t="s">
        <v>59</v>
      </c>
      <c r="E3" s="1" t="s">
        <v>84</v>
      </c>
      <c r="F3" s="1" t="s">
        <v>23</v>
      </c>
      <c r="G3" s="1" t="s">
        <v>128</v>
      </c>
      <c r="H3" s="1" t="s">
        <v>165</v>
      </c>
      <c r="I3" s="1" t="s">
        <v>109</v>
      </c>
      <c r="J3" s="1" t="s">
        <v>240</v>
      </c>
      <c r="K3" s="1" t="s">
        <v>129</v>
      </c>
      <c r="L3" s="1" t="s">
        <v>24</v>
      </c>
      <c r="M3" s="1" t="s">
        <v>60</v>
      </c>
      <c r="N3" s="1" t="s">
        <v>39</v>
      </c>
      <c r="O3" s="1" t="s">
        <v>61</v>
      </c>
      <c r="P3" s="1" t="s">
        <v>166</v>
      </c>
      <c r="Q3" s="1" t="s">
        <v>25</v>
      </c>
      <c r="R3" s="1" t="s">
        <v>187</v>
      </c>
      <c r="S3" s="1" t="s">
        <v>188</v>
      </c>
      <c r="T3" s="1" t="s">
        <v>202</v>
      </c>
      <c r="U3" s="1" t="s">
        <v>26</v>
      </c>
      <c r="V3" s="1" t="s">
        <v>241</v>
      </c>
      <c r="W3" s="1" t="s">
        <v>258</v>
      </c>
      <c r="X3" s="1" t="s">
        <v>203</v>
      </c>
      <c r="Y3" s="1" t="s">
        <v>189</v>
      </c>
      <c r="Z3" s="1" t="s">
        <v>1</v>
      </c>
      <c r="AA3" s="1" t="s">
        <v>281</v>
      </c>
      <c r="AB3" s="1" t="s">
        <v>130</v>
      </c>
      <c r="AC3" s="1" t="s">
        <v>111</v>
      </c>
      <c r="AD3" s="1" t="s">
        <v>40</v>
      </c>
      <c r="AE3" s="1" t="s">
        <v>85</v>
      </c>
      <c r="AF3" s="1" t="s">
        <v>41</v>
      </c>
      <c r="AG3" s="1" t="s">
        <v>219</v>
      </c>
      <c r="AH3" s="1" t="s">
        <v>167</v>
      </c>
      <c r="AI3" s="1" t="s">
        <v>204</v>
      </c>
      <c r="AJ3" s="1" t="s">
        <v>63</v>
      </c>
      <c r="AK3" s="1" t="s">
        <v>131</v>
      </c>
      <c r="AL3" s="1" t="s">
        <v>299</v>
      </c>
      <c r="AM3" s="1" t="s">
        <v>205</v>
      </c>
      <c r="AN3" s="1" t="s">
        <v>64</v>
      </c>
      <c r="AO3" s="1" t="s">
        <v>27</v>
      </c>
      <c r="AP3" s="1" t="s">
        <v>206</v>
      </c>
      <c r="AQ3" s="1" t="s">
        <v>65</v>
      </c>
      <c r="AR3" s="1" t="s">
        <v>259</v>
      </c>
      <c r="AS3" s="1" t="s">
        <v>220</v>
      </c>
      <c r="AT3" s="1" t="s">
        <v>3</v>
      </c>
      <c r="AU3" s="1" t="s">
        <v>282</v>
      </c>
      <c r="AV3" s="1" t="s">
        <v>142</v>
      </c>
      <c r="AW3" s="1" t="s">
        <v>4</v>
      </c>
      <c r="AX3" s="1" t="s">
        <v>86</v>
      </c>
      <c r="AY3" s="1" t="s">
        <v>300</v>
      </c>
      <c r="AZ3" s="1" t="s">
        <v>66</v>
      </c>
      <c r="BA3" s="1" t="s">
        <v>221</v>
      </c>
      <c r="BB3" s="1" t="s">
        <v>67</v>
      </c>
      <c r="BC3" s="1" t="s">
        <v>242</v>
      </c>
      <c r="BD3" s="1" t="s">
        <v>283</v>
      </c>
      <c r="BE3" s="1" t="s">
        <v>143</v>
      </c>
      <c r="BF3" s="1" t="s">
        <v>301</v>
      </c>
      <c r="BG3" s="1" t="s">
        <v>112</v>
      </c>
      <c r="BH3" s="1" t="s">
        <v>113</v>
      </c>
      <c r="BI3" s="1" t="s">
        <v>243</v>
      </c>
      <c r="BJ3" s="1" t="s">
        <v>222</v>
      </c>
      <c r="BK3" s="1" t="s">
        <v>68</v>
      </c>
      <c r="BL3" s="1" t="s">
        <v>168</v>
      </c>
      <c r="BM3" s="1" t="s">
        <v>284</v>
      </c>
      <c r="BN3" s="1" t="s">
        <v>223</v>
      </c>
      <c r="BO3" s="1" t="s">
        <v>302</v>
      </c>
      <c r="BP3" s="1" t="s">
        <v>144</v>
      </c>
      <c r="BQ3" s="1" t="s">
        <v>224</v>
      </c>
      <c r="BR3" s="1" t="s">
        <v>132</v>
      </c>
      <c r="BS3" s="1" t="s">
        <v>207</v>
      </c>
      <c r="BT3" s="1" t="s">
        <v>69</v>
      </c>
      <c r="BU3" s="1" t="s">
        <v>225</v>
      </c>
      <c r="BV3" s="1" t="s">
        <v>260</v>
      </c>
      <c r="BW3" s="1" t="s">
        <v>303</v>
      </c>
      <c r="BX3" s="1" t="s">
        <v>169</v>
      </c>
      <c r="BY3" s="1" t="s">
        <v>285</v>
      </c>
      <c r="BZ3" s="1" t="s">
        <v>145</v>
      </c>
      <c r="CA3" s="1" t="s">
        <v>5</v>
      </c>
      <c r="CB3" s="1" t="s">
        <v>114</v>
      </c>
      <c r="CC3" s="1" t="s">
        <v>208</v>
      </c>
      <c r="CD3" s="1" t="s">
        <v>42</v>
      </c>
      <c r="CE3" s="1" t="s">
        <v>226</v>
      </c>
      <c r="CF3" s="1" t="s">
        <v>43</v>
      </c>
      <c r="CG3" s="1" t="s">
        <v>286</v>
      </c>
      <c r="CH3" s="1" t="s">
        <v>190</v>
      </c>
      <c r="CI3" s="1" t="s">
        <v>133</v>
      </c>
      <c r="CJ3" s="1" t="s">
        <v>304</v>
      </c>
      <c r="CK3" s="1" t="s">
        <v>115</v>
      </c>
      <c r="CL3" s="1" t="s">
        <v>146</v>
      </c>
      <c r="CM3" s="1" t="s">
        <v>147</v>
      </c>
      <c r="CN3" s="1" t="s">
        <v>209</v>
      </c>
      <c r="CO3" s="1" t="s">
        <v>87</v>
      </c>
      <c r="CP3" s="1" t="s">
        <v>170</v>
      </c>
      <c r="CQ3" s="1" t="s">
        <v>305</v>
      </c>
      <c r="CR3" s="1" t="s">
        <v>134</v>
      </c>
      <c r="CS3" s="1" t="s">
        <v>287</v>
      </c>
      <c r="CT3" s="1" t="s">
        <v>171</v>
      </c>
      <c r="CU3" s="1" t="s">
        <v>227</v>
      </c>
      <c r="CV3" s="1" t="s">
        <v>172</v>
      </c>
      <c r="CW3" s="1" t="s">
        <v>116</v>
      </c>
      <c r="CX3" s="1" t="s">
        <v>44</v>
      </c>
      <c r="CY3" s="1" t="s">
        <v>244</v>
      </c>
      <c r="CZ3" s="1" t="s">
        <v>261</v>
      </c>
      <c r="DA3" s="1" t="s">
        <v>6</v>
      </c>
      <c r="DB3" s="1" t="s">
        <v>88</v>
      </c>
      <c r="DC3" s="1" t="s">
        <v>148</v>
      </c>
      <c r="DD3" s="1" t="s">
        <v>7</v>
      </c>
      <c r="DE3" s="1" t="s">
        <v>8</v>
      </c>
      <c r="DF3" s="1" t="s">
        <v>191</v>
      </c>
      <c r="DG3" s="1" t="s">
        <v>45</v>
      </c>
      <c r="DH3" s="1" t="s">
        <v>228</v>
      </c>
      <c r="DI3" s="1" t="s">
        <v>89</v>
      </c>
      <c r="DJ3" s="1" t="s">
        <v>70</v>
      </c>
      <c r="DK3" s="1" t="s">
        <v>28</v>
      </c>
      <c r="DL3" s="1" t="s">
        <v>29</v>
      </c>
      <c r="DM3" s="1" t="s">
        <v>306</v>
      </c>
      <c r="DN3" s="1" t="s">
        <v>173</v>
      </c>
      <c r="DO3" s="1" t="s">
        <v>135</v>
      </c>
      <c r="DP3" s="1" t="s">
        <v>210</v>
      </c>
      <c r="DQ3" s="1" t="s">
        <v>9</v>
      </c>
      <c r="DR3" s="1" t="s">
        <v>71</v>
      </c>
      <c r="DS3" s="1" t="s">
        <v>245</v>
      </c>
      <c r="DT3" s="1" t="s">
        <v>174</v>
      </c>
      <c r="DU3" s="1" t="s">
        <v>72</v>
      </c>
      <c r="DV3" s="1" t="s">
        <v>307</v>
      </c>
      <c r="DW3" s="1" t="s">
        <v>175</v>
      </c>
      <c r="DX3" s="1" t="s">
        <v>149</v>
      </c>
      <c r="DY3" s="1" t="s">
        <v>30</v>
      </c>
      <c r="DZ3" s="1" t="s">
        <v>31</v>
      </c>
      <c r="EA3" s="1" t="s">
        <v>46</v>
      </c>
      <c r="EB3" s="1" t="s">
        <v>246</v>
      </c>
      <c r="EC3" s="1" t="s">
        <v>229</v>
      </c>
      <c r="ED3" s="1" t="s">
        <v>90</v>
      </c>
      <c r="EE3" s="1" t="s">
        <v>192</v>
      </c>
      <c r="EF3" s="1" t="s">
        <v>32</v>
      </c>
      <c r="EG3" s="1" t="s">
        <v>10</v>
      </c>
      <c r="EH3" s="1" t="s">
        <v>308</v>
      </c>
      <c r="EI3" s="1" t="s">
        <v>150</v>
      </c>
      <c r="EJ3" s="1" t="s">
        <v>47</v>
      </c>
      <c r="EK3" s="1" t="s">
        <v>11</v>
      </c>
      <c r="EL3" s="1" t="s">
        <v>91</v>
      </c>
      <c r="EM3" s="1" t="s">
        <v>73</v>
      </c>
      <c r="EN3" s="1" t="s">
        <v>211</v>
      </c>
      <c r="EO3" s="1" t="s">
        <v>230</v>
      </c>
      <c r="EP3" s="1" t="s">
        <v>288</v>
      </c>
      <c r="EQ3" s="1" t="s">
        <v>176</v>
      </c>
      <c r="ER3" s="1" t="s">
        <v>151</v>
      </c>
      <c r="ES3" s="1" t="s">
        <v>247</v>
      </c>
      <c r="ET3" s="1" t="s">
        <v>74</v>
      </c>
      <c r="EU3" s="1" t="s">
        <v>262</v>
      </c>
      <c r="EV3" s="1" t="s">
        <v>263</v>
      </c>
      <c r="EW3" s="1" t="s">
        <v>231</v>
      </c>
      <c r="EX3" s="1" t="s">
        <v>309</v>
      </c>
      <c r="EY3" s="1" t="s">
        <v>248</v>
      </c>
      <c r="EZ3" s="1" t="s">
        <v>249</v>
      </c>
      <c r="FA3" s="1" t="s">
        <v>33</v>
      </c>
      <c r="FB3" s="1" t="s">
        <v>310</v>
      </c>
      <c r="FC3" s="1" t="s">
        <v>48</v>
      </c>
      <c r="FD3" s="1" t="s">
        <v>92</v>
      </c>
      <c r="FE3" s="1" t="s">
        <v>232</v>
      </c>
      <c r="FF3" s="1" t="s">
        <v>117</v>
      </c>
      <c r="FG3" s="1" t="s">
        <v>93</v>
      </c>
      <c r="FH3" s="1" t="s">
        <v>94</v>
      </c>
      <c r="FI3" s="1" t="s">
        <v>264</v>
      </c>
      <c r="FJ3" s="1" t="s">
        <v>193</v>
      </c>
      <c r="FK3" s="1" t="s">
        <v>194</v>
      </c>
      <c r="FL3" s="1" t="s">
        <v>177</v>
      </c>
      <c r="FM3" s="1" t="s">
        <v>152</v>
      </c>
      <c r="FN3" s="1" t="s">
        <v>118</v>
      </c>
      <c r="FO3" s="1" t="s">
        <v>178</v>
      </c>
      <c r="FP3" s="1" t="s">
        <v>265</v>
      </c>
      <c r="FQ3" s="1" t="s">
        <v>250</v>
      </c>
      <c r="FR3" s="1" t="s">
        <v>212</v>
      </c>
      <c r="FS3" s="1" t="s">
        <v>289</v>
      </c>
      <c r="FT3" s="1" t="s">
        <v>153</v>
      </c>
      <c r="FU3" s="1" t="s">
        <v>12</v>
      </c>
      <c r="FV3" s="1" t="s">
        <v>195</v>
      </c>
      <c r="FW3" s="1" t="s">
        <v>95</v>
      </c>
      <c r="FX3" s="1" t="s">
        <v>154</v>
      </c>
      <c r="FY3" s="1" t="s">
        <v>179</v>
      </c>
      <c r="FZ3" s="1" t="s">
        <v>96</v>
      </c>
      <c r="GA3" s="1" t="s">
        <v>266</v>
      </c>
      <c r="GB3" s="1" t="s">
        <v>34</v>
      </c>
      <c r="GC3" s="1" t="s">
        <v>35</v>
      </c>
      <c r="GD3" s="1" t="s">
        <v>290</v>
      </c>
      <c r="GE3" s="1" t="s">
        <v>119</v>
      </c>
      <c r="GF3" s="1" t="s">
        <v>233</v>
      </c>
      <c r="GG3" s="1" t="s">
        <v>196</v>
      </c>
      <c r="GH3" s="1" t="s">
        <v>197</v>
      </c>
      <c r="GI3" s="1" t="s">
        <v>267</v>
      </c>
      <c r="GJ3" s="1" t="s">
        <v>136</v>
      </c>
      <c r="GK3" s="1" t="s">
        <v>36</v>
      </c>
      <c r="GL3" s="1" t="s">
        <v>75</v>
      </c>
      <c r="GM3" s="1" t="s">
        <v>120</v>
      </c>
      <c r="GN3" s="1" t="s">
        <v>13</v>
      </c>
      <c r="GO3" s="1" t="s">
        <v>311</v>
      </c>
      <c r="GP3" s="1" t="s">
        <v>213</v>
      </c>
      <c r="GQ3" s="1" t="s">
        <v>76</v>
      </c>
      <c r="GR3" s="1" t="s">
        <v>180</v>
      </c>
      <c r="GS3" s="1" t="s">
        <v>155</v>
      </c>
      <c r="GT3" s="1" t="s">
        <v>121</v>
      </c>
      <c r="GU3" s="1" t="s">
        <v>251</v>
      </c>
      <c r="GV3" s="1" t="s">
        <v>49</v>
      </c>
      <c r="GW3" s="1" t="s">
        <v>14</v>
      </c>
      <c r="GX3" s="1" t="s">
        <v>312</v>
      </c>
      <c r="GY3" s="1" t="s">
        <v>97</v>
      </c>
      <c r="GZ3" s="1" t="s">
        <v>268</v>
      </c>
      <c r="HA3" s="1" t="s">
        <v>181</v>
      </c>
      <c r="HB3" s="1" t="s">
        <v>214</v>
      </c>
      <c r="HC3" s="1" t="s">
        <v>252</v>
      </c>
      <c r="HD3" s="1" t="s">
        <v>156</v>
      </c>
      <c r="HE3" s="1" t="s">
        <v>15</v>
      </c>
      <c r="HF3" s="1" t="s">
        <v>98</v>
      </c>
      <c r="HG3" s="1" t="s">
        <v>99</v>
      </c>
      <c r="HH3" s="1" t="s">
        <v>50</v>
      </c>
      <c r="HI3" s="1" t="s">
        <v>122</v>
      </c>
      <c r="HJ3" s="1" t="s">
        <v>269</v>
      </c>
      <c r="HK3" s="1"/>
      <c r="HL3" s="1" t="s">
        <v>2</v>
      </c>
      <c r="HM3" s="53"/>
      <c r="HN3" s="1" t="s">
        <v>280</v>
      </c>
      <c r="HO3" s="1" t="s">
        <v>110</v>
      </c>
      <c r="HP3" t="s">
        <v>62</v>
      </c>
      <c r="JK3" s="1" t="s">
        <v>16</v>
      </c>
      <c r="JL3" s="1" t="s">
        <v>157</v>
      </c>
    </row>
    <row r="10001" spans="271:272" x14ac:dyDescent="0.25">
      <c r="JK10001">
        <v>271</v>
      </c>
      <c r="JL10001">
        <v>10003</v>
      </c>
    </row>
    <row r="10002" spans="271:272" ht="45" x14ac:dyDescent="0.25">
      <c r="JK10002" s="1" t="s">
        <v>77</v>
      </c>
      <c r="JL10002" s="1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2:H238"/>
  <sheetViews>
    <sheetView tabSelected="1" topLeftCell="A7" zoomScale="90" workbookViewId="0">
      <selection activeCell="F213" sqref="F213"/>
    </sheetView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7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1"/>
      <c r="D2" s="31"/>
      <c r="E2" s="52"/>
      <c r="F2" s="43" t="s">
        <v>22</v>
      </c>
      <c r="G2" s="48"/>
      <c r="H2" s="41"/>
    </row>
    <row r="3" spans="1:8" x14ac:dyDescent="0.25">
      <c r="C3" s="31"/>
      <c r="D3" s="31"/>
      <c r="E3" s="52"/>
      <c r="F3" s="43" t="s">
        <v>279</v>
      </c>
      <c r="G3" s="48"/>
      <c r="H3" s="41"/>
    </row>
    <row r="4" spans="1:8" x14ac:dyDescent="0.25">
      <c r="C4" s="29"/>
      <c r="D4" s="29"/>
      <c r="E4" s="29"/>
      <c r="F4" s="43" t="s">
        <v>315</v>
      </c>
      <c r="G4" s="48"/>
      <c r="H4" s="41"/>
    </row>
    <row r="5" spans="1:8" x14ac:dyDescent="0.25">
      <c r="C5" s="29"/>
      <c r="D5" s="29"/>
      <c r="E5" s="29"/>
      <c r="F5" s="54">
        <v>44377</v>
      </c>
      <c r="G5" s="48"/>
      <c r="H5" s="41"/>
    </row>
    <row r="7" spans="1:8" ht="15.75" thickBot="1" x14ac:dyDescent="0.3">
      <c r="B7" s="15" t="s">
        <v>126</v>
      </c>
      <c r="C7" s="18"/>
      <c r="D7" s="18"/>
      <c r="E7" s="28"/>
      <c r="F7" s="28"/>
      <c r="G7" s="42"/>
      <c r="H7" s="8"/>
    </row>
    <row r="8" spans="1:8" x14ac:dyDescent="0.25">
      <c r="B8" s="2"/>
      <c r="C8" s="25" t="s">
        <v>201</v>
      </c>
      <c r="D8" s="14"/>
      <c r="E8" s="23"/>
      <c r="F8" s="23"/>
      <c r="G8" s="20"/>
      <c r="H8" s="8"/>
    </row>
    <row r="9" spans="1:8" s="5" customFormat="1" x14ac:dyDescent="0.25">
      <c r="B9" s="2"/>
      <c r="C9" s="9"/>
      <c r="D9" s="3" t="s">
        <v>127</v>
      </c>
      <c r="E9" s="3"/>
      <c r="F9" s="3"/>
      <c r="G9" s="11">
        <f>SUM(OSRRefG10x_0)</f>
        <v>15416166.73</v>
      </c>
      <c r="H9" s="2"/>
    </row>
    <row r="10" spans="1:8" outlineLevel="1" collapsed="1" x14ac:dyDescent="0.25">
      <c r="B10" s="2"/>
      <c r="C10" s="9"/>
      <c r="D10" s="3"/>
      <c r="E10" s="7" t="s">
        <v>295</v>
      </c>
      <c r="F10" s="7"/>
      <c r="G10" s="20">
        <f>SUM(OSRRefG11_0x_0)</f>
        <v>4693610.17</v>
      </c>
      <c r="H10" s="8"/>
    </row>
    <row r="11" spans="1:8" s="12" customFormat="1" hidden="1" outlineLevel="2" x14ac:dyDescent="0.25">
      <c r="A11" s="17"/>
      <c r="B11" s="16"/>
      <c r="C11" s="19"/>
      <c r="D11" s="21"/>
      <c r="F11" s="4" t="str">
        <f>CONCATENATE("1101", " - ", "VAULT FUND")</f>
        <v>1101 - VAULT FUND</v>
      </c>
      <c r="G11" s="13">
        <v>78333.72</v>
      </c>
      <c r="H11" s="10"/>
    </row>
    <row r="12" spans="1:8" s="12" customFormat="1" hidden="1" outlineLevel="2" x14ac:dyDescent="0.25">
      <c r="A12" s="17"/>
      <c r="B12" s="16"/>
      <c r="C12" s="19"/>
      <c r="D12" s="21"/>
      <c r="F12" s="4" t="str">
        <f>CONCATENATE("1102", " - ", "IMPREST FUND-FOOD SVC")</f>
        <v>1102 - IMPREST FUND-FOOD SVC</v>
      </c>
      <c r="G12" s="13">
        <v>100</v>
      </c>
      <c r="H12" s="10"/>
    </row>
    <row r="13" spans="1:8" s="12" customFormat="1" hidden="1" outlineLevel="2" x14ac:dyDescent="0.25">
      <c r="A13" s="17"/>
      <c r="B13" s="16"/>
      <c r="C13" s="19"/>
      <c r="D13" s="21"/>
      <c r="F13" s="4" t="str">
        <f>CONCATENATE("1103", " - ", "IMPREST FUND-BOOKSTORE")</f>
        <v>1103 - IMPREST FUND-BOOKSTORE</v>
      </c>
      <c r="G13" s="13">
        <v>1336</v>
      </c>
      <c r="H13" s="10"/>
    </row>
    <row r="14" spans="1:8" s="12" customFormat="1" hidden="1" outlineLevel="2" x14ac:dyDescent="0.25">
      <c r="A14" s="17"/>
      <c r="B14" s="16"/>
      <c r="C14" s="19"/>
      <c r="D14" s="21"/>
      <c r="F14" s="4" t="str">
        <f>CONCATENATE("1104", " - ", "PETTY CASH FUND")</f>
        <v>1104 - PETTY CASH FUND</v>
      </c>
      <c r="G14" s="13">
        <v>2500</v>
      </c>
      <c r="H14" s="10"/>
    </row>
    <row r="15" spans="1:8" s="12" customFormat="1" hidden="1" outlineLevel="2" x14ac:dyDescent="0.25">
      <c r="A15" s="17"/>
      <c r="B15" s="16"/>
      <c r="C15" s="19"/>
      <c r="D15" s="21"/>
      <c r="F15" s="4" t="str">
        <f>CONCATENATE("1105", " - ", "CITY NATIONAL BANK-A/C#1124083")</f>
        <v>1105 - CITY NATIONAL BANK-A/C#1124083</v>
      </c>
      <c r="G15" s="13">
        <v>0</v>
      </c>
      <c r="H15" s="10"/>
    </row>
    <row r="16" spans="1:8" s="12" customFormat="1" hidden="1" outlineLevel="2" x14ac:dyDescent="0.25">
      <c r="A16" s="17"/>
      <c r="B16" s="16"/>
      <c r="C16" s="19"/>
      <c r="D16" s="21"/>
      <c r="F16" s="4" t="str">
        <f>CONCATENATE("1106", " - ", "CITY NATIONAL BANK-GEN. CKG.")</f>
        <v>1106 - CITY NATIONAL BANK-GEN. CKG.</v>
      </c>
      <c r="G16" s="13">
        <v>2199215.79</v>
      </c>
      <c r="H16" s="10"/>
    </row>
    <row r="17" spans="1:8" s="12" customFormat="1" hidden="1" outlineLevel="2" x14ac:dyDescent="0.25">
      <c r="A17" s="17"/>
      <c r="B17" s="16"/>
      <c r="C17" s="19"/>
      <c r="D17" s="21"/>
      <c r="F17" s="4" t="str">
        <f>CONCATENATE("1110", " - ", "CITY NATIONAL BANK-P/R ACCOUNT")</f>
        <v>1110 - CITY NATIONAL BANK-P/R ACCOUNT</v>
      </c>
      <c r="G17" s="13">
        <v>3833.48</v>
      </c>
      <c r="H17" s="10"/>
    </row>
    <row r="18" spans="1:8" s="12" customFormat="1" hidden="1" outlineLevel="2" x14ac:dyDescent="0.25">
      <c r="A18" s="17"/>
      <c r="B18" s="16"/>
      <c r="C18" s="19"/>
      <c r="D18" s="21"/>
      <c r="F18" s="4" t="str">
        <f>CONCATENATE("1111", " - ", "CITY NATIONAL BANK- LADDER ACC")</f>
        <v>1111 - CITY NATIONAL BANK- LADDER ACC</v>
      </c>
      <c r="G18" s="13">
        <v>2408291.1800000002</v>
      </c>
      <c r="H18" s="10"/>
    </row>
    <row r="19" spans="1:8" s="12" customFormat="1" hidden="1" outlineLevel="2" x14ac:dyDescent="0.25">
      <c r="A19" s="17"/>
      <c r="B19" s="16"/>
      <c r="C19" s="19"/>
      <c r="D19" s="21"/>
      <c r="F19" s="4" t="str">
        <f>CONCATENATE("1119", " - ", "CITY NATIONAL BANK-A/C")</f>
        <v>1119 - CITY NATIONAL BANK-A/C</v>
      </c>
      <c r="G19" s="13">
        <v>0</v>
      </c>
      <c r="H19" s="10"/>
    </row>
    <row r="20" spans="1:8" outlineLevel="1" collapsed="1" x14ac:dyDescent="0.25">
      <c r="B20" s="2"/>
      <c r="C20" s="9"/>
      <c r="D20" s="3"/>
      <c r="E20" s="7" t="s">
        <v>81</v>
      </c>
      <c r="F20" s="7"/>
      <c r="G20" s="20">
        <f>SUM(OSRRefG11_1x_0)</f>
        <v>11726202.300000001</v>
      </c>
      <c r="H20" s="8"/>
    </row>
    <row r="21" spans="1:8" s="12" customFormat="1" hidden="1" outlineLevel="2" x14ac:dyDescent="0.25">
      <c r="A21" s="17"/>
      <c r="B21" s="16"/>
      <c r="C21" s="19"/>
      <c r="D21" s="21"/>
      <c r="F21" s="4" t="str">
        <f>CONCATENATE("1112", " - ", "WELLS FARGO BANK-AC#04723-3500")</f>
        <v>1112 - WELLS FARGO BANK-AC#04723-3500</v>
      </c>
      <c r="G21" s="13">
        <v>681590.17</v>
      </c>
      <c r="H21" s="10"/>
    </row>
    <row r="22" spans="1:8" s="12" customFormat="1" hidden="1" outlineLevel="2" x14ac:dyDescent="0.25">
      <c r="A22" s="17"/>
      <c r="B22" s="16"/>
      <c r="C22" s="19"/>
      <c r="D22" s="21"/>
      <c r="F22" s="4" t="str">
        <f>CONCATENATE("1122", " - ", "SICK LEAVE RESERVES")</f>
        <v>1122 - SICK LEAVE RESERVES</v>
      </c>
      <c r="G22" s="13">
        <v>520000</v>
      </c>
      <c r="H22" s="10"/>
    </row>
    <row r="23" spans="1:8" s="12" customFormat="1" hidden="1" outlineLevel="2" x14ac:dyDescent="0.25">
      <c r="A23" s="17"/>
      <c r="B23" s="16"/>
      <c r="C23" s="19"/>
      <c r="D23" s="21"/>
      <c r="F23" s="4" t="str">
        <f>CONCATENATE("1125", " - ", "BEACH CLUB DEPOSITS")</f>
        <v>1125 - BEACH CLUB DEPOSITS</v>
      </c>
      <c r="G23" s="13">
        <v>447861.51</v>
      </c>
      <c r="H23" s="10"/>
    </row>
    <row r="24" spans="1:8" s="12" customFormat="1" hidden="1" outlineLevel="2" x14ac:dyDescent="0.25">
      <c r="A24" s="17"/>
      <c r="B24" s="16"/>
      <c r="C24" s="19"/>
      <c r="D24" s="21"/>
      <c r="F24" s="4" t="str">
        <f>CONCATENATE("1126", " - ", "PERS UNFUNDED LIABILITY")</f>
        <v>1126 - PERS UNFUNDED LIABILITY</v>
      </c>
      <c r="G24" s="13">
        <v>4506551.62</v>
      </c>
      <c r="H24" s="10"/>
    </row>
    <row r="25" spans="1:8" s="12" customFormat="1" hidden="1" outlineLevel="2" x14ac:dyDescent="0.25">
      <c r="A25" s="17"/>
      <c r="B25" s="16"/>
      <c r="C25" s="19"/>
      <c r="D25" s="21"/>
      <c r="F25" s="4" t="str">
        <f>CONCATENATE("1128", " - ", "SRB FUNDING- OUTPOST")</f>
        <v>1128 - SRB FUNDING- OUTPOST</v>
      </c>
      <c r="G25" s="13">
        <v>3070339</v>
      </c>
      <c r="H25" s="10"/>
    </row>
    <row r="26" spans="1:8" s="12" customFormat="1" hidden="1" outlineLevel="2" x14ac:dyDescent="0.25">
      <c r="A26" s="17"/>
      <c r="B26" s="16"/>
      <c r="C26" s="19"/>
      <c r="D26" s="21"/>
      <c r="F26" s="4" t="str">
        <f>CONCATENATE("1129", " - ", "VEBA/POST RETIREMENT MEDICAL")</f>
        <v>1129 - VEBA/POST RETIREMENT MEDICAL</v>
      </c>
      <c r="G26" s="13">
        <v>0</v>
      </c>
      <c r="H26" s="10"/>
    </row>
    <row r="27" spans="1:8" s="12" customFormat="1" hidden="1" outlineLevel="2" x14ac:dyDescent="0.25">
      <c r="A27" s="17"/>
      <c r="B27" s="16"/>
      <c r="C27" s="19"/>
      <c r="D27" s="21"/>
      <c r="F27" s="4" t="str">
        <f>CONCATENATE("1131", " - ", "SBA LOAN #2")</f>
        <v>1131 - SBA LOAN #2</v>
      </c>
      <c r="G27" s="13">
        <v>2000000</v>
      </c>
      <c r="H27" s="10"/>
    </row>
    <row r="28" spans="1:8" s="12" customFormat="1" hidden="1" outlineLevel="2" x14ac:dyDescent="0.25">
      <c r="A28" s="17"/>
      <c r="B28" s="16"/>
      <c r="C28" s="19"/>
      <c r="D28" s="21"/>
      <c r="F28" s="4" t="str">
        <f>CONCATENATE("1132", " - ", "AORMA UNEMPLOYMENT INSURANCE")</f>
        <v>1132 - AORMA UNEMPLOYMENT INSURANCE</v>
      </c>
      <c r="G28" s="13">
        <v>499860</v>
      </c>
      <c r="H28" s="10"/>
    </row>
    <row r="29" spans="1:8" outlineLevel="1" collapsed="1" x14ac:dyDescent="0.25">
      <c r="B29" s="2"/>
      <c r="C29" s="9"/>
      <c r="D29" s="3"/>
      <c r="E29" s="7" t="s">
        <v>53</v>
      </c>
      <c r="F29" s="7"/>
      <c r="G29" s="20">
        <f>SUM(OSRRefG11_2x_0)</f>
        <v>-1003645.7400000007</v>
      </c>
      <c r="H29" s="8"/>
    </row>
    <row r="30" spans="1:8" s="12" customFormat="1" hidden="1" outlineLevel="2" x14ac:dyDescent="0.25">
      <c r="A30" s="17"/>
      <c r="B30" s="16"/>
      <c r="C30" s="19"/>
      <c r="D30" s="21"/>
      <c r="F30" s="4" t="str">
        <f>CONCATENATE("1108", " - ", "INVESTMENTS - BROKERS")</f>
        <v>1108 - INVESTMENTS - BROKERS</v>
      </c>
      <c r="G30" s="13">
        <v>460859.64</v>
      </c>
      <c r="H30" s="10"/>
    </row>
    <row r="31" spans="1:8" s="12" customFormat="1" hidden="1" outlineLevel="2" x14ac:dyDescent="0.25">
      <c r="A31" s="17"/>
      <c r="B31" s="16"/>
      <c r="C31" s="19"/>
      <c r="D31" s="21"/>
      <c r="F31" s="4" t="str">
        <f>CONCATENATE("1109", " - ", "INVESTMENTS - BANKS")</f>
        <v>1109 - INVESTMENTS - BANKS</v>
      </c>
      <c r="G31" s="13">
        <v>-5614831.9100000001</v>
      </c>
      <c r="H31" s="10"/>
    </row>
    <row r="32" spans="1:8" s="12" customFormat="1" hidden="1" outlineLevel="2" x14ac:dyDescent="0.25">
      <c r="A32" s="17"/>
      <c r="B32" s="16"/>
      <c r="C32" s="19"/>
      <c r="D32" s="21"/>
      <c r="F32" s="4" t="str">
        <f>CONCATENATE("1118", " - ", "ALLOWANCE FOR FMV OF INVESTMEN")</f>
        <v>1118 - ALLOWANCE FOR FMV OF INVESTMEN</v>
      </c>
      <c r="G32" s="13">
        <v>4150326.53</v>
      </c>
      <c r="H32" s="10"/>
    </row>
    <row r="33" spans="1:8" ht="8.25" customHeight="1" x14ac:dyDescent="0.25">
      <c r="B33" s="2"/>
      <c r="C33" s="9"/>
      <c r="D33" s="3"/>
      <c r="E33" s="7"/>
      <c r="F33" s="7"/>
      <c r="G33" s="20"/>
      <c r="H33" s="8"/>
    </row>
    <row r="34" spans="1:8" s="5" customFormat="1" collapsed="1" x14ac:dyDescent="0.25">
      <c r="B34" s="2"/>
      <c r="C34" s="9"/>
      <c r="D34" s="3" t="s">
        <v>238</v>
      </c>
      <c r="E34" s="3"/>
      <c r="F34" s="3"/>
      <c r="G34" s="11">
        <f>SUM(OSRRefG14x_0)</f>
        <v>970579.19000000006</v>
      </c>
      <c r="H34" s="2"/>
    </row>
    <row r="35" spans="1:8" s="12" customFormat="1" hidden="1" outlineLevel="1" x14ac:dyDescent="0.25">
      <c r="A35" s="17"/>
      <c r="B35" s="16"/>
      <c r="C35" s="19"/>
      <c r="D35" s="21"/>
      <c r="E35" s="4" t="str">
        <f>CONCATENATE("1210", " - ", "A/R - BOOKSTORE")</f>
        <v>1210 - A/R - BOOKSTORE</v>
      </c>
      <c r="F35" s="4"/>
      <c r="G35" s="13">
        <v>817658.1</v>
      </c>
      <c r="H35" s="10"/>
    </row>
    <row r="36" spans="1:8" s="12" customFormat="1" hidden="1" outlineLevel="1" x14ac:dyDescent="0.25">
      <c r="A36" s="17"/>
      <c r="B36" s="16"/>
      <c r="C36" s="19"/>
      <c r="D36" s="21"/>
      <c r="E36" s="4" t="str">
        <f>CONCATENATE("1211", " - ", "A/R - REBATE RECEIVABLE")</f>
        <v>1211 - A/R - REBATE RECEIVABLE</v>
      </c>
      <c r="F36" s="4"/>
      <c r="G36" s="13">
        <v>114652.69</v>
      </c>
      <c r="H36" s="10"/>
    </row>
    <row r="37" spans="1:8" s="12" customFormat="1" hidden="1" outlineLevel="1" x14ac:dyDescent="0.25">
      <c r="A37" s="17"/>
      <c r="B37" s="16"/>
      <c r="C37" s="19"/>
      <c r="D37" s="21"/>
      <c r="E37" s="4" t="str">
        <f>CONCATENATE("1212", " - ", "A/R - TAPINGO SALES")</f>
        <v>1212 - A/R - TAPINGO SALES</v>
      </c>
      <c r="F37" s="4"/>
      <c r="G37" s="13">
        <v>5032.97</v>
      </c>
      <c r="H37" s="10"/>
    </row>
    <row r="38" spans="1:8" s="12" customFormat="1" hidden="1" outlineLevel="1" x14ac:dyDescent="0.25">
      <c r="A38" s="17"/>
      <c r="B38" s="16"/>
      <c r="C38" s="19"/>
      <c r="D38" s="21"/>
      <c r="E38" s="4" t="str">
        <f>CONCATENATE("1215", " - ", "A/R - OFFSET BOOKSTORE")</f>
        <v>1215 - A/R - OFFSET BOOKSTORE</v>
      </c>
      <c r="F38" s="4"/>
      <c r="G38" s="13">
        <v>5489.1</v>
      </c>
      <c r="H38" s="10"/>
    </row>
    <row r="39" spans="1:8" s="12" customFormat="1" hidden="1" outlineLevel="1" x14ac:dyDescent="0.25">
      <c r="A39" s="17"/>
      <c r="B39" s="16"/>
      <c r="C39" s="19"/>
      <c r="D39" s="21"/>
      <c r="E39" s="4" t="str">
        <f>CONCATENATE("1222", " - ", "A/R - VENDOR/LEASEE")</f>
        <v>1222 - A/R - VENDOR/LEASEE</v>
      </c>
      <c r="F39" s="4"/>
      <c r="G39" s="13">
        <v>-2650.31</v>
      </c>
      <c r="H39" s="10"/>
    </row>
    <row r="40" spans="1:8" s="12" customFormat="1" hidden="1" outlineLevel="1" x14ac:dyDescent="0.25">
      <c r="A40" s="17"/>
      <c r="B40" s="16"/>
      <c r="C40" s="19"/>
      <c r="D40" s="21"/>
      <c r="E40" s="4" t="str">
        <f>CONCATENATE("1225", " - ", "A/R - OFFSET FOOD SERVICE")</f>
        <v>1225 - A/R - OFFSET FOOD SERVICE</v>
      </c>
      <c r="F40" s="4"/>
      <c r="G40" s="13">
        <v>-17564.310000000001</v>
      </c>
      <c r="H40" s="10"/>
    </row>
    <row r="41" spans="1:8" s="12" customFormat="1" hidden="1" outlineLevel="1" x14ac:dyDescent="0.25">
      <c r="A41" s="17"/>
      <c r="B41" s="16"/>
      <c r="C41" s="19"/>
      <c r="D41" s="21"/>
      <c r="E41" s="4" t="str">
        <f>CONCATENATE("1240", " - ", "A/R - NSF CHECKS")</f>
        <v>1240 - A/R - NSF CHECKS</v>
      </c>
      <c r="F41" s="4"/>
      <c r="G41" s="13">
        <v>2223.8000000000002</v>
      </c>
      <c r="H41" s="10"/>
    </row>
    <row r="42" spans="1:8" s="12" customFormat="1" hidden="1" outlineLevel="1" x14ac:dyDescent="0.25">
      <c r="A42" s="17"/>
      <c r="B42" s="16"/>
      <c r="C42" s="19"/>
      <c r="D42" s="21"/>
      <c r="E42" s="4" t="str">
        <f>CONCATENATE("1250", " - ", "A/R - DORMS")</f>
        <v>1250 - A/R - DORMS</v>
      </c>
      <c r="F42" s="4"/>
      <c r="G42" s="13">
        <v>62828.17</v>
      </c>
      <c r="H42" s="10"/>
    </row>
    <row r="43" spans="1:8" s="12" customFormat="1" hidden="1" outlineLevel="1" x14ac:dyDescent="0.25">
      <c r="A43" s="17"/>
      <c r="B43" s="16"/>
      <c r="C43" s="19"/>
      <c r="D43" s="21"/>
      <c r="E43" s="4" t="str">
        <f>CONCATENATE("1254", " - ", "A/R - ONE CARD SYSTEM")</f>
        <v>1254 - A/R - ONE CARD SYSTEM</v>
      </c>
      <c r="F43" s="4"/>
      <c r="G43" s="13">
        <v>-31754</v>
      </c>
      <c r="H43" s="10"/>
    </row>
    <row r="44" spans="1:8" s="12" customFormat="1" hidden="1" outlineLevel="1" x14ac:dyDescent="0.25">
      <c r="A44" s="17"/>
      <c r="B44" s="16"/>
      <c r="C44" s="19"/>
      <c r="D44" s="21"/>
      <c r="E44" s="4" t="str">
        <f>CONCATENATE("1255", " - ", "A/R - UNIV STUDENT UNION")</f>
        <v>1255 - A/R - UNIV STUDENT UNION</v>
      </c>
      <c r="F44" s="4"/>
      <c r="G44" s="13">
        <v>0</v>
      </c>
      <c r="H44" s="10"/>
    </row>
    <row r="45" spans="1:8" s="12" customFormat="1" hidden="1" outlineLevel="1" x14ac:dyDescent="0.25">
      <c r="A45" s="17"/>
      <c r="B45" s="16"/>
      <c r="C45" s="19"/>
      <c r="D45" s="21"/>
      <c r="E45" s="4" t="str">
        <f>CONCATENATE("1260", " - ", "A/R - M/C - VISA DRAFTS")</f>
        <v>1260 - A/R - M/C - VISA DRAFTS</v>
      </c>
      <c r="F45" s="4"/>
      <c r="G45" s="13">
        <v>12334.81</v>
      </c>
      <c r="H45" s="10"/>
    </row>
    <row r="46" spans="1:8" s="12" customFormat="1" hidden="1" outlineLevel="1" x14ac:dyDescent="0.25">
      <c r="A46" s="17"/>
      <c r="B46" s="16"/>
      <c r="C46" s="19"/>
      <c r="D46" s="21"/>
      <c r="E46" s="4" t="str">
        <f>CONCATENATE("1261", " - ", "A/R - WEBSITE CREDIT CARDS")</f>
        <v>1261 - A/R - WEBSITE CREDIT CARDS</v>
      </c>
      <c r="F46" s="4"/>
      <c r="G46" s="13">
        <v>0</v>
      </c>
      <c r="H46" s="10"/>
    </row>
    <row r="47" spans="1:8" s="12" customFormat="1" hidden="1" outlineLevel="1" x14ac:dyDescent="0.25">
      <c r="A47" s="17"/>
      <c r="B47" s="16"/>
      <c r="C47" s="19"/>
      <c r="D47" s="21"/>
      <c r="E47" s="4" t="str">
        <f>CONCATENATE("1262", " - ", "A/R - STARBUCKS GIFT CARD")</f>
        <v>1262 - A/R - STARBUCKS GIFT CARD</v>
      </c>
      <c r="F47" s="4"/>
      <c r="G47" s="13">
        <v>-1597.71</v>
      </c>
      <c r="H47" s="10"/>
    </row>
    <row r="48" spans="1:8" s="12" customFormat="1" hidden="1" outlineLevel="1" x14ac:dyDescent="0.25">
      <c r="A48" s="17"/>
      <c r="B48" s="16"/>
      <c r="C48" s="19"/>
      <c r="D48" s="21"/>
      <c r="E48" s="4" t="str">
        <f>CONCATENATE("1271", " - ", "A/R - C.S.C.")</f>
        <v>1271 - A/R - C.S.C.</v>
      </c>
      <c r="F48" s="4"/>
      <c r="G48" s="13">
        <v>126.3</v>
      </c>
      <c r="H48" s="10"/>
    </row>
    <row r="49" spans="1:8" s="12" customFormat="1" hidden="1" outlineLevel="1" x14ac:dyDescent="0.25">
      <c r="A49" s="17"/>
      <c r="B49" s="16"/>
      <c r="C49" s="19"/>
      <c r="D49" s="21"/>
      <c r="E49" s="4" t="str">
        <f>CONCATENATE("1285", " - ", "A/R - ADVANCES")</f>
        <v>1285 - A/R - ADVANCES</v>
      </c>
      <c r="F49" s="4"/>
      <c r="G49" s="13">
        <v>0</v>
      </c>
      <c r="H49" s="10"/>
    </row>
    <row r="50" spans="1:8" s="12" customFormat="1" hidden="1" outlineLevel="1" x14ac:dyDescent="0.25">
      <c r="A50" s="17"/>
      <c r="B50" s="16"/>
      <c r="C50" s="19"/>
      <c r="D50" s="21"/>
      <c r="E50" s="4" t="str">
        <f>CONCATENATE("1286", " - ", "A/R - EMPLOYEES")</f>
        <v>1286 - A/R - EMPLOYEES</v>
      </c>
      <c r="F50" s="4"/>
      <c r="G50" s="13">
        <v>3125.69</v>
      </c>
      <c r="H50" s="10"/>
    </row>
    <row r="51" spans="1:8" s="12" customFormat="1" hidden="1" outlineLevel="1" x14ac:dyDescent="0.25">
      <c r="A51" s="17"/>
      <c r="B51" s="16"/>
      <c r="C51" s="19"/>
      <c r="D51" s="21"/>
      <c r="E51" s="4" t="str">
        <f>CONCATENATE("1287", " - ", "A/R - EMPLOYEES SAFETY SHOES")</f>
        <v>1287 - A/R - EMPLOYEES SAFETY SHOES</v>
      </c>
      <c r="F51" s="4"/>
      <c r="G51" s="13">
        <v>673.89</v>
      </c>
      <c r="H51" s="10"/>
    </row>
    <row r="52" spans="1:8" s="12" customFormat="1" hidden="1" outlineLevel="1" x14ac:dyDescent="0.25">
      <c r="A52" s="17"/>
      <c r="B52" s="16"/>
      <c r="C52" s="19"/>
      <c r="D52" s="21"/>
      <c r="E52" s="4" t="str">
        <f>CONCATENATE("3296", " - ", "A/R - INTERFUND - CONTINGENCY")</f>
        <v>3296 - A/R - INTERFUND - CONTINGENCY</v>
      </c>
      <c r="F52" s="4"/>
      <c r="G52" s="13">
        <v>-167269.59</v>
      </c>
      <c r="H52" s="10"/>
    </row>
    <row r="53" spans="1:8" s="12" customFormat="1" hidden="1" outlineLevel="1" x14ac:dyDescent="0.25">
      <c r="A53" s="17"/>
      <c r="B53" s="16"/>
      <c r="C53" s="19"/>
      <c r="D53" s="21"/>
      <c r="E53" s="4" t="str">
        <f>CONCATENATE("3590", " - ", "INTERFUND ACCOUNT-CONTINGENCY")</f>
        <v>3590 - INTERFUND ACCOUNT-CONTINGENCY</v>
      </c>
      <c r="F53" s="4"/>
      <c r="G53" s="13">
        <v>167269.59</v>
      </c>
      <c r="H53" s="10"/>
    </row>
    <row r="54" spans="1:8" ht="8.25" customHeight="1" x14ac:dyDescent="0.25">
      <c r="B54" s="2"/>
      <c r="C54" s="9"/>
      <c r="D54" s="3"/>
      <c r="E54" s="7"/>
      <c r="F54" s="7"/>
      <c r="G54" s="20"/>
      <c r="H54" s="8"/>
    </row>
    <row r="55" spans="1:8" s="5" customFormat="1" collapsed="1" x14ac:dyDescent="0.25">
      <c r="B55" s="2"/>
      <c r="C55" s="9"/>
      <c r="D55" s="3" t="s">
        <v>108</v>
      </c>
      <c r="E55" s="3"/>
      <c r="F55" s="3"/>
      <c r="G55" s="11">
        <f>SUM(OSRRefG17x_0)</f>
        <v>1031914.5500000003</v>
      </c>
      <c r="H55" s="2"/>
    </row>
    <row r="56" spans="1:8" s="12" customFormat="1" hidden="1" outlineLevel="1" x14ac:dyDescent="0.25">
      <c r="A56" s="17"/>
      <c r="B56" s="16"/>
      <c r="C56" s="19"/>
      <c r="D56" s="4"/>
      <c r="E56" s="4" t="str">
        <f>CONCATENATE("1301", " - ", "INVENTORY @ COST-NEW TEXT")</f>
        <v>1301 - INVENTORY @ COST-NEW TEXT</v>
      </c>
      <c r="F56" s="4"/>
      <c r="G56" s="13">
        <v>214964.3</v>
      </c>
      <c r="H56" s="10"/>
    </row>
    <row r="57" spans="1:8" s="12" customFormat="1" hidden="1" outlineLevel="1" x14ac:dyDescent="0.25">
      <c r="A57" s="17"/>
      <c r="B57" s="16"/>
      <c r="C57" s="19"/>
      <c r="D57" s="4"/>
      <c r="E57" s="4" t="str">
        <f>CONCATENATE("1302", " - ", "INVENTORY @ COST-USED TEXT")</f>
        <v>1302 - INVENTORY @ COST-USED TEXT</v>
      </c>
      <c r="F57" s="4"/>
      <c r="G57" s="13">
        <v>99917.32</v>
      </c>
      <c r="H57" s="10"/>
    </row>
    <row r="58" spans="1:8" s="12" customFormat="1" hidden="1" outlineLevel="1" x14ac:dyDescent="0.25">
      <c r="A58" s="17"/>
      <c r="B58" s="16"/>
      <c r="C58" s="19"/>
      <c r="D58" s="4"/>
      <c r="E58" s="4" t="str">
        <f>CONCATENATE("1303", " - ", "INVENTORY @ COST-NEXT")</f>
        <v>1303 - INVENTORY @ COST-NEXT</v>
      </c>
      <c r="F58" s="4"/>
      <c r="G58" s="13">
        <v>0</v>
      </c>
      <c r="H58" s="10"/>
    </row>
    <row r="59" spans="1:8" s="12" customFormat="1" hidden="1" outlineLevel="1" x14ac:dyDescent="0.25">
      <c r="A59" s="17"/>
      <c r="B59" s="16"/>
      <c r="C59" s="19"/>
      <c r="D59" s="4"/>
      <c r="E59" s="4" t="str">
        <f>CONCATENATE("1304", " - ", "INVENTORY @ COST-DIGITAL BOOKS")</f>
        <v>1304 - INVENTORY @ COST-DIGITAL BOOKS</v>
      </c>
      <c r="F59" s="4"/>
      <c r="G59" s="13">
        <v>67129.2</v>
      </c>
      <c r="H59" s="10"/>
    </row>
    <row r="60" spans="1:8" s="12" customFormat="1" hidden="1" outlineLevel="1" x14ac:dyDescent="0.25">
      <c r="A60" s="17"/>
      <c r="B60" s="16"/>
      <c r="C60" s="19"/>
      <c r="D60" s="4"/>
      <c r="E60" s="4" t="str">
        <f>CONCATENATE("1311", " - ", "INVENTORY @ COST-NO VALUE TEXT")</f>
        <v>1311 - INVENTORY @ COST-NO VALUE TEXT</v>
      </c>
      <c r="F60" s="4"/>
      <c r="G60" s="13">
        <v>0</v>
      </c>
      <c r="H60" s="10"/>
    </row>
    <row r="61" spans="1:8" s="12" customFormat="1" hidden="1" outlineLevel="1" x14ac:dyDescent="0.25">
      <c r="A61" s="17"/>
      <c r="B61" s="16"/>
      <c r="C61" s="19"/>
      <c r="D61" s="4"/>
      <c r="E61" s="4" t="str">
        <f>CONCATENATE("1313", " - ", "INVENTORY @ COST-TRADE BOOKS")</f>
        <v>1313 - INVENTORY @ COST-TRADE BOOKS</v>
      </c>
      <c r="F61" s="4"/>
      <c r="G61" s="13">
        <v>5237.3599999999997</v>
      </c>
      <c r="H61" s="10"/>
    </row>
    <row r="62" spans="1:8" s="12" customFormat="1" hidden="1" outlineLevel="1" x14ac:dyDescent="0.25">
      <c r="A62" s="17"/>
      <c r="B62" s="16"/>
      <c r="C62" s="19"/>
      <c r="D62" s="4"/>
      <c r="E62" s="4" t="str">
        <f>CONCATENATE("1314", " - ", "INVENTORY @ COST-REMAINDERS")</f>
        <v>1314 - INVENTORY @ COST-REMAINDERS</v>
      </c>
      <c r="F62" s="4"/>
      <c r="G62" s="13">
        <v>0</v>
      </c>
      <c r="H62" s="10"/>
    </row>
    <row r="63" spans="1:8" s="12" customFormat="1" hidden="1" outlineLevel="1" x14ac:dyDescent="0.25">
      <c r="A63" s="17"/>
      <c r="B63" s="16"/>
      <c r="C63" s="19"/>
      <c r="D63" s="4"/>
      <c r="E63" s="4" t="str">
        <f>CONCATENATE("1318", " - ", "INVENTORY @ COST-STUDY GUIDES")</f>
        <v>1318 - INVENTORY @ COST-STUDY GUIDES</v>
      </c>
      <c r="F63" s="4"/>
      <c r="G63" s="13">
        <v>1810.84</v>
      </c>
      <c r="H63" s="10"/>
    </row>
    <row r="64" spans="1:8" s="12" customFormat="1" hidden="1" outlineLevel="1" x14ac:dyDescent="0.25">
      <c r="A64" s="17"/>
      <c r="B64" s="16"/>
      <c r="C64" s="19"/>
      <c r="D64" s="4"/>
      <c r="E64" s="4" t="str">
        <f>CONCATENATE("1325", " - ", "INVENTORY @ COST-TEST FORMS")</f>
        <v>1325 - INVENTORY @ COST-TEST FORMS</v>
      </c>
      <c r="F64" s="4"/>
      <c r="G64" s="13">
        <v>0</v>
      </c>
      <c r="H64" s="10"/>
    </row>
    <row r="65" spans="1:8" s="12" customFormat="1" hidden="1" outlineLevel="1" x14ac:dyDescent="0.25">
      <c r="A65" s="17"/>
      <c r="B65" s="16"/>
      <c r="C65" s="19"/>
      <c r="D65" s="4"/>
      <c r="E65" s="4" t="str">
        <f>CONCATENATE("1326", " - ", "INVENTORY @ COST-WRITING INSTR")</f>
        <v>1326 - INVENTORY @ COST-WRITING INSTR</v>
      </c>
      <c r="F65" s="4"/>
      <c r="G65" s="13">
        <v>58.22</v>
      </c>
      <c r="H65" s="10"/>
    </row>
    <row r="66" spans="1:8" s="12" customFormat="1" hidden="1" outlineLevel="1" x14ac:dyDescent="0.25">
      <c r="A66" s="17"/>
      <c r="B66" s="16"/>
      <c r="C66" s="19"/>
      <c r="D66" s="4"/>
      <c r="E66" s="4" t="str">
        <f>CONCATENATE("1327", " - ", "INVENTORY @ COST-SCHOOL SUPPLI")</f>
        <v>1327 - INVENTORY @ COST-SCHOOL SUPPLI</v>
      </c>
      <c r="F66" s="4"/>
      <c r="G66" s="13">
        <v>99183.38</v>
      </c>
      <c r="H66" s="10"/>
    </row>
    <row r="67" spans="1:8" s="12" customFormat="1" hidden="1" outlineLevel="1" x14ac:dyDescent="0.25">
      <c r="A67" s="17"/>
      <c r="B67" s="16"/>
      <c r="C67" s="19"/>
      <c r="D67" s="4"/>
      <c r="E67" s="4" t="str">
        <f>CONCATENATE("1328", " - ", "INVENTORY @ COST-ART/TECH")</f>
        <v>1328 - INVENTORY @ COST-ART/TECH</v>
      </c>
      <c r="F67" s="4"/>
      <c r="G67" s="13">
        <v>77576.75</v>
      </c>
      <c r="H67" s="10"/>
    </row>
    <row r="68" spans="1:8" s="12" customFormat="1" hidden="1" outlineLevel="1" x14ac:dyDescent="0.25">
      <c r="A68" s="17"/>
      <c r="B68" s="16"/>
      <c r="C68" s="19"/>
      <c r="D68" s="4"/>
      <c r="E68" s="4" t="str">
        <f>CONCATENATE("1331", " - ", "INVENTORY @ COST-FOOD")</f>
        <v>1331 - INVENTORY @ COST-FOOD</v>
      </c>
      <c r="F68" s="4"/>
      <c r="G68" s="13">
        <v>24323.43</v>
      </c>
      <c r="H68" s="10"/>
    </row>
    <row r="69" spans="1:8" s="12" customFormat="1" hidden="1" outlineLevel="1" x14ac:dyDescent="0.25">
      <c r="A69" s="17"/>
      <c r="B69" s="16"/>
      <c r="C69" s="19"/>
      <c r="D69" s="4"/>
      <c r="E69" s="4" t="str">
        <f>CONCATENATE("1332", " - ", "INVENTORY @ COST-JUICE")</f>
        <v>1332 - INVENTORY @ COST-JUICE</v>
      </c>
      <c r="F69" s="4"/>
      <c r="G69" s="13">
        <v>0</v>
      </c>
      <c r="H69" s="10"/>
    </row>
    <row r="70" spans="1:8" s="12" customFormat="1" hidden="1" outlineLevel="1" x14ac:dyDescent="0.25">
      <c r="A70" s="17"/>
      <c r="B70" s="16"/>
      <c r="C70" s="19"/>
      <c r="D70" s="4"/>
      <c r="E70" s="4" t="str">
        <f>CONCATENATE("1333", " - ", "INVENTORY @ COST-CANDY")</f>
        <v>1333 - INVENTORY @ COST-CANDY</v>
      </c>
      <c r="F70" s="4"/>
      <c r="G70" s="13">
        <v>0</v>
      </c>
      <c r="H70" s="10"/>
    </row>
    <row r="71" spans="1:8" s="12" customFormat="1" hidden="1" outlineLevel="1" x14ac:dyDescent="0.25">
      <c r="A71" s="17"/>
      <c r="B71" s="16"/>
      <c r="C71" s="19"/>
      <c r="D71" s="4"/>
      <c r="E71" s="4" t="str">
        <f>CONCATENATE("1334", " - ", "INVENTORY @ COST-SODA")</f>
        <v>1334 - INVENTORY @ COST-SODA</v>
      </c>
      <c r="F71" s="4"/>
      <c r="G71" s="13">
        <v>0</v>
      </c>
      <c r="H71" s="10"/>
    </row>
    <row r="72" spans="1:8" s="12" customFormat="1" hidden="1" outlineLevel="1" x14ac:dyDescent="0.25">
      <c r="A72" s="17"/>
      <c r="B72" s="16"/>
      <c r="C72" s="19"/>
      <c r="D72" s="4"/>
      <c r="E72" s="4" t="str">
        <f>CONCATENATE("1335", " - ", "INVENTORY @ COST-HEALTH &amp; BEAU")</f>
        <v>1335 - INVENTORY @ COST-HEALTH &amp; BEAU</v>
      </c>
      <c r="F72" s="4"/>
      <c r="G72" s="13">
        <v>0</v>
      </c>
      <c r="H72" s="10"/>
    </row>
    <row r="73" spans="1:8" s="12" customFormat="1" hidden="1" outlineLevel="1" x14ac:dyDescent="0.25">
      <c r="A73" s="17"/>
      <c r="B73" s="16"/>
      <c r="C73" s="19"/>
      <c r="D73" s="4"/>
      <c r="E73" s="4" t="str">
        <f>CONCATENATE("1337", " - ", "INVENTORY @ COST-WATER")</f>
        <v>1337 - INVENTORY @ COST-WATER</v>
      </c>
      <c r="F73" s="4"/>
      <c r="G73" s="13">
        <v>0</v>
      </c>
      <c r="H73" s="10"/>
    </row>
    <row r="74" spans="1:8" s="12" customFormat="1" hidden="1" outlineLevel="1" x14ac:dyDescent="0.25">
      <c r="A74" s="17"/>
      <c r="B74" s="16"/>
      <c r="C74" s="19"/>
      <c r="D74" s="4"/>
      <c r="E74" s="4" t="str">
        <f>CONCATENATE("1340", " - ", "INVENTORY @ COST-LOGO CLOTHING")</f>
        <v>1340 - INVENTORY @ COST-LOGO CLOTHING</v>
      </c>
      <c r="F74" s="4"/>
      <c r="G74" s="13">
        <v>162591.26999999999</v>
      </c>
      <c r="H74" s="10"/>
    </row>
    <row r="75" spans="1:8" s="12" customFormat="1" hidden="1" outlineLevel="1" x14ac:dyDescent="0.25">
      <c r="A75" s="17"/>
      <c r="B75" s="16"/>
      <c r="C75" s="19"/>
      <c r="D75" s="4"/>
      <c r="E75" s="4" t="str">
        <f>CONCATENATE("1341", " - ", "INVENTORY @ COST-LOGO GIFTS")</f>
        <v>1341 - INVENTORY @ COST-LOGO GIFTS</v>
      </c>
      <c r="F75" s="4"/>
      <c r="G75" s="13">
        <v>70145.61</v>
      </c>
      <c r="H75" s="10"/>
    </row>
    <row r="76" spans="1:8" s="12" customFormat="1" hidden="1" outlineLevel="1" x14ac:dyDescent="0.25">
      <c r="A76" s="17"/>
      <c r="B76" s="16"/>
      <c r="C76" s="19"/>
      <c r="D76" s="4"/>
      <c r="E76" s="4" t="str">
        <f>CONCATENATE("1342", " - ", "INVENTORY @ COST-EVERYDAY GIFT")</f>
        <v>1342 - INVENTORY @ COST-EVERYDAY GIFT</v>
      </c>
      <c r="F76" s="4"/>
      <c r="G76" s="13">
        <v>29515.05</v>
      </c>
      <c r="H76" s="10"/>
    </row>
    <row r="77" spans="1:8" s="12" customFormat="1" hidden="1" outlineLevel="1" x14ac:dyDescent="0.25">
      <c r="A77" s="17"/>
      <c r="B77" s="16"/>
      <c r="C77" s="19"/>
      <c r="D77" s="4"/>
      <c r="E77" s="4" t="str">
        <f>CONCATENATE("1343", " - ", "INVENTORY @ COST-CARDS")</f>
        <v>1343 - INVENTORY @ COST-CARDS</v>
      </c>
      <c r="F77" s="4"/>
      <c r="G77" s="13">
        <v>2779.15</v>
      </c>
      <c r="H77" s="10"/>
    </row>
    <row r="78" spans="1:8" s="12" customFormat="1" hidden="1" outlineLevel="1" x14ac:dyDescent="0.25">
      <c r="A78" s="17"/>
      <c r="B78" s="16"/>
      <c r="C78" s="19"/>
      <c r="D78" s="4"/>
      <c r="E78" s="4" t="str">
        <f>CONCATENATE("1344", " - ", "INVENTORY @ COST-ACCESSORIES")</f>
        <v>1344 - INVENTORY @ COST-ACCESSORIES</v>
      </c>
      <c r="F78" s="4"/>
      <c r="G78" s="13">
        <v>13299.92</v>
      </c>
      <c r="H78" s="10"/>
    </row>
    <row r="79" spans="1:8" s="12" customFormat="1" hidden="1" outlineLevel="1" x14ac:dyDescent="0.25">
      <c r="A79" s="17"/>
      <c r="B79" s="16"/>
      <c r="C79" s="19"/>
      <c r="D79" s="4"/>
      <c r="E79" s="4" t="str">
        <f>CONCATENATE("1345", " - ", "INVENTORY @ COST-SPECIAL ORDER")</f>
        <v>1345 - INVENTORY @ COST-SPECIAL ORDER</v>
      </c>
      <c r="F79" s="4"/>
      <c r="G79" s="13">
        <v>0</v>
      </c>
      <c r="H79" s="10"/>
    </row>
    <row r="80" spans="1:8" s="12" customFormat="1" hidden="1" outlineLevel="1" x14ac:dyDescent="0.25">
      <c r="A80" s="17"/>
      <c r="B80" s="16"/>
      <c r="C80" s="19"/>
      <c r="D80" s="4"/>
      <c r="E80" s="4" t="str">
        <f>CONCATENATE("1350", " - ", "INVENTORY @ COST-CAFETERIA")</f>
        <v>1350 - INVENTORY @ COST-CAFETERIA</v>
      </c>
      <c r="F80" s="4"/>
      <c r="G80" s="13">
        <v>22446.26</v>
      </c>
      <c r="H80" s="10"/>
    </row>
    <row r="81" spans="1:8" s="12" customFormat="1" hidden="1" outlineLevel="1" x14ac:dyDescent="0.25">
      <c r="A81" s="17"/>
      <c r="B81" s="16"/>
      <c r="C81" s="19"/>
      <c r="D81" s="4"/>
      <c r="E81" s="4" t="str">
        <f>CONCATENATE("1359", " - ", "INVENTORY @ COST-CARTS")</f>
        <v>1359 - INVENTORY @ COST-CARTS</v>
      </c>
      <c r="F81" s="4"/>
      <c r="G81" s="13">
        <v>0</v>
      </c>
      <c r="H81" s="10"/>
    </row>
    <row r="82" spans="1:8" s="12" customFormat="1" hidden="1" outlineLevel="1" x14ac:dyDescent="0.25">
      <c r="A82" s="17"/>
      <c r="B82" s="16"/>
      <c r="C82" s="19"/>
      <c r="D82" s="4"/>
      <c r="E82" s="4" t="str">
        <f>CONCATENATE("1370", " - ", "INVENTORY @ COST-HILLSIDE")</f>
        <v>1370 - INVENTORY @ COST-HILLSIDE</v>
      </c>
      <c r="F82" s="4"/>
      <c r="G82" s="13">
        <v>7155</v>
      </c>
      <c r="H82" s="10"/>
    </row>
    <row r="83" spans="1:8" s="12" customFormat="1" hidden="1" outlineLevel="1" x14ac:dyDescent="0.25">
      <c r="A83" s="17"/>
      <c r="B83" s="16"/>
      <c r="C83" s="19"/>
      <c r="D83" s="4"/>
      <c r="E83" s="4" t="str">
        <f>CONCATENATE("1380", " - ", "INVENTORY @ COST-PARKSIDE COMM")</f>
        <v>1380 - INVENTORY @ COST-PARKSIDE COMM</v>
      </c>
      <c r="F83" s="4"/>
      <c r="G83" s="13">
        <v>29797</v>
      </c>
      <c r="H83" s="10"/>
    </row>
    <row r="84" spans="1:8" s="12" customFormat="1" hidden="1" outlineLevel="1" x14ac:dyDescent="0.25">
      <c r="A84" s="17"/>
      <c r="B84" s="16"/>
      <c r="C84" s="19"/>
      <c r="D84" s="4"/>
      <c r="E84" s="4" t="str">
        <f>CONCATENATE("1381", " - ", "INVENTORY @ COST-ELECTRONICS")</f>
        <v>1381 - INVENTORY @ COST-ELECTRONICS</v>
      </c>
      <c r="F84" s="4"/>
      <c r="G84" s="13">
        <v>30522.3</v>
      </c>
      <c r="H84" s="10"/>
    </row>
    <row r="85" spans="1:8" s="12" customFormat="1" hidden="1" outlineLevel="1" x14ac:dyDescent="0.25">
      <c r="A85" s="17"/>
      <c r="B85" s="16"/>
      <c r="C85" s="19"/>
      <c r="D85" s="4"/>
      <c r="E85" s="4" t="str">
        <f>CONCATENATE("1382", " - ", "INVENTORY @ COST-COMPUTER HARD")</f>
        <v>1382 - INVENTORY @ COST-COMPUTER HARD</v>
      </c>
      <c r="F85" s="4"/>
      <c r="G85" s="13">
        <v>26816</v>
      </c>
      <c r="H85" s="10"/>
    </row>
    <row r="86" spans="1:8" s="12" customFormat="1" hidden="1" outlineLevel="1" x14ac:dyDescent="0.25">
      <c r="A86" s="17"/>
      <c r="B86" s="16"/>
      <c r="C86" s="19"/>
      <c r="D86" s="4"/>
      <c r="E86" s="4" t="str">
        <f>CONCATENATE("1383", " - ", "INVENTORY @ COST-COMPUTER EQUI")</f>
        <v>1383 - INVENTORY @ COST-COMPUTER EQUI</v>
      </c>
      <c r="F86" s="4"/>
      <c r="G86" s="13">
        <v>26719.040000000001</v>
      </c>
      <c r="H86" s="10"/>
    </row>
    <row r="87" spans="1:8" s="12" customFormat="1" hidden="1" outlineLevel="1" x14ac:dyDescent="0.25">
      <c r="A87" s="17"/>
      <c r="B87" s="16"/>
      <c r="C87" s="19"/>
      <c r="D87" s="4"/>
      <c r="E87" s="4" t="str">
        <f>CONCATENATE("1384", " - ", "INVENTORY @ COST-SOFTWARE LICE")</f>
        <v>1384 - INVENTORY @ COST-SOFTWARE LICE</v>
      </c>
      <c r="F87" s="4"/>
      <c r="G87" s="13">
        <v>0</v>
      </c>
      <c r="H87" s="10"/>
    </row>
    <row r="88" spans="1:8" s="12" customFormat="1" hidden="1" outlineLevel="1" x14ac:dyDescent="0.25">
      <c r="A88" s="17"/>
      <c r="B88" s="16"/>
      <c r="C88" s="19"/>
      <c r="D88" s="4"/>
      <c r="E88" s="4" t="str">
        <f>CONCATENATE("1385", " - ", "INVENTORY @ COST-COMPUTER SOFT")</f>
        <v>1385 - INVENTORY @ COST-COMPUTER SOFT</v>
      </c>
      <c r="F88" s="4"/>
      <c r="G88" s="13">
        <v>676.61</v>
      </c>
      <c r="H88" s="10"/>
    </row>
    <row r="89" spans="1:8" s="12" customFormat="1" hidden="1" outlineLevel="1" x14ac:dyDescent="0.25">
      <c r="A89" s="17"/>
      <c r="B89" s="16"/>
      <c r="C89" s="19"/>
      <c r="D89" s="4"/>
      <c r="E89" s="4" t="str">
        <f>CONCATENATE("1386", " - ", "INVENTORY @ COST-COMPUTER SUPP")</f>
        <v>1386 - INVENTORY @ COST-COMPUTER SUPP</v>
      </c>
      <c r="F89" s="4"/>
      <c r="G89" s="13">
        <v>10910.54</v>
      </c>
      <c r="H89" s="10"/>
    </row>
    <row r="90" spans="1:8" s="12" customFormat="1" hidden="1" outlineLevel="1" x14ac:dyDescent="0.25">
      <c r="A90" s="17"/>
      <c r="B90" s="16"/>
      <c r="C90" s="19"/>
      <c r="D90" s="4"/>
      <c r="E90" s="4" t="str">
        <f>CONCATENATE("1388", " - ", "INVENTORY @ COST-MUSIC")</f>
        <v>1388 - INVENTORY @ COST-MUSIC</v>
      </c>
      <c r="F90" s="4"/>
      <c r="G90" s="13">
        <v>0</v>
      </c>
      <c r="H90" s="10"/>
    </row>
    <row r="91" spans="1:8" s="12" customFormat="1" hidden="1" outlineLevel="1" x14ac:dyDescent="0.25">
      <c r="A91" s="17"/>
      <c r="B91" s="16"/>
      <c r="C91" s="19"/>
      <c r="D91" s="4"/>
      <c r="E91" s="4" t="str">
        <f>CONCATENATE("1390", " - ", "INVENTORY @ COST- BEACHSIDE")</f>
        <v>1390 - INVENTORY @ COST- BEACHSIDE</v>
      </c>
      <c r="F91" s="4"/>
      <c r="G91" s="13">
        <v>8342</v>
      </c>
      <c r="H91" s="10"/>
    </row>
    <row r="92" spans="1:8" s="12" customFormat="1" hidden="1" outlineLevel="1" x14ac:dyDescent="0.25">
      <c r="A92" s="17"/>
      <c r="B92" s="16"/>
      <c r="C92" s="19"/>
      <c r="D92" s="4"/>
      <c r="E92" s="4" t="str">
        <f>CONCATENATE("1392", " - ", "INVENTORY @ COST-GRAD MERCH")</f>
        <v>1392 - INVENTORY @ COST-GRAD MERCH</v>
      </c>
      <c r="F92" s="4"/>
      <c r="G92" s="13">
        <v>0</v>
      </c>
      <c r="H92" s="10"/>
    </row>
    <row r="93" spans="1:8" s="12" customFormat="1" hidden="1" outlineLevel="1" x14ac:dyDescent="0.25">
      <c r="A93" s="17"/>
      <c r="B93" s="16"/>
      <c r="C93" s="19"/>
      <c r="D93" s="4"/>
      <c r="E93" s="4" t="str">
        <f>CONCATENATE("7100", " - ", "INVENTORY @ RETAIL-CONTRA")</f>
        <v>7100 - INVENTORY @ RETAIL-CONTRA</v>
      </c>
      <c r="F93" s="4"/>
      <c r="G93" s="13">
        <v>-3042856</v>
      </c>
      <c r="H93" s="10"/>
    </row>
    <row r="94" spans="1:8" s="12" customFormat="1" hidden="1" outlineLevel="1" x14ac:dyDescent="0.25">
      <c r="A94" s="17"/>
      <c r="B94" s="16"/>
      <c r="C94" s="19"/>
      <c r="D94" s="4"/>
      <c r="E94" s="4" t="str">
        <f>CONCATENATE("7101", " - ", "INVENTORY @ RETAIL-NEW TEXT")</f>
        <v>7101 - INVENTORY @ RETAIL-NEW TEXT</v>
      </c>
      <c r="F94" s="4"/>
      <c r="G94" s="13">
        <v>327615</v>
      </c>
      <c r="H94" s="10"/>
    </row>
    <row r="95" spans="1:8" s="12" customFormat="1" hidden="1" outlineLevel="1" x14ac:dyDescent="0.25">
      <c r="A95" s="17"/>
      <c r="B95" s="16"/>
      <c r="C95" s="19"/>
      <c r="D95" s="4"/>
      <c r="E95" s="4" t="str">
        <f>CONCATENATE("7102", " - ", "INVENTORY @ RETAIL-USED TEXT")</f>
        <v>7102 - INVENTORY @ RETAIL-USED TEXT</v>
      </c>
      <c r="F95" s="4"/>
      <c r="G95" s="13">
        <v>498762</v>
      </c>
      <c r="H95" s="10"/>
    </row>
    <row r="96" spans="1:8" s="12" customFormat="1" hidden="1" outlineLevel="1" x14ac:dyDescent="0.25">
      <c r="A96" s="17"/>
      <c r="B96" s="16"/>
      <c r="C96" s="19"/>
      <c r="D96" s="4"/>
      <c r="E96" s="4" t="str">
        <f>CONCATENATE("7104", " - ", "INVENTORY @ RETAIL-DIGITAL TEX")</f>
        <v>7104 - INVENTORY @ RETAIL-DIGITAL TEX</v>
      </c>
      <c r="F96" s="4"/>
      <c r="G96" s="13">
        <v>95137</v>
      </c>
      <c r="H96" s="10"/>
    </row>
    <row r="97" spans="1:8" s="12" customFormat="1" hidden="1" outlineLevel="1" x14ac:dyDescent="0.25">
      <c r="A97" s="17"/>
      <c r="B97" s="16"/>
      <c r="C97" s="19"/>
      <c r="D97" s="4"/>
      <c r="E97" s="4" t="str">
        <f>CONCATENATE("7111", " - ", "INVENTORY @ RETAIL-NO VALUE TE")</f>
        <v>7111 - INVENTORY @ RETAIL-NO VALUE TE</v>
      </c>
      <c r="F97" s="4"/>
      <c r="G97" s="13">
        <v>5</v>
      </c>
      <c r="H97" s="10"/>
    </row>
    <row r="98" spans="1:8" s="12" customFormat="1" hidden="1" outlineLevel="1" x14ac:dyDescent="0.25">
      <c r="A98" s="17"/>
      <c r="B98" s="16"/>
      <c r="C98" s="19"/>
      <c r="D98" s="4"/>
      <c r="E98" s="4" t="str">
        <f>CONCATENATE("7113", " - ", "INVENTORY @ RETAIL-TRADE BOOKS")</f>
        <v>7113 - INVENTORY @ RETAIL-TRADE BOOKS</v>
      </c>
      <c r="F98" s="4"/>
      <c r="G98" s="13">
        <v>7999</v>
      </c>
      <c r="H98" s="10"/>
    </row>
    <row r="99" spans="1:8" s="12" customFormat="1" hidden="1" outlineLevel="1" x14ac:dyDescent="0.25">
      <c r="A99" s="17"/>
      <c r="B99" s="16"/>
      <c r="C99" s="19"/>
      <c r="D99" s="4"/>
      <c r="E99" s="4" t="str">
        <f>CONCATENATE("7117", " - ", "INVENTORY @ RETAIL-DORM/HOUSEW")</f>
        <v>7117 - INVENTORY @ RETAIL-DORM/HOUSEW</v>
      </c>
      <c r="F99" s="4"/>
      <c r="G99" s="13">
        <v>33</v>
      </c>
      <c r="H99" s="10"/>
    </row>
    <row r="100" spans="1:8" s="12" customFormat="1" hidden="1" outlineLevel="1" x14ac:dyDescent="0.25">
      <c r="A100" s="17"/>
      <c r="B100" s="16"/>
      <c r="C100" s="19"/>
      <c r="D100" s="4"/>
      <c r="E100" s="4" t="str">
        <f>CONCATENATE("7118", " - ", "INVENTORY @ RETAIL-STUDY GUIDE")</f>
        <v>7118 - INVENTORY @ RETAIL-STUDY GUIDE</v>
      </c>
      <c r="F100" s="4"/>
      <c r="G100" s="13">
        <v>2925</v>
      </c>
      <c r="H100" s="10"/>
    </row>
    <row r="101" spans="1:8" s="12" customFormat="1" hidden="1" outlineLevel="1" x14ac:dyDescent="0.25">
      <c r="A101" s="17"/>
      <c r="B101" s="16"/>
      <c r="C101" s="19"/>
      <c r="D101" s="4"/>
      <c r="E101" s="4" t="str">
        <f>CONCATENATE("7125", " - ", "INVENTORY @ RETAIL-TEST FORMS")</f>
        <v>7125 - INVENTORY @ RETAIL-TEST FORMS</v>
      </c>
      <c r="F101" s="4"/>
      <c r="G101" s="13">
        <v>37069</v>
      </c>
      <c r="H101" s="10"/>
    </row>
    <row r="102" spans="1:8" s="12" customFormat="1" hidden="1" outlineLevel="1" x14ac:dyDescent="0.25">
      <c r="A102" s="17"/>
      <c r="B102" s="16"/>
      <c r="C102" s="19"/>
      <c r="D102" s="4"/>
      <c r="E102" s="4" t="str">
        <f>CONCATENATE("7126", " - ", "INVENTORY @ RETAIL-WRITING INS")</f>
        <v>7126 - INVENTORY @ RETAIL-WRITING INS</v>
      </c>
      <c r="F102" s="4"/>
      <c r="G102" s="13">
        <v>47070</v>
      </c>
      <c r="H102" s="10"/>
    </row>
    <row r="103" spans="1:8" s="12" customFormat="1" hidden="1" outlineLevel="1" x14ac:dyDescent="0.25">
      <c r="A103" s="17"/>
      <c r="B103" s="16"/>
      <c r="C103" s="19"/>
      <c r="D103" s="4"/>
      <c r="E103" s="4" t="str">
        <f>CONCATENATE("7127", " - ", "INVENTORY @ RETAIL-SCHOOL SUPP")</f>
        <v>7127 - INVENTORY @ RETAIL-SCHOOL SUPP</v>
      </c>
      <c r="F103" s="4"/>
      <c r="G103" s="13">
        <v>123372</v>
      </c>
      <c r="H103" s="10"/>
    </row>
    <row r="104" spans="1:8" s="12" customFormat="1" hidden="1" outlineLevel="1" x14ac:dyDescent="0.25">
      <c r="A104" s="17"/>
      <c r="B104" s="16"/>
      <c r="C104" s="19"/>
      <c r="D104" s="4"/>
      <c r="E104" s="4" t="str">
        <f>CONCATENATE("7128", " - ", "INVENTORY @ RETAIL-ART/TECH")</f>
        <v>7128 - INVENTORY @ RETAIL-ART/TECH</v>
      </c>
      <c r="F104" s="4"/>
      <c r="G104" s="13">
        <v>122586</v>
      </c>
      <c r="H104" s="10"/>
    </row>
    <row r="105" spans="1:8" s="12" customFormat="1" hidden="1" outlineLevel="1" x14ac:dyDescent="0.25">
      <c r="A105" s="17"/>
      <c r="B105" s="16"/>
      <c r="C105" s="19"/>
      <c r="D105" s="4"/>
      <c r="E105" s="4" t="str">
        <f>CONCATENATE("7131", " - ", "INVENTORY @ RETAIL-FOOD")</f>
        <v>7131 - INVENTORY @ RETAIL-FOOD</v>
      </c>
      <c r="F105" s="4"/>
      <c r="G105" s="13">
        <v>3748</v>
      </c>
      <c r="H105" s="10"/>
    </row>
    <row r="106" spans="1:8" s="12" customFormat="1" hidden="1" outlineLevel="1" x14ac:dyDescent="0.25">
      <c r="A106" s="17"/>
      <c r="B106" s="16"/>
      <c r="C106" s="19"/>
      <c r="D106" s="4"/>
      <c r="E106" s="4" t="str">
        <f>CONCATENATE("7132", " - ", "INVENTORY @ RETAIL-JUICE")</f>
        <v>7132 - INVENTORY @ RETAIL-JUICE</v>
      </c>
      <c r="F106" s="4"/>
      <c r="G106" s="13">
        <v>761</v>
      </c>
      <c r="H106" s="10"/>
    </row>
    <row r="107" spans="1:8" s="12" customFormat="1" hidden="1" outlineLevel="1" x14ac:dyDescent="0.25">
      <c r="A107" s="17"/>
      <c r="B107" s="16"/>
      <c r="C107" s="19"/>
      <c r="D107" s="4"/>
      <c r="E107" s="4" t="str">
        <f>CONCATENATE("7133", " - ", "INVENTORY @ RETAIL-CANDY")</f>
        <v>7133 - INVENTORY @ RETAIL-CANDY</v>
      </c>
      <c r="F107" s="4"/>
      <c r="G107" s="13">
        <v>3154</v>
      </c>
      <c r="H107" s="10"/>
    </row>
    <row r="108" spans="1:8" s="12" customFormat="1" hidden="1" outlineLevel="1" x14ac:dyDescent="0.25">
      <c r="A108" s="17"/>
      <c r="B108" s="16"/>
      <c r="C108" s="19"/>
      <c r="D108" s="4"/>
      <c r="E108" s="4" t="str">
        <f>CONCATENATE("7134", " - ", "INVENTORY @ RETAIL-SODA")</f>
        <v>7134 - INVENTORY @ RETAIL-SODA</v>
      </c>
      <c r="F108" s="4"/>
      <c r="G108" s="13">
        <v>1350</v>
      </c>
      <c r="H108" s="10"/>
    </row>
    <row r="109" spans="1:8" s="12" customFormat="1" hidden="1" outlineLevel="1" x14ac:dyDescent="0.25">
      <c r="A109" s="17"/>
      <c r="B109" s="16"/>
      <c r="C109" s="19"/>
      <c r="D109" s="4"/>
      <c r="E109" s="4" t="str">
        <f>CONCATENATE("7135", " - ", "INVENTORY @ RETAIL-HEALTH &amp; BE")</f>
        <v>7135 - INVENTORY @ RETAIL-HEALTH &amp; BE</v>
      </c>
      <c r="F109" s="4"/>
      <c r="G109" s="13">
        <v>793</v>
      </c>
      <c r="H109" s="10"/>
    </row>
    <row r="110" spans="1:8" s="12" customFormat="1" hidden="1" outlineLevel="1" x14ac:dyDescent="0.25">
      <c r="A110" s="17"/>
      <c r="B110" s="16"/>
      <c r="C110" s="19"/>
      <c r="D110" s="4"/>
      <c r="E110" s="4" t="str">
        <f>CONCATENATE("7137", " - ", "INVENTORY @ RETAIL-WATER")</f>
        <v>7137 - INVENTORY @ RETAIL-WATER</v>
      </c>
      <c r="F110" s="4"/>
      <c r="G110" s="13">
        <v>1594</v>
      </c>
      <c r="H110" s="10"/>
    </row>
    <row r="111" spans="1:8" s="12" customFormat="1" hidden="1" outlineLevel="1" x14ac:dyDescent="0.25">
      <c r="A111" s="17"/>
      <c r="B111" s="16"/>
      <c r="C111" s="19"/>
      <c r="D111" s="4"/>
      <c r="E111" s="4" t="str">
        <f>CONCATENATE("7140", " - ", "INVENTORY @ RETAIL-LOGO CLOTHI")</f>
        <v>7140 - INVENTORY @ RETAIL-LOGO CLOTHI</v>
      </c>
      <c r="F111" s="4"/>
      <c r="G111" s="13">
        <v>905663</v>
      </c>
      <c r="H111" s="10"/>
    </row>
    <row r="112" spans="1:8" s="12" customFormat="1" hidden="1" outlineLevel="1" x14ac:dyDescent="0.25">
      <c r="A112" s="17"/>
      <c r="B112" s="16"/>
      <c r="C112" s="19"/>
      <c r="D112" s="4"/>
      <c r="E112" s="4" t="str">
        <f>CONCATENATE("7141", " - ", "INVENTORY @ RETAIL-LOGO GIFTS")</f>
        <v>7141 - INVENTORY @ RETAIL-LOGO GIFTS</v>
      </c>
      <c r="F112" s="4"/>
      <c r="G112" s="13">
        <v>293547</v>
      </c>
      <c r="H112" s="10"/>
    </row>
    <row r="113" spans="1:8" s="12" customFormat="1" hidden="1" outlineLevel="1" x14ac:dyDescent="0.25">
      <c r="A113" s="17"/>
      <c r="B113" s="16"/>
      <c r="C113" s="19"/>
      <c r="D113" s="4"/>
      <c r="E113" s="4" t="str">
        <f>CONCATENATE("7142", " - ", "INVENTORY @ RETAIL-EVERYDAY GI")</f>
        <v>7142 - INVENTORY @ RETAIL-EVERYDAY GI</v>
      </c>
      <c r="F113" s="4"/>
      <c r="G113" s="13">
        <v>170805</v>
      </c>
      <c r="H113" s="10"/>
    </row>
    <row r="114" spans="1:8" s="12" customFormat="1" hidden="1" outlineLevel="1" x14ac:dyDescent="0.25">
      <c r="A114" s="17"/>
      <c r="B114" s="16"/>
      <c r="C114" s="19"/>
      <c r="D114" s="4"/>
      <c r="E114" s="4" t="str">
        <f>CONCATENATE("7143", " - ", "INVENTORY @ RETAIL-CARDS")</f>
        <v>7143 - INVENTORY @ RETAIL-CARDS</v>
      </c>
      <c r="F114" s="4"/>
      <c r="G114" s="13">
        <v>4149</v>
      </c>
      <c r="H114" s="10"/>
    </row>
    <row r="115" spans="1:8" s="12" customFormat="1" hidden="1" outlineLevel="1" x14ac:dyDescent="0.25">
      <c r="A115" s="17"/>
      <c r="B115" s="16"/>
      <c r="C115" s="19"/>
      <c r="D115" s="4"/>
      <c r="E115" s="4" t="str">
        <f>CONCATENATE("7144", " - ", "INVENTORY @ RETAIL-ACCESSORIES")</f>
        <v>7144 - INVENTORY @ RETAIL-ACCESSORIES</v>
      </c>
      <c r="F115" s="4"/>
      <c r="G115" s="13">
        <v>69646</v>
      </c>
      <c r="H115" s="10"/>
    </row>
    <row r="116" spans="1:8" s="12" customFormat="1" hidden="1" outlineLevel="1" x14ac:dyDescent="0.25">
      <c r="A116" s="17"/>
      <c r="B116" s="16"/>
      <c r="C116" s="19"/>
      <c r="D116" s="4"/>
      <c r="E116" s="4" t="str">
        <f>CONCATENATE("7145", " - ", "INVENTORY @ RETAIL-SPECIAL ORD")</f>
        <v>7145 - INVENTORY @ RETAIL-SPECIAL ORD</v>
      </c>
      <c r="F116" s="4"/>
      <c r="G116" s="13">
        <v>54832</v>
      </c>
      <c r="H116" s="10"/>
    </row>
    <row r="117" spans="1:8" s="12" customFormat="1" hidden="1" outlineLevel="1" x14ac:dyDescent="0.25">
      <c r="A117" s="17"/>
      <c r="B117" s="16"/>
      <c r="C117" s="19"/>
      <c r="D117" s="4"/>
      <c r="E117" s="4" t="str">
        <f>CONCATENATE("7181", " - ", "PURCHASES @ RETAIL-ELECTRONICS")</f>
        <v>7181 - PURCHASES @ RETAIL-ELECTRONICS</v>
      </c>
      <c r="F117" s="4"/>
      <c r="G117" s="13">
        <v>61701</v>
      </c>
      <c r="H117" s="10"/>
    </row>
    <row r="118" spans="1:8" s="12" customFormat="1" hidden="1" outlineLevel="1" x14ac:dyDescent="0.25">
      <c r="A118" s="17"/>
      <c r="B118" s="16"/>
      <c r="C118" s="19"/>
      <c r="D118" s="4"/>
      <c r="E118" s="4" t="str">
        <f>CONCATENATE("7182", " - ", "INVENTORY @ RETAIL-COMPUTER HA")</f>
        <v>7182 - INVENTORY @ RETAIL-COMPUTER HA</v>
      </c>
      <c r="F118" s="4"/>
      <c r="G118" s="13">
        <v>111546</v>
      </c>
      <c r="H118" s="10"/>
    </row>
    <row r="119" spans="1:8" s="12" customFormat="1" hidden="1" outlineLevel="1" x14ac:dyDescent="0.25">
      <c r="A119" s="17"/>
      <c r="B119" s="16"/>
      <c r="C119" s="19"/>
      <c r="D119" s="4"/>
      <c r="E119" s="4" t="str">
        <f>CONCATENATE("7183", " - ", "INVENTORY @ RETAIL-COMPUTER EQ")</f>
        <v>7183 - INVENTORY @ RETAIL-COMPUTER EQ</v>
      </c>
      <c r="F119" s="4"/>
      <c r="G119" s="13">
        <v>46862</v>
      </c>
      <c r="H119" s="10"/>
    </row>
    <row r="120" spans="1:8" s="12" customFormat="1" hidden="1" outlineLevel="1" x14ac:dyDescent="0.25">
      <c r="A120" s="17"/>
      <c r="B120" s="16"/>
      <c r="C120" s="19"/>
      <c r="D120" s="4"/>
      <c r="E120" s="4" t="str">
        <f>CONCATENATE("7184", " - ", "INVENTORY @ RETAIL-SOFTWARE LI")</f>
        <v>7184 - INVENTORY @ RETAIL-SOFTWARE LI</v>
      </c>
      <c r="F120" s="4"/>
      <c r="G120" s="13">
        <v>4303</v>
      </c>
      <c r="H120" s="10"/>
    </row>
    <row r="121" spans="1:8" s="12" customFormat="1" hidden="1" outlineLevel="1" x14ac:dyDescent="0.25">
      <c r="A121" s="17"/>
      <c r="B121" s="16"/>
      <c r="C121" s="19"/>
      <c r="D121" s="4"/>
      <c r="E121" s="4" t="str">
        <f>CONCATENATE("7185", " - ", "INVENTORY @ RETAIL-SOFTWARE")</f>
        <v>7185 - INVENTORY @ RETAIL-SOFTWARE</v>
      </c>
      <c r="F121" s="4"/>
      <c r="G121" s="13">
        <v>3147</v>
      </c>
      <c r="H121" s="10"/>
    </row>
    <row r="122" spans="1:8" s="12" customFormat="1" hidden="1" outlineLevel="1" x14ac:dyDescent="0.25">
      <c r="A122" s="17"/>
      <c r="B122" s="16"/>
      <c r="C122" s="19"/>
      <c r="D122" s="4"/>
      <c r="E122" s="4" t="str">
        <f>CONCATENATE("7186", " - ", "INVENTORY @ RETAIL-COMPUTER SU")</f>
        <v>7186 - INVENTORY @ RETAIL-COMPUTER SU</v>
      </c>
      <c r="F122" s="4"/>
      <c r="G122" s="13">
        <v>22156</v>
      </c>
      <c r="H122" s="10"/>
    </row>
    <row r="123" spans="1:8" s="12" customFormat="1" hidden="1" outlineLevel="1" x14ac:dyDescent="0.25">
      <c r="A123" s="17"/>
      <c r="B123" s="16"/>
      <c r="C123" s="19"/>
      <c r="D123" s="4"/>
      <c r="E123" s="4" t="str">
        <f>CONCATENATE("7188", " - ", "INVENTORY @ RETAIL-MUSIC")</f>
        <v>7188 - INVENTORY @ RETAIL-MUSIC</v>
      </c>
      <c r="F123" s="4"/>
      <c r="G123" s="13">
        <v>32</v>
      </c>
      <c r="H123" s="10"/>
    </row>
    <row r="124" spans="1:8" s="12" customFormat="1" hidden="1" outlineLevel="1" x14ac:dyDescent="0.25">
      <c r="A124" s="17"/>
      <c r="B124" s="16"/>
      <c r="C124" s="19"/>
      <c r="D124" s="4"/>
      <c r="E124" s="4" t="str">
        <f>CONCATENATE("7192", " - ", "INVENTORY @ RETAIL-GRAD MERCH")</f>
        <v>7192 - INVENTORY @ RETAIL-GRAD MERCH</v>
      </c>
      <c r="F124" s="4"/>
      <c r="G124" s="13">
        <v>20492</v>
      </c>
      <c r="H124" s="10"/>
    </row>
    <row r="125" spans="1:8" ht="8.25" customHeight="1" x14ac:dyDescent="0.25">
      <c r="B125" s="2"/>
      <c r="C125" s="9"/>
      <c r="D125" s="3"/>
      <c r="E125" s="7"/>
      <c r="F125" s="7"/>
      <c r="G125" s="20"/>
      <c r="H125" s="8"/>
    </row>
    <row r="126" spans="1:8" s="5" customFormat="1" collapsed="1" x14ac:dyDescent="0.25">
      <c r="B126" s="2"/>
      <c r="C126" s="9"/>
      <c r="D126" s="3" t="s">
        <v>83</v>
      </c>
      <c r="E126" s="3"/>
      <c r="F126" s="3"/>
      <c r="G126" s="11">
        <f>SUM(OSRRefG20x_0)</f>
        <v>50798.369999999995</v>
      </c>
      <c r="H126" s="2"/>
    </row>
    <row r="127" spans="1:8" s="12" customFormat="1" hidden="1" outlineLevel="1" x14ac:dyDescent="0.25">
      <c r="A127" s="17"/>
      <c r="B127" s="16"/>
      <c r="C127" s="19"/>
      <c r="D127" s="21"/>
      <c r="E127" s="4" t="str">
        <f>CONCATENATE("1410", " - ", "PREPAID-GENERAL INSURANCE")</f>
        <v>1410 - PREPAID-GENERAL INSURANCE</v>
      </c>
      <c r="F127" s="4"/>
      <c r="G127" s="13">
        <v>0</v>
      </c>
      <c r="H127" s="10"/>
    </row>
    <row r="128" spans="1:8" s="12" customFormat="1" hidden="1" outlineLevel="1" x14ac:dyDescent="0.25">
      <c r="A128" s="17"/>
      <c r="B128" s="16"/>
      <c r="C128" s="19"/>
      <c r="D128" s="21"/>
      <c r="E128" s="4" t="str">
        <f>CONCATENATE("1418", " - ", "PREPAID-WORKERS COMP. INSURANC")</f>
        <v>1418 - PREPAID-WORKERS COMP. INSURANC</v>
      </c>
      <c r="F128" s="4"/>
      <c r="G128" s="13">
        <v>43359.06</v>
      </c>
      <c r="H128" s="10"/>
    </row>
    <row r="129" spans="1:8" s="12" customFormat="1" hidden="1" outlineLevel="1" x14ac:dyDescent="0.25">
      <c r="A129" s="17"/>
      <c r="B129" s="16"/>
      <c r="C129" s="19"/>
      <c r="D129" s="21"/>
      <c r="E129" s="4" t="str">
        <f>CONCATENATE("1432", " - ", "PREPAID EXPENSES")</f>
        <v>1432 - PREPAID EXPENSES</v>
      </c>
      <c r="F129" s="4"/>
      <c r="G129" s="13">
        <v>-150</v>
      </c>
      <c r="H129" s="10"/>
    </row>
    <row r="130" spans="1:8" s="12" customFormat="1" hidden="1" outlineLevel="1" x14ac:dyDescent="0.25">
      <c r="A130" s="17"/>
      <c r="B130" s="16"/>
      <c r="C130" s="19"/>
      <c r="D130" s="21"/>
      <c r="E130" s="4" t="str">
        <f>CONCATENATE("1435", " - ", "PREP.PURCHASES-WHOLESALE BOOKS")</f>
        <v>1435 - PREP.PURCHASES-WHOLESALE BOOKS</v>
      </c>
      <c r="F130" s="4"/>
      <c r="G130" s="13">
        <v>7589.31</v>
      </c>
      <c r="H130" s="10"/>
    </row>
    <row r="131" spans="1:8" ht="8.25" customHeight="1" x14ac:dyDescent="0.25">
      <c r="B131" s="2"/>
      <c r="C131" s="9"/>
      <c r="D131" s="3"/>
      <c r="E131" s="7"/>
      <c r="F131" s="7"/>
      <c r="G131" s="20"/>
      <c r="H131" s="8"/>
    </row>
    <row r="132" spans="1:8" s="5" customFormat="1" ht="15.75" thickBot="1" x14ac:dyDescent="0.3">
      <c r="B132" s="2"/>
      <c r="C132" s="26" t="s">
        <v>164</v>
      </c>
      <c r="D132" s="6"/>
      <c r="E132" s="6"/>
      <c r="F132" s="6"/>
      <c r="G132" s="24">
        <f>+G9+G34+G55+G126</f>
        <v>17469458.84</v>
      </c>
      <c r="H132" s="2"/>
    </row>
    <row r="133" spans="1:8" ht="8.25" customHeight="1" thickBot="1" x14ac:dyDescent="0.3"/>
    <row r="134" spans="1:8" x14ac:dyDescent="0.25">
      <c r="B134" s="2"/>
      <c r="C134" s="25" t="s">
        <v>297</v>
      </c>
      <c r="D134" s="14"/>
      <c r="E134" s="23"/>
      <c r="F134" s="23"/>
      <c r="G134" s="35"/>
      <c r="H134" s="8"/>
    </row>
    <row r="135" spans="1:8" s="5" customFormat="1" collapsed="1" x14ac:dyDescent="0.25">
      <c r="B135" s="2"/>
      <c r="C135" s="9"/>
      <c r="D135" s="3" t="s">
        <v>57</v>
      </c>
      <c r="E135" s="3"/>
      <c r="F135" s="3"/>
      <c r="G135" s="11">
        <f>SUM(OSRRefG26x_0)</f>
        <v>25547387.079999998</v>
      </c>
      <c r="H135" s="2"/>
    </row>
    <row r="136" spans="1:8" s="12" customFormat="1" hidden="1" outlineLevel="1" x14ac:dyDescent="0.25">
      <c r="A136" s="17"/>
      <c r="B136" s="16"/>
      <c r="C136" s="19"/>
      <c r="D136" s="4"/>
      <c r="E136" s="4" t="str">
        <f>CONCATENATE("1610", " - ", "CAPITAL IMPROVEMENTS - ADMIN.")</f>
        <v>1610 - CAPITAL IMPROVEMENTS - ADMIN.</v>
      </c>
      <c r="F136" s="4"/>
      <c r="G136" s="13">
        <v>0</v>
      </c>
      <c r="H136" s="10"/>
    </row>
    <row r="137" spans="1:8" s="12" customFormat="1" hidden="1" outlineLevel="1" x14ac:dyDescent="0.25">
      <c r="A137" s="17"/>
      <c r="B137" s="16"/>
      <c r="C137" s="19"/>
      <c r="D137" s="4"/>
      <c r="E137" s="4" t="str">
        <f>CONCATENATE("1620", " - ", "CAPITAL IMPROVEMENTS-BOOKSTORE")</f>
        <v>1620 - CAPITAL IMPROVEMENTS-BOOKSTORE</v>
      </c>
      <c r="F137" s="4"/>
      <c r="G137" s="13">
        <v>0</v>
      </c>
      <c r="H137" s="10"/>
    </row>
    <row r="138" spans="1:8" s="12" customFormat="1" hidden="1" outlineLevel="1" x14ac:dyDescent="0.25">
      <c r="A138" s="17"/>
      <c r="B138" s="16"/>
      <c r="C138" s="19"/>
      <c r="D138" s="4"/>
      <c r="E138" s="4" t="str">
        <f>CONCATENATE("1630", " - ", "CAPITAL IMPROVEMENTS-FOOD SVC.")</f>
        <v>1630 - CAPITAL IMPROVEMENTS-FOOD SVC.</v>
      </c>
      <c r="F138" s="4"/>
      <c r="G138" s="13">
        <v>122730.35</v>
      </c>
      <c r="H138" s="10"/>
    </row>
    <row r="139" spans="1:8" s="12" customFormat="1" hidden="1" outlineLevel="1" x14ac:dyDescent="0.25">
      <c r="A139" s="17"/>
      <c r="B139" s="16"/>
      <c r="C139" s="19"/>
      <c r="D139" s="4"/>
      <c r="E139" s="4" t="str">
        <f>CONCATENATE("1710", " - ", "FIXED ASSETS-BKSTR BLDG")</f>
        <v>1710 - FIXED ASSETS-BKSTR BLDG</v>
      </c>
      <c r="F139" s="4"/>
      <c r="G139" s="13">
        <v>7154220</v>
      </c>
      <c r="H139" s="10"/>
    </row>
    <row r="140" spans="1:8" s="12" customFormat="1" hidden="1" outlineLevel="1" x14ac:dyDescent="0.25">
      <c r="A140" s="17"/>
      <c r="B140" s="16"/>
      <c r="C140" s="19"/>
      <c r="D140" s="4"/>
      <c r="E140" s="4" t="str">
        <f>CONCATENATE("1715", " - ", "FIXED ASSETS-VENDOR PARKING RE")</f>
        <v>1715 - FIXED ASSETS-VENDOR PARKING RE</v>
      </c>
      <c r="F140" s="4"/>
      <c r="G140" s="13">
        <v>37663.74</v>
      </c>
      <c r="H140" s="10"/>
    </row>
    <row r="141" spans="1:8" s="12" customFormat="1" hidden="1" outlineLevel="1" x14ac:dyDescent="0.25">
      <c r="A141" s="17"/>
      <c r="B141" s="16"/>
      <c r="C141" s="19"/>
      <c r="D141" s="4"/>
      <c r="E141" s="4" t="str">
        <f>CONCATENATE("1720", " - ", "FIXED ASSETS-FOOD SVC LEASEHOL")</f>
        <v>1720 - FIXED ASSETS-FOOD SVC LEASEHOL</v>
      </c>
      <c r="F141" s="4"/>
      <c r="G141" s="13">
        <v>12159394.359999999</v>
      </c>
      <c r="H141" s="10"/>
    </row>
    <row r="142" spans="1:8" s="12" customFormat="1" hidden="1" outlineLevel="1" x14ac:dyDescent="0.25">
      <c r="A142" s="17"/>
      <c r="B142" s="16"/>
      <c r="C142" s="19"/>
      <c r="D142" s="4"/>
      <c r="E142" s="4" t="str">
        <f>CONCATENATE("1725", " - ", "FIXED ASSETS-ADMIN EQUIPMENT")</f>
        <v>1725 - FIXED ASSETS-ADMIN EQUIPMENT</v>
      </c>
      <c r="F142" s="4"/>
      <c r="G142" s="13">
        <v>803410.45</v>
      </c>
      <c r="H142" s="10"/>
    </row>
    <row r="143" spans="1:8" s="12" customFormat="1" hidden="1" outlineLevel="1" x14ac:dyDescent="0.25">
      <c r="A143" s="17"/>
      <c r="B143" s="16"/>
      <c r="C143" s="19"/>
      <c r="D143" s="4"/>
      <c r="E143" s="4" t="str">
        <f>CONCATENATE("1730", " - ", "FIXED ASSETS-BKSTR EQUIPMENT")</f>
        <v>1730 - FIXED ASSETS-BKSTR EQUIPMENT</v>
      </c>
      <c r="F143" s="4"/>
      <c r="G143" s="13">
        <v>2757707.64</v>
      </c>
      <c r="H143" s="10"/>
    </row>
    <row r="144" spans="1:8" s="12" customFormat="1" hidden="1" outlineLevel="1" x14ac:dyDescent="0.25">
      <c r="A144" s="17"/>
      <c r="B144" s="16"/>
      <c r="C144" s="19"/>
      <c r="D144" s="4"/>
      <c r="E144" s="4" t="str">
        <f>CONCATENATE("1740", " - ", "FIXED ASSETS-FOOD SERVICE EQUI")</f>
        <v>1740 - FIXED ASSETS-FOOD SERVICE EQUI</v>
      </c>
      <c r="F144" s="4"/>
      <c r="G144" s="13">
        <v>2215928.58</v>
      </c>
      <c r="H144" s="10"/>
    </row>
    <row r="145" spans="1:8" s="12" customFormat="1" hidden="1" outlineLevel="1" x14ac:dyDescent="0.25">
      <c r="A145" s="17"/>
      <c r="B145" s="16"/>
      <c r="C145" s="19"/>
      <c r="D145" s="4"/>
      <c r="E145" s="4" t="str">
        <f>CONCATENATE("1750", " - ", "FIXED ASSETS-ADMIN FURN+FIXTUR")</f>
        <v>1750 - FIXED ASSETS-ADMIN FURN+FIXTUR</v>
      </c>
      <c r="F145" s="4"/>
      <c r="G145" s="13">
        <v>108112.53</v>
      </c>
      <c r="H145" s="10"/>
    </row>
    <row r="146" spans="1:8" s="12" customFormat="1" hidden="1" outlineLevel="1" x14ac:dyDescent="0.25">
      <c r="A146" s="17"/>
      <c r="B146" s="16"/>
      <c r="C146" s="19"/>
      <c r="D146" s="4"/>
      <c r="E146" s="4" t="str">
        <f>CONCATENATE("1755", " - ", "FIXED ASSETS-BKSTR FURN+FIXTUR")</f>
        <v>1755 - FIXED ASSETS-BKSTR FURN+FIXTUR</v>
      </c>
      <c r="F146" s="4"/>
      <c r="G146" s="13">
        <v>123574.2</v>
      </c>
      <c r="H146" s="10"/>
    </row>
    <row r="147" spans="1:8" s="12" customFormat="1" hidden="1" outlineLevel="1" x14ac:dyDescent="0.25">
      <c r="A147" s="17"/>
      <c r="B147" s="16"/>
      <c r="C147" s="19"/>
      <c r="D147" s="4"/>
      <c r="E147" s="4" t="str">
        <f>CONCATENATE("1760", " - ", "FIXED ASSETS-FOOD SVC OFFICE E")</f>
        <v>1760 - FIXED ASSETS-FOOD SVC OFFICE E</v>
      </c>
      <c r="F147" s="4"/>
      <c r="G147" s="13">
        <v>17910.53</v>
      </c>
      <c r="H147" s="10"/>
    </row>
    <row r="148" spans="1:8" s="12" customFormat="1" hidden="1" outlineLevel="1" x14ac:dyDescent="0.25">
      <c r="A148" s="17"/>
      <c r="B148" s="16"/>
      <c r="C148" s="19"/>
      <c r="D148" s="4"/>
      <c r="E148" s="4" t="str">
        <f>CONCATENATE("1785", " - ", "FIXED ASSETS-BKSTR VEHICLES")</f>
        <v>1785 - FIXED ASSETS-BKSTR VEHICLES</v>
      </c>
      <c r="F148" s="4"/>
      <c r="G148" s="13">
        <v>10879.74</v>
      </c>
      <c r="H148" s="10"/>
    </row>
    <row r="149" spans="1:8" s="12" customFormat="1" hidden="1" outlineLevel="1" x14ac:dyDescent="0.25">
      <c r="A149" s="17"/>
      <c r="B149" s="16"/>
      <c r="C149" s="19"/>
      <c r="D149" s="4"/>
      <c r="E149" s="4" t="str">
        <f>CONCATENATE("1790", " - ", "FIXED ASSETS-FOOD SVC VEHICLES")</f>
        <v>1790 - FIXED ASSETS-FOOD SVC VEHICLES</v>
      </c>
      <c r="F149" s="4"/>
      <c r="G149" s="13">
        <v>35854.959999999999</v>
      </c>
      <c r="H149" s="10"/>
    </row>
    <row r="150" spans="1:8" s="5" customFormat="1" x14ac:dyDescent="0.25">
      <c r="B150" s="2"/>
      <c r="C150" s="9"/>
      <c r="D150" s="3" t="s">
        <v>106</v>
      </c>
      <c r="E150" s="3"/>
      <c r="F150" s="3"/>
      <c r="G150" s="11">
        <v>-19355028.25</v>
      </c>
      <c r="H150" s="2"/>
    </row>
    <row r="151" spans="1:8" s="5" customFormat="1" ht="15.75" thickBot="1" x14ac:dyDescent="0.3">
      <c r="B151" s="2"/>
      <c r="C151" s="26" t="s">
        <v>141</v>
      </c>
      <c r="D151" s="6"/>
      <c r="E151" s="6"/>
      <c r="F151" s="6"/>
      <c r="G151" s="24">
        <f>+G135+G150</f>
        <v>6192358.8299999982</v>
      </c>
      <c r="H151" s="2"/>
    </row>
    <row r="152" spans="1:8" ht="8.25" customHeight="1" x14ac:dyDescent="0.25"/>
    <row r="153" spans="1:8" s="5" customFormat="1" ht="15.75" thickBot="1" x14ac:dyDescent="0.3">
      <c r="B153" s="15" t="s">
        <v>163</v>
      </c>
      <c r="C153" s="18"/>
      <c r="D153" s="18"/>
      <c r="E153" s="18"/>
      <c r="F153" s="18"/>
      <c r="G153" s="33">
        <f>+G132+G151</f>
        <v>23661817.669999998</v>
      </c>
      <c r="H153" s="2"/>
    </row>
    <row r="154" spans="1:8" s="5" customFormat="1" ht="15.75" thickTop="1" x14ac:dyDescent="0.25">
      <c r="G154" s="30"/>
    </row>
    <row r="155" spans="1:8" s="5" customFormat="1" ht="15.75" thickBot="1" x14ac:dyDescent="0.3">
      <c r="B155" s="15" t="s">
        <v>256</v>
      </c>
      <c r="C155" s="15"/>
      <c r="D155" s="15"/>
      <c r="E155" s="15"/>
      <c r="F155" s="15"/>
      <c r="G155" s="15"/>
      <c r="H155" s="2"/>
    </row>
    <row r="156" spans="1:8" s="5" customFormat="1" x14ac:dyDescent="0.25">
      <c r="B156" s="2"/>
      <c r="C156" s="25" t="s">
        <v>139</v>
      </c>
      <c r="D156" s="14"/>
      <c r="E156" s="14"/>
      <c r="F156" s="14"/>
      <c r="G156" s="39"/>
      <c r="H156" s="2"/>
    </row>
    <row r="157" spans="1:8" s="5" customFormat="1" collapsed="1" x14ac:dyDescent="0.25">
      <c r="B157" s="2"/>
      <c r="C157" s="9"/>
      <c r="D157" s="3" t="s">
        <v>54</v>
      </c>
      <c r="E157" s="3"/>
      <c r="F157" s="3"/>
      <c r="G157" s="11">
        <f>-269665.17</f>
        <v>-269665.17</v>
      </c>
      <c r="H157" s="2"/>
    </row>
    <row r="158" spans="1:8" s="12" customFormat="1" hidden="1" outlineLevel="2" x14ac:dyDescent="0.25">
      <c r="A158" s="17"/>
      <c r="B158" s="16"/>
      <c r="C158" s="19"/>
      <c r="D158" s="21"/>
      <c r="E158" s="4" t="str">
        <f>CONCATENATE("2000", " - ", "A/P - CLEARING")</f>
        <v>2000 - A/P - CLEARING</v>
      </c>
      <c r="G158" s="13">
        <f>--337.96</f>
        <v>337.96</v>
      </c>
      <c r="H158" s="10"/>
    </row>
    <row r="159" spans="1:8" s="12" customFormat="1" hidden="1" outlineLevel="2" x14ac:dyDescent="0.25">
      <c r="A159" s="17"/>
      <c r="B159" s="16"/>
      <c r="C159" s="19"/>
      <c r="D159" s="21"/>
      <c r="E159" s="4" t="str">
        <f>CONCATENATE("2001", " - ", "A/P - MERCHANDISE")</f>
        <v>2001 - A/P - MERCHANDISE</v>
      </c>
      <c r="G159" s="13">
        <f>-471562.42</f>
        <v>-471562.42</v>
      </c>
      <c r="H159" s="10"/>
    </row>
    <row r="160" spans="1:8" s="12" customFormat="1" hidden="1" outlineLevel="2" x14ac:dyDescent="0.25">
      <c r="A160" s="17"/>
      <c r="B160" s="16"/>
      <c r="C160" s="19"/>
      <c r="D160" s="21"/>
      <c r="E160" s="4" t="str">
        <f>CONCATENATE("2003", " - ", "A/P - FOOD SVC.")</f>
        <v>2003 - A/P - FOOD SVC.</v>
      </c>
      <c r="G160" s="13">
        <f>-20838.54</f>
        <v>-20838.54</v>
      </c>
      <c r="H160" s="10"/>
    </row>
    <row r="161" spans="1:8" s="12" customFormat="1" hidden="1" outlineLevel="2" x14ac:dyDescent="0.25">
      <c r="A161" s="17"/>
      <c r="B161" s="16"/>
      <c r="C161" s="19"/>
      <c r="D161" s="21"/>
      <c r="E161" s="4" t="str">
        <f>CONCATENATE("2004", " - ", "A/P - GENERAL")</f>
        <v>2004 - A/P - GENERAL</v>
      </c>
      <c r="G161" s="13">
        <f>--223129.64</f>
        <v>223129.64</v>
      </c>
      <c r="H161" s="10"/>
    </row>
    <row r="162" spans="1:8" s="12" customFormat="1" hidden="1" outlineLevel="2" x14ac:dyDescent="0.25">
      <c r="A162" s="17"/>
      <c r="B162" s="16"/>
      <c r="C162" s="19"/>
      <c r="D162" s="21"/>
      <c r="E162" s="4" t="str">
        <f>CONCATENATE("2013", " - ", "A/P - UNIVERSITY")</f>
        <v>2013 - A/P - UNIVERSITY</v>
      </c>
      <c r="G162" s="13">
        <f>-878.41</f>
        <v>-878.41</v>
      </c>
      <c r="H162" s="10"/>
    </row>
    <row r="163" spans="1:8" s="12" customFormat="1" hidden="1" outlineLevel="2" x14ac:dyDescent="0.25">
      <c r="A163" s="17"/>
      <c r="B163" s="16"/>
      <c r="C163" s="19"/>
      <c r="D163" s="21"/>
      <c r="E163" s="4" t="str">
        <f>CONCATENATE("2015", " - ", "A/P - CUST.REFUNDS")</f>
        <v>2015 - A/P - CUST.REFUNDS</v>
      </c>
      <c r="G163" s="13">
        <f>--146.6</f>
        <v>146.6</v>
      </c>
      <c r="H163" s="10"/>
    </row>
    <row r="164" spans="1:8" s="5" customFormat="1" collapsed="1" x14ac:dyDescent="0.25">
      <c r="B164" s="2"/>
      <c r="C164" s="9"/>
      <c r="D164" s="3" t="s">
        <v>138</v>
      </c>
      <c r="E164" s="3"/>
      <c r="F164" s="3"/>
      <c r="G164" s="11">
        <f>--1368176.68</f>
        <v>1368176.68</v>
      </c>
      <c r="H164" s="2"/>
    </row>
    <row r="165" spans="1:8" s="12" customFormat="1" hidden="1" outlineLevel="2" x14ac:dyDescent="0.25">
      <c r="A165" s="17"/>
      <c r="B165" s="16"/>
      <c r="C165" s="19"/>
      <c r="D165" s="21"/>
      <c r="E165" s="4" t="str">
        <f>CONCATENATE("2231", " - ", "ACCRUED PAYROLL")</f>
        <v>2231 - ACCRUED PAYROLL</v>
      </c>
      <c r="G165" s="13">
        <f>--28001.64</f>
        <v>28001.64</v>
      </c>
      <c r="H165" s="10"/>
    </row>
    <row r="166" spans="1:8" s="12" customFormat="1" hidden="1" outlineLevel="2" x14ac:dyDescent="0.25">
      <c r="A166" s="17"/>
      <c r="B166" s="16"/>
      <c r="C166" s="19"/>
      <c r="D166" s="21"/>
      <c r="E166" s="4" t="str">
        <f>CONCATENATE("2232", " - ", "ACCRUED VACATION")</f>
        <v>2232 - ACCRUED VACATION</v>
      </c>
      <c r="G166" s="13">
        <f>--482725.09</f>
        <v>482725.09</v>
      </c>
      <c r="H166" s="10"/>
    </row>
    <row r="167" spans="1:8" s="12" customFormat="1" hidden="1" outlineLevel="2" x14ac:dyDescent="0.25">
      <c r="A167" s="17"/>
      <c r="B167" s="16"/>
      <c r="C167" s="19"/>
      <c r="D167" s="21"/>
      <c r="E167" s="4" t="str">
        <f>CONCATENATE("2233", " - ", "ACCRUED SICK LEAVE")</f>
        <v>2233 - ACCRUED SICK LEAVE</v>
      </c>
      <c r="G167" s="13">
        <f>--375549.3</f>
        <v>375549.3</v>
      </c>
      <c r="H167" s="10"/>
    </row>
    <row r="168" spans="1:8" s="12" customFormat="1" hidden="1" outlineLevel="2" x14ac:dyDescent="0.25">
      <c r="A168" s="17"/>
      <c r="B168" s="16"/>
      <c r="C168" s="19"/>
      <c r="D168" s="21"/>
      <c r="E168" s="4" t="str">
        <f>CONCATENATE("2300", " - ", "SICK LEAVE PAYABLE")</f>
        <v>2300 - SICK LEAVE PAYABLE</v>
      </c>
      <c r="G168" s="13">
        <f>--481900.65</f>
        <v>481900.65</v>
      </c>
      <c r="H168" s="10"/>
    </row>
    <row r="169" spans="1:8" s="5" customFormat="1" collapsed="1" x14ac:dyDescent="0.25">
      <c r="B169" s="2"/>
      <c r="C169" s="9"/>
      <c r="D169" s="3" t="s">
        <v>55</v>
      </c>
      <c r="E169" s="3"/>
      <c r="F169" s="3"/>
      <c r="G169" s="11">
        <f>--564303.95</f>
        <v>564303.94999999995</v>
      </c>
      <c r="H169" s="2"/>
    </row>
    <row r="170" spans="1:8" s="12" customFormat="1" hidden="1" outlineLevel="2" x14ac:dyDescent="0.25">
      <c r="A170" s="17"/>
      <c r="B170" s="16"/>
      <c r="C170" s="19"/>
      <c r="D170" s="21"/>
      <c r="E170" s="4" t="str">
        <f>CONCATENATE("2219", " - ", "UNEMPLOYMENT INSURANCE")</f>
        <v>2219 - UNEMPLOYMENT INSURANCE</v>
      </c>
      <c r="G170" s="13">
        <f>--517458.43</f>
        <v>517458.43</v>
      </c>
      <c r="H170" s="10"/>
    </row>
    <row r="171" spans="1:8" s="12" customFormat="1" hidden="1" outlineLevel="2" x14ac:dyDescent="0.25">
      <c r="A171" s="17"/>
      <c r="B171" s="16"/>
      <c r="C171" s="19"/>
      <c r="D171" s="21"/>
      <c r="E171" s="4" t="str">
        <f>CONCATENATE("2221", " - ", "ACCRUED GROUP INSURANCE")</f>
        <v>2221 - ACCRUED GROUP INSURANCE</v>
      </c>
      <c r="G171" s="13">
        <f>-7797.93</f>
        <v>-7797.93</v>
      </c>
      <c r="H171" s="10"/>
    </row>
    <row r="172" spans="1:8" s="12" customFormat="1" hidden="1" outlineLevel="2" x14ac:dyDescent="0.25">
      <c r="A172" s="17"/>
      <c r="B172" s="16"/>
      <c r="C172" s="19"/>
      <c r="D172" s="21"/>
      <c r="E172" s="4" t="str">
        <f>CONCATENATE("2222", " - ", "LIFE INSURANCE")</f>
        <v>2222 - LIFE INSURANCE</v>
      </c>
      <c r="G172" s="13">
        <f>--439.82</f>
        <v>439.82</v>
      </c>
      <c r="H172" s="10"/>
    </row>
    <row r="173" spans="1:8" s="12" customFormat="1" hidden="1" outlineLevel="2" x14ac:dyDescent="0.25">
      <c r="A173" s="17"/>
      <c r="B173" s="16"/>
      <c r="C173" s="19"/>
      <c r="D173" s="21"/>
      <c r="E173" s="4" t="str">
        <f>CONCATENATE("2224", " - ", "MISCELLANEOUS INSURANCE")</f>
        <v>2224 - MISCELLANEOUS INSURANCE</v>
      </c>
      <c r="G173" s="13">
        <f>--3168</f>
        <v>3168</v>
      </c>
      <c r="H173" s="10"/>
    </row>
    <row r="174" spans="1:8" s="12" customFormat="1" hidden="1" outlineLevel="2" x14ac:dyDescent="0.25">
      <c r="A174" s="17"/>
      <c r="B174" s="16"/>
      <c r="C174" s="19"/>
      <c r="D174" s="21"/>
      <c r="E174" s="4" t="str">
        <f>CONCATENATE("2225", " - ", "ACCRUED P.E.R.S.")</f>
        <v>2225 - ACCRUED P.E.R.S.</v>
      </c>
      <c r="G174" s="13">
        <f>--35014.32</f>
        <v>35014.32</v>
      </c>
      <c r="H174" s="10"/>
    </row>
    <row r="175" spans="1:8" s="12" customFormat="1" hidden="1" outlineLevel="2" x14ac:dyDescent="0.25">
      <c r="A175" s="17"/>
      <c r="B175" s="16"/>
      <c r="C175" s="19"/>
      <c r="D175" s="21"/>
      <c r="E175" s="4" t="str">
        <f>CONCATENATE("2229", " - ", "ACCRUED RETIREMENT STAFF HOURL")</f>
        <v>2229 - ACCRUED RETIREMENT STAFF HOURL</v>
      </c>
      <c r="G175" s="13">
        <f>--9124.23</f>
        <v>9124.23</v>
      </c>
      <c r="H175" s="10"/>
    </row>
    <row r="176" spans="1:8" s="12" customFormat="1" hidden="1" outlineLevel="2" x14ac:dyDescent="0.25">
      <c r="A176" s="17"/>
      <c r="B176" s="16"/>
      <c r="C176" s="19"/>
      <c r="D176" s="21"/>
      <c r="E176" s="4" t="str">
        <f>CONCATENATE("2230", " - ", "P/R DEDUCTIONS-PARKING")</f>
        <v>2230 - P/R DEDUCTIONS-PARKING</v>
      </c>
      <c r="G176" s="13">
        <f>-3202.7</f>
        <v>-3202.7</v>
      </c>
      <c r="H176" s="10"/>
    </row>
    <row r="177" spans="1:8" s="12" customFormat="1" hidden="1" outlineLevel="2" x14ac:dyDescent="0.25">
      <c r="A177" s="17"/>
      <c r="B177" s="16"/>
      <c r="C177" s="19"/>
      <c r="D177" s="21"/>
      <c r="E177" s="4" t="str">
        <f>CONCATENATE("2234", " - ", "ACCRUED FLEXIBLE BENEFITS")</f>
        <v>2234 - ACCRUED FLEXIBLE BENEFITS</v>
      </c>
      <c r="G177" s="13">
        <f>--10099.78</f>
        <v>10099.780000000001</v>
      </c>
      <c r="H177" s="10"/>
    </row>
    <row r="178" spans="1:8" s="5" customFormat="1" collapsed="1" x14ac:dyDescent="0.25">
      <c r="B178" s="2"/>
      <c r="C178" s="9"/>
      <c r="D178" s="3" t="s">
        <v>236</v>
      </c>
      <c r="E178" s="3"/>
      <c r="F178" s="3"/>
      <c r="G178" s="11">
        <f>--30570.72</f>
        <v>30570.720000000001</v>
      </c>
      <c r="H178" s="2"/>
    </row>
    <row r="179" spans="1:8" s="12" customFormat="1" hidden="1" outlineLevel="2" x14ac:dyDescent="0.25">
      <c r="A179" s="17"/>
      <c r="B179" s="16"/>
      <c r="C179" s="19"/>
      <c r="D179" s="21"/>
      <c r="E179" s="4" t="str">
        <f>CONCATENATE("2111", " - ", "SALES TAX-BOOKSTORE")</f>
        <v>2111 - SALES TAX-BOOKSTORE</v>
      </c>
      <c r="G179" s="13">
        <f>--9833.92</f>
        <v>9833.92</v>
      </c>
      <c r="H179" s="10"/>
    </row>
    <row r="180" spans="1:8" s="12" customFormat="1" hidden="1" outlineLevel="2" x14ac:dyDescent="0.25">
      <c r="A180" s="17"/>
      <c r="B180" s="16"/>
      <c r="C180" s="19"/>
      <c r="D180" s="21"/>
      <c r="E180" s="4" t="str">
        <f>CONCATENATE("2112", " - ", "SALES TAX-FOOD SERVICE")</f>
        <v>2112 - SALES TAX-FOOD SERVICE</v>
      </c>
      <c r="G180" s="13">
        <f>--19260.8</f>
        <v>19260.8</v>
      </c>
      <c r="H180" s="10"/>
    </row>
    <row r="181" spans="1:8" s="12" customFormat="1" hidden="1" outlineLevel="2" x14ac:dyDescent="0.25">
      <c r="A181" s="17"/>
      <c r="B181" s="16"/>
      <c r="C181" s="19"/>
      <c r="D181" s="21"/>
      <c r="E181" s="4" t="str">
        <f>CONCATENATE("2114", " - ", "CA ELECT.WASTE RECYL.4-14 IN")</f>
        <v>2114 - CA ELECT.WASTE RECYL.4-14 IN</v>
      </c>
      <c r="G181" s="13">
        <f>--989</f>
        <v>989</v>
      </c>
      <c r="H181" s="10"/>
    </row>
    <row r="182" spans="1:8" s="12" customFormat="1" hidden="1" outlineLevel="2" x14ac:dyDescent="0.25">
      <c r="A182" s="17"/>
      <c r="B182" s="16"/>
      <c r="C182" s="19"/>
      <c r="D182" s="21"/>
      <c r="E182" s="4" t="str">
        <f>CONCATENATE("2115", " - ", "CA ELECT.WASTE RECYL 15-34 IN")</f>
        <v>2115 - CA ELECT.WASTE RECYL 15-34 IN</v>
      </c>
      <c r="G182" s="13">
        <f>--487</f>
        <v>487</v>
      </c>
      <c r="H182" s="10"/>
    </row>
    <row r="183" spans="1:8" s="12" customFormat="1" hidden="1" outlineLevel="2" x14ac:dyDescent="0.25">
      <c r="A183" s="17"/>
      <c r="B183" s="16"/>
      <c r="C183" s="19"/>
      <c r="D183" s="21"/>
      <c r="E183" s="4" t="str">
        <f>CONCATENATE("2116", " - ", "CA ELECT.WASTE RECYCL.35 IN+")</f>
        <v>2116 - CA ELECT.WASTE RECYCL.35 IN+</v>
      </c>
      <c r="G183" s="13">
        <f t="shared" ref="G183:G187" si="0">0</f>
        <v>0</v>
      </c>
      <c r="H183" s="10"/>
    </row>
    <row r="184" spans="1:8" s="12" customFormat="1" hidden="1" outlineLevel="2" x14ac:dyDescent="0.25">
      <c r="A184" s="17"/>
      <c r="B184" s="16"/>
      <c r="C184" s="19"/>
      <c r="D184" s="21"/>
      <c r="E184" s="4" t="str">
        <f>CONCATENATE("2215", " - ", "ACCRUED FEDERAL WITHHOLDING TA")</f>
        <v>2215 - ACCRUED FEDERAL WITHHOLDING TA</v>
      </c>
      <c r="G184" s="13">
        <f t="shared" si="0"/>
        <v>0</v>
      </c>
      <c r="H184" s="10"/>
    </row>
    <row r="185" spans="1:8" s="12" customFormat="1" hidden="1" outlineLevel="2" x14ac:dyDescent="0.25">
      <c r="A185" s="17"/>
      <c r="B185" s="16"/>
      <c r="C185" s="19"/>
      <c r="D185" s="21"/>
      <c r="E185" s="4" t="str">
        <f>CONCATENATE("2216", " - ", "ACCRUED F.I.C.A.")</f>
        <v>2216 - ACCRUED F.I.C.A.</v>
      </c>
      <c r="G185" s="13">
        <f t="shared" si="0"/>
        <v>0</v>
      </c>
      <c r="H185" s="10"/>
    </row>
    <row r="186" spans="1:8" s="12" customFormat="1" hidden="1" outlineLevel="2" x14ac:dyDescent="0.25">
      <c r="A186" s="17"/>
      <c r="B186" s="16"/>
      <c r="C186" s="19"/>
      <c r="D186" s="21"/>
      <c r="E186" s="4" t="str">
        <f>CONCATENATE("2217", " - ", "STATE WITHHOLDING TAXES")</f>
        <v>2217 - STATE WITHHOLDING TAXES</v>
      </c>
      <c r="G186" s="13">
        <f t="shared" si="0"/>
        <v>0</v>
      </c>
      <c r="H186" s="10"/>
    </row>
    <row r="187" spans="1:8" s="12" customFormat="1" hidden="1" outlineLevel="2" x14ac:dyDescent="0.25">
      <c r="A187" s="17"/>
      <c r="B187" s="16"/>
      <c r="C187" s="19"/>
      <c r="D187" s="21"/>
      <c r="E187" s="4" t="str">
        <f>CONCATENATE("2218", " - ", "STATE DISABILITY PAYABLE")</f>
        <v>2218 - STATE DISABILITY PAYABLE</v>
      </c>
      <c r="G187" s="13">
        <f t="shared" si="0"/>
        <v>0</v>
      </c>
      <c r="H187" s="10"/>
    </row>
    <row r="188" spans="1:8" s="5" customFormat="1" collapsed="1" x14ac:dyDescent="0.25">
      <c r="B188" s="2"/>
      <c r="C188" s="9"/>
      <c r="D188" s="3" t="s">
        <v>296</v>
      </c>
      <c r="E188" s="3"/>
      <c r="F188" s="3"/>
      <c r="G188" s="11">
        <f>--658703.26</f>
        <v>658703.26</v>
      </c>
      <c r="H188" s="2"/>
    </row>
    <row r="189" spans="1:8" s="12" customFormat="1" hidden="1" outlineLevel="2" x14ac:dyDescent="0.25">
      <c r="A189" s="17"/>
      <c r="B189" s="16"/>
      <c r="C189" s="19"/>
      <c r="D189" s="21"/>
      <c r="E189" s="4" t="str">
        <f>CONCATENATE("2422", " - ", """I DECLARE"" CAMPUS FUNDRAISING")</f>
        <v>2422 - "I DECLARE" CAMPUS FUNDRAISING</v>
      </c>
      <c r="G189" s="13">
        <f>--5</f>
        <v>5</v>
      </c>
      <c r="H189" s="10"/>
    </row>
    <row r="190" spans="1:8" s="12" customFormat="1" hidden="1" outlineLevel="2" x14ac:dyDescent="0.25">
      <c r="A190" s="17"/>
      <c r="B190" s="16"/>
      <c r="C190" s="19"/>
      <c r="D190" s="21"/>
      <c r="E190" s="4" t="str">
        <f>CONCATENATE("2424", " - ", "CLEARING-ATHLETIC PROGRAM SALE")</f>
        <v>2424 - CLEARING-ATHLETIC PROGRAM SALE</v>
      </c>
      <c r="G190" s="13">
        <f>-108</f>
        <v>-108</v>
      </c>
      <c r="H190" s="10"/>
    </row>
    <row r="191" spans="1:8" s="12" customFormat="1" hidden="1" outlineLevel="2" x14ac:dyDescent="0.25">
      <c r="A191" s="17"/>
      <c r="B191" s="16"/>
      <c r="C191" s="19"/>
      <c r="D191" s="21"/>
      <c r="E191" s="4" t="str">
        <f>CONCATENATE("2425", " - ", "NBC REWARDS")</f>
        <v>2425 - NBC REWARDS</v>
      </c>
      <c r="G191" s="13">
        <f>--1664.2</f>
        <v>1664.2</v>
      </c>
      <c r="H191" s="10"/>
    </row>
    <row r="192" spans="1:8" s="12" customFormat="1" hidden="1" outlineLevel="2" x14ac:dyDescent="0.25">
      <c r="A192" s="17"/>
      <c r="B192" s="16"/>
      <c r="C192" s="19"/>
      <c r="D192" s="21"/>
      <c r="E192" s="4" t="str">
        <f>CONCATENATE("2426", " - ", "UNCLEARED CKS/UNCLAIMED MONIES")</f>
        <v>2426 - UNCLEARED CKS/UNCLAIMED MONIES</v>
      </c>
      <c r="G192" s="13">
        <f>-3388.84</f>
        <v>-3388.84</v>
      </c>
      <c r="H192" s="10"/>
    </row>
    <row r="193" spans="1:8" s="12" customFormat="1" hidden="1" outlineLevel="2" x14ac:dyDescent="0.25">
      <c r="A193" s="17"/>
      <c r="B193" s="16"/>
      <c r="C193" s="19"/>
      <c r="D193" s="21"/>
      <c r="E193" s="4" t="str">
        <f>CONCATENATE("2430", " - ", "CLEARING-REGAL ENT.MOVIE TKT.")</f>
        <v>2430 - CLEARING-REGAL ENT.MOVIE TKT.</v>
      </c>
      <c r="G193" s="13">
        <f>-184</f>
        <v>-184</v>
      </c>
      <c r="H193" s="10"/>
    </row>
    <row r="194" spans="1:8" s="12" customFormat="1" hidden="1" outlineLevel="2" x14ac:dyDescent="0.25">
      <c r="A194" s="17"/>
      <c r="B194" s="16"/>
      <c r="C194" s="19"/>
      <c r="D194" s="21"/>
      <c r="E194" s="4" t="str">
        <f>CONCATENATE("2432", " - ", "CLEARING-AMC THEATRE TICKETS")</f>
        <v>2432 - CLEARING-AMC THEATRE TICKETS</v>
      </c>
      <c r="G194" s="13">
        <f>-2.5</f>
        <v>-2.5</v>
      </c>
      <c r="H194" s="10"/>
    </row>
    <row r="195" spans="1:8" s="12" customFormat="1" hidden="1" outlineLevel="2" x14ac:dyDescent="0.25">
      <c r="A195" s="17"/>
      <c r="B195" s="16"/>
      <c r="C195" s="19"/>
      <c r="D195" s="21"/>
      <c r="E195" s="4" t="str">
        <f>CONCATENATE("2437", " - ", "CLEARING-CINEMARK MOVIE")</f>
        <v>2437 - CLEARING-CINEMARK MOVIE</v>
      </c>
      <c r="G195" s="13">
        <f>-1485</f>
        <v>-1485</v>
      </c>
      <c r="H195" s="10"/>
    </row>
    <row r="196" spans="1:8" s="12" customFormat="1" hidden="1" outlineLevel="2" x14ac:dyDescent="0.25">
      <c r="A196" s="17"/>
      <c r="B196" s="16"/>
      <c r="C196" s="19"/>
      <c r="D196" s="21"/>
      <c r="E196" s="4" t="str">
        <f>CONCATENATE("2440", " - ", "CLEARING-A/R")</f>
        <v>2440 - CLEARING-A/R</v>
      </c>
      <c r="G196" s="13">
        <f>--41357.95</f>
        <v>41357.949999999997</v>
      </c>
      <c r="H196" s="10"/>
    </row>
    <row r="197" spans="1:8" s="12" customFormat="1" hidden="1" outlineLevel="2" x14ac:dyDescent="0.25">
      <c r="A197" s="17"/>
      <c r="B197" s="16"/>
      <c r="C197" s="19"/>
      <c r="D197" s="21"/>
      <c r="E197" s="4" t="str">
        <f>CONCATENATE("2441", " - ", "DEPOSIT-BEACH CLUB")</f>
        <v>2441 - DEPOSIT-BEACH CLUB</v>
      </c>
      <c r="G197" s="13">
        <f>--447861.51</f>
        <v>447861.51</v>
      </c>
      <c r="H197" s="10"/>
    </row>
    <row r="198" spans="1:8" s="12" customFormat="1" hidden="1" outlineLevel="2" x14ac:dyDescent="0.25">
      <c r="A198" s="17"/>
      <c r="B198" s="16"/>
      <c r="C198" s="19"/>
      <c r="D198" s="21"/>
      <c r="E198" s="4" t="str">
        <f>CONCATENATE("2445", " - ", "LOCKER DEPOSIT")</f>
        <v>2445 - LOCKER DEPOSIT</v>
      </c>
      <c r="G198" s="13">
        <f>--852</f>
        <v>852</v>
      </c>
      <c r="H198" s="10"/>
    </row>
    <row r="199" spans="1:8" s="12" customFormat="1" hidden="1" outlineLevel="2" x14ac:dyDescent="0.25">
      <c r="A199" s="17"/>
      <c r="B199" s="16"/>
      <c r="C199" s="19"/>
      <c r="D199" s="21"/>
      <c r="E199" s="4" t="str">
        <f>CONCATENATE("2447", " - ", "PROMO A/C DEPOSIT")</f>
        <v>2447 - PROMO A/C DEPOSIT</v>
      </c>
      <c r="G199" s="13">
        <f>--42325.86</f>
        <v>42325.86</v>
      </c>
      <c r="H199" s="10"/>
    </row>
    <row r="200" spans="1:8" s="12" customFormat="1" hidden="1" outlineLevel="2" x14ac:dyDescent="0.25">
      <c r="A200" s="17"/>
      <c r="B200" s="16"/>
      <c r="C200" s="19"/>
      <c r="D200" s="21"/>
      <c r="E200" s="4" t="str">
        <f>CONCATENATE("2449", " - ", "MISCELLANEOUS DEFERRED INCOME")</f>
        <v>2449 - MISCELLANEOUS DEFERRED INCOME</v>
      </c>
      <c r="G200" s="13">
        <f>-7815.13</f>
        <v>-7815.13</v>
      </c>
      <c r="H200" s="10"/>
    </row>
    <row r="201" spans="1:8" s="12" customFormat="1" hidden="1" outlineLevel="2" x14ac:dyDescent="0.25">
      <c r="A201" s="17"/>
      <c r="B201" s="16"/>
      <c r="C201" s="19"/>
      <c r="D201" s="21"/>
      <c r="E201" s="4" t="str">
        <f>CONCATENATE("2450", " - ", "CLEARING-DESIGN DEPT-ACTIVITY")</f>
        <v>2450 - CLEARING-DESIGN DEPT-ACTIVITY</v>
      </c>
      <c r="G201" s="13">
        <f>-3</f>
        <v>-3</v>
      </c>
      <c r="H201" s="10"/>
    </row>
    <row r="202" spans="1:8" s="12" customFormat="1" hidden="1" outlineLevel="2" x14ac:dyDescent="0.25">
      <c r="A202" s="17"/>
      <c r="B202" s="16"/>
      <c r="C202" s="19"/>
      <c r="D202" s="21"/>
      <c r="E202" s="4" t="str">
        <f>CONCATENATE("2454", " - ", "CLEARING-CARLS/EL POLLO/PANDA")</f>
        <v>2454 - CLEARING-CARLS/EL POLLO/PANDA</v>
      </c>
      <c r="G202" s="13">
        <f>-18.53</f>
        <v>-18.53</v>
      </c>
      <c r="H202" s="10"/>
    </row>
    <row r="203" spans="1:8" s="12" customFormat="1" hidden="1" outlineLevel="2" x14ac:dyDescent="0.25">
      <c r="A203" s="17"/>
      <c r="B203" s="16"/>
      <c r="C203" s="19"/>
      <c r="D203" s="21"/>
      <c r="E203" s="4" t="str">
        <f>CONCATENATE("2455", " - ", "CLEARING-LIBRARY MICROFILMS")</f>
        <v>2455 - CLEARING-LIBRARY MICROFILMS</v>
      </c>
      <c r="G203" s="13">
        <f>-605.5</f>
        <v>-605.5</v>
      </c>
      <c r="H203" s="10"/>
    </row>
    <row r="204" spans="1:8" s="12" customFormat="1" hidden="1" outlineLevel="2" x14ac:dyDescent="0.25">
      <c r="A204" s="17"/>
      <c r="B204" s="16"/>
      <c r="C204" s="19"/>
      <c r="D204" s="21"/>
      <c r="E204" s="4" t="str">
        <f>CONCATENATE("2456", " - ", "CLEARING-ART LAB")</f>
        <v>2456 - CLEARING-ART LAB</v>
      </c>
      <c r="G204" s="13">
        <f>-94.1</f>
        <v>-94.1</v>
      </c>
      <c r="H204" s="10"/>
    </row>
    <row r="205" spans="1:8" s="12" customFormat="1" hidden="1" outlineLevel="2" x14ac:dyDescent="0.25">
      <c r="A205" s="17"/>
      <c r="B205" s="16"/>
      <c r="C205" s="19"/>
      <c r="D205" s="21"/>
      <c r="E205" s="4" t="str">
        <f>CONCATENATE("2460", " - ", "CLEARING-BOARD INCOME")</f>
        <v>2460 - CLEARING-BOARD INCOME</v>
      </c>
      <c r="G205" s="13">
        <f>0</f>
        <v>0</v>
      </c>
      <c r="H205" s="10"/>
    </row>
    <row r="206" spans="1:8" s="12" customFormat="1" hidden="1" outlineLevel="2" x14ac:dyDescent="0.25">
      <c r="A206" s="17"/>
      <c r="B206" s="16"/>
      <c r="C206" s="19"/>
      <c r="D206" s="21"/>
      <c r="E206" s="4" t="str">
        <f>CONCATENATE("2461", " - ", "CLEARING-PARKING FOR B/C")</f>
        <v>2461 - CLEARING-PARKING FOR B/C</v>
      </c>
      <c r="G206" s="13">
        <f>--299.54</f>
        <v>299.54000000000002</v>
      </c>
      <c r="H206" s="10"/>
    </row>
    <row r="207" spans="1:8" s="12" customFormat="1" hidden="1" outlineLevel="2" x14ac:dyDescent="0.25">
      <c r="A207" s="17"/>
      <c r="B207" s="16"/>
      <c r="C207" s="19"/>
      <c r="D207" s="21"/>
      <c r="E207" s="4" t="str">
        <f>CONCATENATE("2462", " - ", "CLEARING-TEXTBOOK SCHOLARSHIP")</f>
        <v>2462 - CLEARING-TEXTBOOK SCHOLARSHIP</v>
      </c>
      <c r="G207" s="13">
        <f>--1745</f>
        <v>1745</v>
      </c>
      <c r="H207" s="10"/>
    </row>
    <row r="208" spans="1:8" s="12" customFormat="1" hidden="1" outlineLevel="2" x14ac:dyDescent="0.25">
      <c r="A208" s="17"/>
      <c r="B208" s="16"/>
      <c r="C208" s="19"/>
      <c r="D208" s="21"/>
      <c r="E208" s="4" t="str">
        <f>CONCATENATE("2465", " - ", "CLEARING-LEARNING ASSISTANCE C")</f>
        <v>2465 - CLEARING-LEARNING ASSISTANCE C</v>
      </c>
      <c r="G208" s="13">
        <f>--3.2</f>
        <v>3.2</v>
      </c>
      <c r="H208" s="10"/>
    </row>
    <row r="209" spans="1:8" s="12" customFormat="1" hidden="1" outlineLevel="2" x14ac:dyDescent="0.25">
      <c r="A209" s="17"/>
      <c r="B209" s="16"/>
      <c r="C209" s="19"/>
      <c r="D209" s="21"/>
      <c r="E209" s="4" t="str">
        <f>CONCATENATE("2532", " - ", "ACCRUED LIAB.-THESIS BINDING/M")</f>
        <v>2532 - ACCRUED LIAB.-THESIS BINDING/M</v>
      </c>
      <c r="G209" s="13">
        <f>--107.21</f>
        <v>107.21</v>
      </c>
      <c r="H209" s="10"/>
    </row>
    <row r="210" spans="1:8" s="12" customFormat="1" hidden="1" outlineLevel="2" x14ac:dyDescent="0.25">
      <c r="A210" s="17"/>
      <c r="B210" s="16"/>
      <c r="C210" s="19"/>
      <c r="D210" s="21"/>
      <c r="E210" s="4" t="str">
        <f>CONCATENATE("2537", " - ", "OTHER ACCRUED LIABILITIES")</f>
        <v>2537 - OTHER ACCRUED LIABILITIES</v>
      </c>
      <c r="G210" s="13">
        <f>--136186.39</f>
        <v>136186.39000000001</v>
      </c>
      <c r="H210" s="10"/>
    </row>
    <row r="211" spans="1:8" s="12" customFormat="1" hidden="1" outlineLevel="2" x14ac:dyDescent="0.25">
      <c r="A211" s="17"/>
      <c r="B211" s="16"/>
      <c r="C211" s="19"/>
      <c r="D211" s="21"/>
      <c r="E211" s="4" t="str">
        <f>CONCATENATE("2538", " - ", "ACCRUED INVENTORY ADJUSTMENT")</f>
        <v>2538 - ACCRUED INVENTORY ADJUSTMENT</v>
      </c>
      <c r="G211" s="13">
        <f t="shared" ref="G211:G212" si="1">0</f>
        <v>0</v>
      </c>
      <c r="H211" s="10"/>
    </row>
    <row r="212" spans="1:8" s="12" customFormat="1" hidden="1" outlineLevel="2" x14ac:dyDescent="0.25">
      <c r="A212" s="17"/>
      <c r="B212" s="16"/>
      <c r="C212" s="19"/>
      <c r="D212" s="21"/>
      <c r="E212" s="4" t="str">
        <f>CONCATENATE("3800", " - ", "RETAINED EARNINGS-OPERATIONS")</f>
        <v>3800 - RETAINED EARNINGS-OPERATIONS</v>
      </c>
      <c r="G212" s="13">
        <f t="shared" si="1"/>
        <v>0</v>
      </c>
      <c r="H212" s="10"/>
    </row>
    <row r="213" spans="1:8" s="5" customFormat="1" ht="15.75" thickBot="1" x14ac:dyDescent="0.3">
      <c r="B213" s="2"/>
      <c r="C213" s="26" t="s">
        <v>140</v>
      </c>
      <c r="D213" s="6"/>
      <c r="E213" s="6"/>
      <c r="F213" s="6"/>
      <c r="G213" s="24">
        <f>SUM(OSRRefG34x_0)</f>
        <v>2352089.44</v>
      </c>
      <c r="H213" s="2"/>
    </row>
    <row r="214" spans="1:8" ht="8.25" customHeight="1" thickBot="1" x14ac:dyDescent="0.3"/>
    <row r="215" spans="1:8" x14ac:dyDescent="0.25">
      <c r="B215" s="2"/>
      <c r="C215" s="25" t="s">
        <v>82</v>
      </c>
      <c r="D215" s="14"/>
      <c r="E215" s="23"/>
      <c r="F215" s="23"/>
      <c r="G215" s="35"/>
      <c r="H215" s="8"/>
    </row>
    <row r="216" spans="1:8" s="5" customFormat="1" collapsed="1" x14ac:dyDescent="0.25">
      <c r="B216" s="2"/>
      <c r="C216" s="9"/>
      <c r="D216" s="3" t="s">
        <v>125</v>
      </c>
      <c r="E216" s="3"/>
      <c r="F216" s="3"/>
      <c r="G216" s="11">
        <f>SUM(OSRRefG40_0x_0)</f>
        <v>-13330.71</v>
      </c>
      <c r="H216" s="2"/>
    </row>
    <row r="217" spans="1:8" s="12" customFormat="1" hidden="1" outlineLevel="1" x14ac:dyDescent="0.25">
      <c r="B217" s="10"/>
      <c r="C217" s="40"/>
      <c r="D217" s="4"/>
      <c r="E217" s="4" t="str">
        <f>CONCATENATE("2739", " - ", "ACCRUED POST RETIREMENT BENEFI")</f>
        <v>2739 - ACCRUED POST RETIREMENT BENEFI</v>
      </c>
      <c r="F217" s="4"/>
      <c r="G217" s="13">
        <f>-13330.71</f>
        <v>-13330.71</v>
      </c>
      <c r="H217" s="10"/>
    </row>
    <row r="218" spans="1:8" s="5" customFormat="1" x14ac:dyDescent="0.25">
      <c r="B218" s="2"/>
      <c r="C218" s="9"/>
      <c r="D218" s="3" t="s">
        <v>276</v>
      </c>
      <c r="E218" s="3"/>
      <c r="F218" s="3"/>
      <c r="G218" s="11">
        <f>SUM(OSRRefG40_1x_0)</f>
        <v>5057530.5600000005</v>
      </c>
      <c r="H218" s="2"/>
    </row>
    <row r="219" spans="1:8" s="12" customFormat="1" outlineLevel="1" x14ac:dyDescent="0.25">
      <c r="B219" s="10"/>
      <c r="C219" s="40"/>
      <c r="D219" s="4"/>
      <c r="E219" s="4" t="str">
        <f>CONCATENATE("2236", " - ", "SBA LOAN #2")</f>
        <v>2236 - SBA LOAN #2</v>
      </c>
      <c r="F219" s="4"/>
      <c r="G219" s="13">
        <f>--2000000</f>
        <v>2000000</v>
      </c>
      <c r="H219" s="10"/>
    </row>
    <row r="220" spans="1:8" s="12" customFormat="1" outlineLevel="1" x14ac:dyDescent="0.25">
      <c r="B220" s="10"/>
      <c r="C220" s="40"/>
      <c r="D220" s="4"/>
      <c r="E220" s="4" t="str">
        <f>CONCATENATE("2303", " - ", "NOTES PAYABLE-CHANCELLORS OFFI")</f>
        <v>2303 - NOTES PAYABLE-CHANCELLORS OFFI</v>
      </c>
      <c r="F220" s="4"/>
      <c r="G220" s="13">
        <f>--3057530.56</f>
        <v>3057530.56</v>
      </c>
      <c r="H220" s="10"/>
    </row>
    <row r="221" spans="1:8" s="5" customFormat="1" collapsed="1" x14ac:dyDescent="0.25">
      <c r="B221" s="2"/>
      <c r="C221" s="9"/>
      <c r="D221" s="3" t="s">
        <v>237</v>
      </c>
      <c r="E221" s="3"/>
      <c r="F221" s="3"/>
      <c r="G221" s="11">
        <f>SUM(OSRRefG40_2x_0)</f>
        <v>4506551.62</v>
      </c>
      <c r="H221" s="2"/>
    </row>
    <row r="222" spans="1:8" s="12" customFormat="1" hidden="1" outlineLevel="1" x14ac:dyDescent="0.25">
      <c r="B222" s="10"/>
      <c r="C222" s="40"/>
      <c r="D222" s="4"/>
      <c r="E222" s="4" t="str">
        <f>CONCATENATE("2226", " - ", "ACCRUED PERS/PEPRA UNFUNDED LI")</f>
        <v>2226 - ACCRUED PERS/PEPRA UNFUNDED LI</v>
      </c>
      <c r="F222" s="4"/>
      <c r="G222" s="13">
        <f>--4506551.62</f>
        <v>4506551.62</v>
      </c>
      <c r="H222" s="10"/>
    </row>
    <row r="223" spans="1:8" s="5" customFormat="1" ht="15.75" thickBot="1" x14ac:dyDescent="0.3">
      <c r="B223" s="2"/>
      <c r="C223" s="26" t="s">
        <v>58</v>
      </c>
      <c r="D223" s="6"/>
      <c r="E223" s="6"/>
      <c r="F223" s="6"/>
      <c r="G223" s="24">
        <f>SUM(OSRRefG40x_0)</f>
        <v>9550751.4699999988</v>
      </c>
      <c r="H223" s="2"/>
    </row>
    <row r="224" spans="1:8" ht="8.25" customHeight="1" x14ac:dyDescent="0.25"/>
    <row r="225" spans="1:8" s="5" customFormat="1" x14ac:dyDescent="0.25">
      <c r="B225" s="34" t="s">
        <v>107</v>
      </c>
      <c r="C225" s="22"/>
      <c r="D225" s="22"/>
      <c r="E225" s="22"/>
      <c r="F225" s="22"/>
      <c r="G225" s="32">
        <f>+G213+G223</f>
        <v>11902840.909999998</v>
      </c>
      <c r="H225" s="2"/>
    </row>
    <row r="226" spans="1:8" s="5" customFormat="1" ht="8.25" customHeight="1" thickBot="1" x14ac:dyDescent="0.3">
      <c r="G226" s="30"/>
    </row>
    <row r="227" spans="1:8" s="5" customFormat="1" x14ac:dyDescent="0.25">
      <c r="B227" s="2"/>
      <c r="C227" s="25" t="s">
        <v>162</v>
      </c>
      <c r="D227" s="14"/>
      <c r="E227" s="14"/>
      <c r="F227" s="14"/>
      <c r="G227" s="39"/>
      <c r="H227" s="2"/>
    </row>
    <row r="228" spans="1:8" x14ac:dyDescent="0.25">
      <c r="A228" s="27"/>
      <c r="B228" s="8"/>
      <c r="C228" s="51"/>
      <c r="D228" s="7" t="s">
        <v>38</v>
      </c>
      <c r="E228" s="7"/>
      <c r="F228" s="7"/>
      <c r="G228" s="20">
        <f>-561461.19</f>
        <v>-561461.18999999994</v>
      </c>
      <c r="H228" s="8"/>
    </row>
    <row r="229" spans="1:8" x14ac:dyDescent="0.25">
      <c r="A229" s="27"/>
      <c r="B229" s="8"/>
      <c r="C229" s="51"/>
      <c r="D229" s="7" t="s">
        <v>277</v>
      </c>
      <c r="E229" s="7"/>
      <c r="F229" s="7"/>
      <c r="G229" s="20">
        <f>--11916637.71</f>
        <v>11916637.710000001</v>
      </c>
      <c r="H229" s="8"/>
    </row>
    <row r="230" spans="1:8" x14ac:dyDescent="0.25">
      <c r="A230" s="27"/>
      <c r="B230" s="8"/>
      <c r="C230" s="51"/>
      <c r="D230" s="7" t="s">
        <v>278</v>
      </c>
      <c r="E230" s="7"/>
      <c r="F230" s="7"/>
      <c r="G230" s="20">
        <f>--403800.24</f>
        <v>403800.24</v>
      </c>
      <c r="H230" s="8"/>
    </row>
    <row r="231" spans="1:8" s="5" customFormat="1" ht="15.75" thickBot="1" x14ac:dyDescent="0.3">
      <c r="B231" s="2"/>
      <c r="C231" s="26" t="s">
        <v>294</v>
      </c>
      <c r="D231" s="6"/>
      <c r="E231" s="6"/>
      <c r="F231" s="6"/>
      <c r="G231" s="24">
        <f>SUM(G227:G230)</f>
        <v>11758976.760000002</v>
      </c>
      <c r="H231" s="2"/>
    </row>
    <row r="232" spans="1:8" ht="8.25" customHeight="1" x14ac:dyDescent="0.25"/>
    <row r="233" spans="1:8" x14ac:dyDescent="0.25">
      <c r="B233" s="34" t="s">
        <v>257</v>
      </c>
      <c r="C233" s="22"/>
      <c r="D233" s="22"/>
      <c r="E233" s="37"/>
      <c r="F233" s="37"/>
      <c r="G233" s="32">
        <f>+G231</f>
        <v>11758976.760000002</v>
      </c>
      <c r="H233" s="8"/>
    </row>
    <row r="234" spans="1:8" ht="8.25" customHeight="1" x14ac:dyDescent="0.25"/>
    <row r="235" spans="1:8" ht="15.75" thickBot="1" x14ac:dyDescent="0.3">
      <c r="B235" s="15" t="s">
        <v>21</v>
      </c>
      <c r="C235" s="18"/>
      <c r="D235" s="18"/>
      <c r="E235" s="28"/>
      <c r="F235" s="28"/>
      <c r="G235" s="33">
        <f>+G225+G233</f>
        <v>23661817.670000002</v>
      </c>
      <c r="H235" s="8"/>
    </row>
    <row r="236" spans="1:8" ht="8.25" customHeight="1" thickTop="1" x14ac:dyDescent="0.25"/>
    <row r="237" spans="1:8" s="49" customFormat="1" ht="11.25" x14ac:dyDescent="0.2">
      <c r="A237" s="50"/>
      <c r="B237" s="56">
        <v>44454.682840277776</v>
      </c>
      <c r="C237" s="56"/>
      <c r="D237" s="56"/>
      <c r="E237" s="56"/>
      <c r="F237" s="56"/>
      <c r="G237" s="46">
        <f>ROUND(G153-G235, 0)</f>
        <v>0</v>
      </c>
    </row>
    <row r="238" spans="1:8" s="49" customFormat="1" ht="11.25" x14ac:dyDescent="0.2">
      <c r="A238" s="50"/>
      <c r="B238" s="45" t="s">
        <v>56</v>
      </c>
      <c r="C238" s="36"/>
      <c r="D238" s="36"/>
      <c r="E238" s="38"/>
      <c r="F238" s="38"/>
      <c r="G238" s="44"/>
    </row>
  </sheetData>
  <mergeCells count="1">
    <mergeCell ref="B237:F237"/>
  </mergeCells>
  <conditionalFormatting sqref="G237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7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1"/>
      <c r="D2" s="31"/>
      <c r="E2" s="52"/>
      <c r="F2" s="43" t="s">
        <v>22</v>
      </c>
      <c r="G2" s="48"/>
      <c r="H2" s="41"/>
    </row>
    <row r="3" spans="1:8" x14ac:dyDescent="0.25">
      <c r="C3" s="31"/>
      <c r="D3" s="31"/>
      <c r="E3" s="52"/>
      <c r="F3" s="43" t="s">
        <v>279</v>
      </c>
      <c r="G3" s="48"/>
      <c r="H3" s="41"/>
    </row>
    <row r="4" spans="1:8" x14ac:dyDescent="0.25">
      <c r="C4" s="29"/>
      <c r="D4" s="29"/>
      <c r="E4" s="29"/>
      <c r="F4" s="43" t="s">
        <v>315</v>
      </c>
      <c r="G4" s="48"/>
      <c r="H4" s="41"/>
    </row>
    <row r="5" spans="1:8" x14ac:dyDescent="0.25">
      <c r="C5" s="29"/>
      <c r="D5" s="29"/>
      <c r="E5" s="29"/>
      <c r="F5" s="43" t="e">
        <f ca="1">_xll.OneStop.ReportPlayer.OSRFunctions.OSRGet("Period","PeriodEnd")</f>
        <v>#NAME?</v>
      </c>
      <c r="G5" s="48"/>
      <c r="H5" s="41"/>
    </row>
    <row r="7" spans="1:8" ht="15.75" thickBot="1" x14ac:dyDescent="0.3">
      <c r="B7" s="15" t="s">
        <v>126</v>
      </c>
      <c r="C7" s="18"/>
      <c r="D7" s="18"/>
      <c r="E7" s="28"/>
      <c r="F7" s="28"/>
      <c r="G7" s="42"/>
      <c r="H7" s="8"/>
    </row>
    <row r="8" spans="1:8" x14ac:dyDescent="0.25">
      <c r="B8" s="2"/>
      <c r="C8" s="25" t="s">
        <v>201</v>
      </c>
      <c r="D8" s="14"/>
      <c r="E8" s="23"/>
      <c r="F8" s="23"/>
      <c r="G8" s="20"/>
      <c r="H8" s="8"/>
    </row>
    <row r="9" spans="1:8" s="5" customFormat="1" x14ac:dyDescent="0.25">
      <c r="B9" s="2"/>
      <c r="C9" s="9"/>
      <c r="D9" s="3" t="s">
        <v>127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25">
      <c r="A11" s="17"/>
      <c r="B11" s="16"/>
      <c r="C11" s="19"/>
      <c r="D11" s="21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238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25">
      <c r="A14" s="17"/>
      <c r="B14" s="16"/>
      <c r="C14" s="19"/>
      <c r="D14" s="21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108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25">
      <c r="A17" s="17"/>
      <c r="B17" s="16"/>
      <c r="C17" s="19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83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25">
      <c r="A20" s="17"/>
      <c r="B20" s="16"/>
      <c r="C20" s="19"/>
      <c r="D20" s="21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6" t="s">
        <v>164</v>
      </c>
      <c r="D22" s="6"/>
      <c r="E22" s="6"/>
      <c r="F22" s="6"/>
      <c r="G22" s="24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5" t="s">
        <v>297</v>
      </c>
      <c r="D24" s="14"/>
      <c r="E24" s="23"/>
      <c r="F24" s="23"/>
      <c r="G24" s="35"/>
      <c r="H24" s="8"/>
    </row>
    <row r="25" spans="1:8" s="5" customFormat="1" collapsed="1" x14ac:dyDescent="0.25">
      <c r="B25" s="2"/>
      <c r="C25" s="9"/>
      <c r="D25" s="3" t="s">
        <v>57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25">
      <c r="A26" s="17"/>
      <c r="B26" s="16"/>
      <c r="C26" s="19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106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6" t="s">
        <v>141</v>
      </c>
      <c r="D28" s="6"/>
      <c r="E28" s="6"/>
      <c r="F28" s="6"/>
      <c r="G28" s="24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5" t="s">
        <v>163</v>
      </c>
      <c r="C30" s="18"/>
      <c r="D30" s="18"/>
      <c r="E30" s="18"/>
      <c r="F30" s="18"/>
      <c r="G30" s="33" t="e">
        <f ca="1">+G22+G28</f>
        <v>#NAME?</v>
      </c>
      <c r="H30" s="2"/>
    </row>
    <row r="31" spans="1:8" s="5" customFormat="1" ht="15.75" thickTop="1" x14ac:dyDescent="0.25">
      <c r="G31" s="30"/>
    </row>
    <row r="32" spans="1:8" s="5" customFormat="1" ht="15.75" thickBot="1" x14ac:dyDescent="0.3">
      <c r="B32" s="15" t="s">
        <v>256</v>
      </c>
      <c r="C32" s="15"/>
      <c r="D32" s="15"/>
      <c r="E32" s="15"/>
      <c r="F32" s="15"/>
      <c r="G32" s="15"/>
      <c r="H32" s="2"/>
    </row>
    <row r="33" spans="1:8" s="5" customFormat="1" x14ac:dyDescent="0.25">
      <c r="B33" s="2"/>
      <c r="C33" s="25" t="s">
        <v>139</v>
      </c>
      <c r="D33" s="14"/>
      <c r="E33" s="14"/>
      <c r="F33" s="14"/>
      <c r="G33" s="39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25">
      <c r="A35" s="17"/>
      <c r="B35" s="16"/>
      <c r="C35" s="19"/>
      <c r="D35" s="21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6" t="s">
        <v>140</v>
      </c>
      <c r="D36" s="6"/>
      <c r="E36" s="6"/>
      <c r="F36" s="6"/>
      <c r="G36" s="24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5" t="s">
        <v>82</v>
      </c>
      <c r="D38" s="14"/>
      <c r="E38" s="23"/>
      <c r="F38" s="23"/>
      <c r="G38" s="35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6" t="s">
        <v>58</v>
      </c>
      <c r="D41" s="6"/>
      <c r="E41" s="6"/>
      <c r="F41" s="6"/>
      <c r="G41" s="24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4" t="s">
        <v>107</v>
      </c>
      <c r="C43" s="22"/>
      <c r="D43" s="22"/>
      <c r="E43" s="22"/>
      <c r="F43" s="22"/>
      <c r="G43" s="32" t="e">
        <f ca="1">+G36+G41</f>
        <v>#NAME?</v>
      </c>
      <c r="H43" s="2"/>
    </row>
    <row r="44" spans="1:8" s="5" customFormat="1" ht="8.25" customHeight="1" thickBot="1" x14ac:dyDescent="0.3">
      <c r="G44" s="30"/>
    </row>
    <row r="45" spans="1:8" s="5" customFormat="1" x14ac:dyDescent="0.25">
      <c r="B45" s="2"/>
      <c r="C45" s="25" t="s">
        <v>162</v>
      </c>
      <c r="D45" s="14"/>
      <c r="E45" s="14"/>
      <c r="F45" s="14"/>
      <c r="G45" s="39"/>
      <c r="H45" s="2"/>
    </row>
    <row r="46" spans="1:8" x14ac:dyDescent="0.25">
      <c r="A46" s="27"/>
      <c r="B46" s="8"/>
      <c r="C46" s="51"/>
      <c r="D46" s="7" t="s">
        <v>38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7"/>
      <c r="B47" s="8"/>
      <c r="C47" s="51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7"/>
      <c r="B48" s="8"/>
      <c r="C48" s="51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6" t="s">
        <v>294</v>
      </c>
      <c r="D49" s="6"/>
      <c r="E49" s="6"/>
      <c r="F49" s="6"/>
      <c r="G49" s="24" t="e">
        <f ca="1">SUM(G45:G48)</f>
        <v>#NAME?</v>
      </c>
      <c r="H49" s="2"/>
    </row>
    <row r="50" spans="1:8" ht="8.25" customHeight="1" x14ac:dyDescent="0.25"/>
    <row r="51" spans="1:8" x14ac:dyDescent="0.25">
      <c r="B51" s="34" t="s">
        <v>257</v>
      </c>
      <c r="C51" s="22"/>
      <c r="D51" s="22"/>
      <c r="E51" s="37"/>
      <c r="F51" s="37"/>
      <c r="G51" s="32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5" t="s">
        <v>21</v>
      </c>
      <c r="C53" s="18"/>
      <c r="D53" s="18"/>
      <c r="E53" s="28"/>
      <c r="F53" s="28"/>
      <c r="G53" s="33" t="e">
        <f ca="1">+G43+G51</f>
        <v>#NAME?</v>
      </c>
      <c r="H53" s="8"/>
    </row>
    <row r="54" spans="1:8" ht="8.25" customHeight="1" thickTop="1" x14ac:dyDescent="0.25"/>
    <row r="55" spans="1:8" s="49" customFormat="1" ht="11.25" x14ac:dyDescent="0.2">
      <c r="A55" s="50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6" t="e">
        <f ca="1">ROUND(G30-G53, 0)</f>
        <v>#NAME?</v>
      </c>
    </row>
    <row r="56" spans="1:8" s="49" customFormat="1" ht="11.25" x14ac:dyDescent="0.2">
      <c r="A56" s="50"/>
      <c r="B56" s="45" t="e">
        <f ca="1">_xll.OneStop.ReportPlayer.OSRFunctions.OSRGet("User","UserId")</f>
        <v>#NAME?</v>
      </c>
      <c r="C56" s="36"/>
      <c r="D56" s="36"/>
      <c r="E56" s="38"/>
      <c r="F56" s="38"/>
      <c r="G56" s="44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7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1"/>
      <c r="D2" s="31"/>
      <c r="E2" s="52"/>
      <c r="F2" s="43" t="s">
        <v>22</v>
      </c>
      <c r="G2" s="48"/>
      <c r="H2" s="41"/>
    </row>
    <row r="3" spans="1:8" x14ac:dyDescent="0.25">
      <c r="C3" s="31"/>
      <c r="D3" s="31"/>
      <c r="E3" s="52"/>
      <c r="F3" s="43" t="s">
        <v>279</v>
      </c>
      <c r="G3" s="48"/>
      <c r="H3" s="41"/>
    </row>
    <row r="4" spans="1:8" x14ac:dyDescent="0.25">
      <c r="C4" s="29"/>
      <c r="D4" s="29"/>
      <c r="E4" s="29"/>
      <c r="F4" s="43" t="s">
        <v>315</v>
      </c>
      <c r="G4" s="48"/>
      <c r="H4" s="41"/>
    </row>
    <row r="5" spans="1:8" x14ac:dyDescent="0.25">
      <c r="C5" s="29"/>
      <c r="D5" s="29"/>
      <c r="E5" s="29"/>
      <c r="F5" s="43" t="e">
        <f ca="1">_xll.OneStop.ReportPlayer.OSRFunctions.OSRGet("Period","PeriodEnd")</f>
        <v>#NAME?</v>
      </c>
      <c r="G5" s="48"/>
      <c r="H5" s="41"/>
    </row>
    <row r="7" spans="1:8" ht="15.75" thickBot="1" x14ac:dyDescent="0.3">
      <c r="B7" s="15" t="s">
        <v>126</v>
      </c>
      <c r="C7" s="18"/>
      <c r="D7" s="18"/>
      <c r="E7" s="28"/>
      <c r="F7" s="28"/>
      <c r="G7" s="42"/>
      <c r="H7" s="8"/>
    </row>
    <row r="8" spans="1:8" x14ac:dyDescent="0.25">
      <c r="B8" s="2"/>
      <c r="C8" s="25" t="s">
        <v>201</v>
      </c>
      <c r="D8" s="14"/>
      <c r="E8" s="23"/>
      <c r="F8" s="23"/>
      <c r="G8" s="20"/>
      <c r="H8" s="8"/>
    </row>
    <row r="9" spans="1:8" s="5" customFormat="1" x14ac:dyDescent="0.25">
      <c r="B9" s="2"/>
      <c r="C9" s="9"/>
      <c r="D9" s="3" t="s">
        <v>127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25">
      <c r="A11" s="17"/>
      <c r="B11" s="16"/>
      <c r="C11" s="19"/>
      <c r="D11" s="21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238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25">
      <c r="A14" s="17"/>
      <c r="B14" s="16"/>
      <c r="C14" s="19"/>
      <c r="D14" s="21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108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25">
      <c r="A17" s="17"/>
      <c r="B17" s="16"/>
      <c r="C17" s="19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83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25">
      <c r="A20" s="17"/>
      <c r="B20" s="16"/>
      <c r="C20" s="19"/>
      <c r="D20" s="21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6" t="s">
        <v>164</v>
      </c>
      <c r="D22" s="6"/>
      <c r="E22" s="6"/>
      <c r="F22" s="6"/>
      <c r="G22" s="24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5" t="s">
        <v>297</v>
      </c>
      <c r="D24" s="14"/>
      <c r="E24" s="23"/>
      <c r="F24" s="23"/>
      <c r="G24" s="35"/>
      <c r="H24" s="8"/>
    </row>
    <row r="25" spans="1:8" s="5" customFormat="1" collapsed="1" x14ac:dyDescent="0.25">
      <c r="B25" s="2"/>
      <c r="C25" s="9"/>
      <c r="D25" s="3" t="s">
        <v>57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25">
      <c r="A26" s="17"/>
      <c r="B26" s="16"/>
      <c r="C26" s="19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106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6" t="s">
        <v>141</v>
      </c>
      <c r="D28" s="6"/>
      <c r="E28" s="6"/>
      <c r="F28" s="6"/>
      <c r="G28" s="24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5" t="s">
        <v>163</v>
      </c>
      <c r="C30" s="18"/>
      <c r="D30" s="18"/>
      <c r="E30" s="18"/>
      <c r="F30" s="18"/>
      <c r="G30" s="33" t="e">
        <f ca="1">+G22+G28</f>
        <v>#NAME?</v>
      </c>
      <c r="H30" s="2"/>
    </row>
    <row r="31" spans="1:8" s="5" customFormat="1" ht="15.75" thickTop="1" x14ac:dyDescent="0.25">
      <c r="G31" s="30"/>
    </row>
    <row r="32" spans="1:8" s="5" customFormat="1" ht="15.75" thickBot="1" x14ac:dyDescent="0.3">
      <c r="B32" s="15" t="s">
        <v>256</v>
      </c>
      <c r="C32" s="15"/>
      <c r="D32" s="15"/>
      <c r="E32" s="15"/>
      <c r="F32" s="15"/>
      <c r="G32" s="15"/>
      <c r="H32" s="2"/>
    </row>
    <row r="33" spans="1:8" s="5" customFormat="1" x14ac:dyDescent="0.25">
      <c r="B33" s="2"/>
      <c r="C33" s="25" t="s">
        <v>139</v>
      </c>
      <c r="D33" s="14"/>
      <c r="E33" s="14"/>
      <c r="F33" s="14"/>
      <c r="G33" s="39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25">
      <c r="A35" s="17"/>
      <c r="B35" s="16"/>
      <c r="C35" s="19"/>
      <c r="D35" s="21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6" t="s">
        <v>140</v>
      </c>
      <c r="D36" s="6"/>
      <c r="E36" s="6"/>
      <c r="F36" s="6"/>
      <c r="G36" s="24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5" t="s">
        <v>82</v>
      </c>
      <c r="D38" s="14"/>
      <c r="E38" s="23"/>
      <c r="F38" s="23"/>
      <c r="G38" s="35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6" t="s">
        <v>58</v>
      </c>
      <c r="D41" s="6"/>
      <c r="E41" s="6"/>
      <c r="F41" s="6"/>
      <c r="G41" s="24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4" t="s">
        <v>107</v>
      </c>
      <c r="C43" s="22"/>
      <c r="D43" s="22"/>
      <c r="E43" s="22"/>
      <c r="F43" s="22"/>
      <c r="G43" s="32" t="e">
        <f ca="1">+G36+G41</f>
        <v>#NAME?</v>
      </c>
      <c r="H43" s="2"/>
    </row>
    <row r="44" spans="1:8" s="5" customFormat="1" ht="8.25" customHeight="1" thickBot="1" x14ac:dyDescent="0.3">
      <c r="G44" s="30"/>
    </row>
    <row r="45" spans="1:8" s="5" customFormat="1" x14ac:dyDescent="0.25">
      <c r="B45" s="2"/>
      <c r="C45" s="25" t="s">
        <v>162</v>
      </c>
      <c r="D45" s="14"/>
      <c r="E45" s="14"/>
      <c r="F45" s="14"/>
      <c r="G45" s="39"/>
      <c r="H45" s="2"/>
    </row>
    <row r="46" spans="1:8" x14ac:dyDescent="0.25">
      <c r="A46" s="27"/>
      <c r="B46" s="8"/>
      <c r="C46" s="51"/>
      <c r="D46" s="7" t="s">
        <v>38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7"/>
      <c r="B47" s="8"/>
      <c r="C47" s="51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7"/>
      <c r="B48" s="8"/>
      <c r="C48" s="51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6" t="s">
        <v>294</v>
      </c>
      <c r="D49" s="6"/>
      <c r="E49" s="6"/>
      <c r="F49" s="6"/>
      <c r="G49" s="24" t="e">
        <f ca="1">SUM(G45:G48)</f>
        <v>#NAME?</v>
      </c>
      <c r="H49" s="2"/>
    </row>
    <row r="50" spans="1:8" ht="8.25" customHeight="1" x14ac:dyDescent="0.25"/>
    <row r="51" spans="1:8" x14ac:dyDescent="0.25">
      <c r="B51" s="34" t="s">
        <v>257</v>
      </c>
      <c r="C51" s="22"/>
      <c r="D51" s="22"/>
      <c r="E51" s="37"/>
      <c r="F51" s="37"/>
      <c r="G51" s="32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5" t="s">
        <v>21</v>
      </c>
      <c r="C53" s="18"/>
      <c r="D53" s="18"/>
      <c r="E53" s="28"/>
      <c r="F53" s="28"/>
      <c r="G53" s="33" t="e">
        <f ca="1">+G43+G51</f>
        <v>#NAME?</v>
      </c>
      <c r="H53" s="8"/>
    </row>
    <row r="54" spans="1:8" ht="8.25" customHeight="1" thickTop="1" x14ac:dyDescent="0.25"/>
    <row r="55" spans="1:8" s="49" customFormat="1" ht="11.25" x14ac:dyDescent="0.2">
      <c r="A55" s="50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6" t="e">
        <f ca="1">ROUND(G30-G53, 0)</f>
        <v>#NAME?</v>
      </c>
    </row>
    <row r="56" spans="1:8" s="49" customFormat="1" ht="11.25" x14ac:dyDescent="0.2">
      <c r="A56" s="50"/>
      <c r="B56" s="45" t="e">
        <f ca="1">_xll.OneStop.ReportPlayer.OSRFunctions.OSRGet("User","UserId")</f>
        <v>#NAME?</v>
      </c>
      <c r="C56" s="36"/>
      <c r="D56" s="36"/>
      <c r="E56" s="38"/>
      <c r="F56" s="38"/>
      <c r="G56" s="44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Monzon</dc:creator>
  <cp:lastModifiedBy>Tess Monzon</cp:lastModifiedBy>
  <dcterms:created xsi:type="dcterms:W3CDTF">2021-09-15T16:27:05Z</dcterms:created>
  <dcterms:modified xsi:type="dcterms:W3CDTF">2021-09-15T17:00:29Z</dcterms:modified>
</cp:coreProperties>
</file>