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xr:revisionPtr revIDLastSave="6" documentId="8_{DB1597B8-52B9-477A-AA11-39E9F9658462}" xr6:coauthVersionLast="47" xr6:coauthVersionMax="47" xr10:uidLastSave="{D362ACF1-9E15-47F0-814C-51A1AD3201C5}"/>
  <bookViews>
    <workbookView xWindow="-108" yWindow="-108" windowWidth="23256" windowHeight="12576" firstSheet="2" activeTab="2" xr2:uid="{00000000-000D-0000-FFFF-FFFF00000000}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Sheet'!$B$218:$F$218</definedName>
    <definedName name="OSRRefG10x_0" localSheetId="2">'Balance Sheet'!$G$10,'Balance Sheet'!$G$19,'Balance Sheet'!$G$27</definedName>
    <definedName name="OSRRefG11_0x_0" localSheetId="2">'Balance Sheet'!$G$11:$G$18</definedName>
    <definedName name="OSRRefG11_1x_0" localSheetId="2">'Balance Sheet'!$G$20:$G$26</definedName>
    <definedName name="OSRRefG11_2x_0" localSheetId="2">'Balance Sheet'!$G$28:$G$30</definedName>
    <definedName name="OSRRefG14x_0" localSheetId="2">'Balance Sheet'!$G$33:$G$51</definedName>
    <definedName name="OSRRefG17x_0" localSheetId="2">'Balance Sheet'!$G$54:$G$108</definedName>
    <definedName name="OSRRefG20x_0" localSheetId="2">'Balance Sheet'!$G$111:$G$114</definedName>
    <definedName name="OSRRefG26x_0" localSheetId="2">'Balance Sheet'!$G$120:$G$131</definedName>
    <definedName name="OSRRefG34x_0" localSheetId="2">'Balance Sheet'!$G$139,'Balance Sheet'!$G$146,'Balance Sheet'!$G$151,'Balance Sheet'!$G$160,'Balance Sheet'!$G$170</definedName>
    <definedName name="OSRRefG40_0x_0" localSheetId="2">'Balance Sheet'!$G$198</definedName>
    <definedName name="OSRRefG40_1x_0" localSheetId="2">'Balance Sheet'!$G$200:$G$201</definedName>
    <definedName name="OSRRefG40_2x_0" localSheetId="2">'Balance Sheet'!$G$203</definedName>
    <definedName name="OSRRefG40x_0" localSheetId="2">'Balance Sheet'!$G$198,'Balance Sheet'!$G$200:$G$201,'Balance Sheet'!$G$203</definedName>
    <definedName name="_xlnm.Print_Titles" localSheetId="2">'Balance Sheet'!$1:$6</definedName>
    <definedName name="_xlnm.Print_Titles" localSheetId="3">'OSR_Balance Sheet_1OOAXMZ'!$1:$6</definedName>
    <definedName name="_xlnm.Print_Titles" localSheetId="4">'OSR_Sheet1_93...aec08b11_9YXV63'!$1:$6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0" i="3" l="1"/>
  <c r="F25" i="3"/>
  <c r="B56" i="5"/>
  <c r="B55" i="5"/>
  <c r="G48" i="5"/>
  <c r="D48" i="5"/>
  <c r="G47" i="5"/>
  <c r="D47" i="5"/>
  <c r="G46" i="5"/>
  <c r="G49" i="5" s="1"/>
  <c r="G51" i="5" s="1"/>
  <c r="G41" i="5"/>
  <c r="G40" i="5"/>
  <c r="E40" i="5"/>
  <c r="G39" i="5"/>
  <c r="D39" i="5"/>
  <c r="G36" i="5"/>
  <c r="G35" i="5"/>
  <c r="E35" i="5"/>
  <c r="G34" i="5"/>
  <c r="D34" i="5"/>
  <c r="G27" i="5"/>
  <c r="G26" i="5"/>
  <c r="E26" i="5"/>
  <c r="G25" i="5"/>
  <c r="G20" i="5"/>
  <c r="E20" i="5"/>
  <c r="G19" i="5"/>
  <c r="G17" i="5"/>
  <c r="E17" i="5"/>
  <c r="G16" i="5"/>
  <c r="G14" i="5"/>
  <c r="E14" i="5"/>
  <c r="G13" i="5"/>
  <c r="G11" i="5"/>
  <c r="F11" i="5"/>
  <c r="G10" i="5"/>
  <c r="E10" i="5"/>
  <c r="G9" i="5"/>
  <c r="F5" i="5"/>
  <c r="B56" i="4"/>
  <c r="B55" i="4"/>
  <c r="G49" i="4"/>
  <c r="G51" i="4" s="1"/>
  <c r="G48" i="4"/>
  <c r="D48" i="4"/>
  <c r="G47" i="4"/>
  <c r="D47" i="4"/>
  <c r="G46" i="4"/>
  <c r="G41" i="4"/>
  <c r="G40" i="4"/>
  <c r="E40" i="4"/>
  <c r="G39" i="4"/>
  <c r="D39" i="4"/>
  <c r="G36" i="4"/>
  <c r="G35" i="4"/>
  <c r="E35" i="4"/>
  <c r="G34" i="4"/>
  <c r="D34" i="4"/>
  <c r="G27" i="4"/>
  <c r="G26" i="4"/>
  <c r="E26" i="4"/>
  <c r="G25" i="4"/>
  <c r="G20" i="4"/>
  <c r="E20" i="4"/>
  <c r="G19" i="4"/>
  <c r="G17" i="4"/>
  <c r="E17" i="4"/>
  <c r="G16" i="4"/>
  <c r="G14" i="4"/>
  <c r="E14" i="4"/>
  <c r="G13" i="4"/>
  <c r="G11" i="4"/>
  <c r="F11" i="4"/>
  <c r="G10" i="4"/>
  <c r="E10" i="4"/>
  <c r="G9" i="4"/>
  <c r="F5" i="4"/>
  <c r="G214" i="3"/>
  <c r="G212" i="3"/>
  <c r="G211" i="3"/>
  <c r="G210" i="3"/>
  <c r="G209" i="3"/>
  <c r="G203" i="3"/>
  <c r="E203" i="3"/>
  <c r="G202" i="3"/>
  <c r="G201" i="3"/>
  <c r="E201" i="3"/>
  <c r="G200" i="3"/>
  <c r="G199" i="3" s="1"/>
  <c r="G198" i="3"/>
  <c r="G204" i="3" s="1"/>
  <c r="E198" i="3"/>
  <c r="G197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G169" i="3"/>
  <c r="E169" i="3"/>
  <c r="G168" i="3"/>
  <c r="E168" i="3"/>
  <c r="G167" i="3"/>
  <c r="E167" i="3"/>
  <c r="G166" i="3"/>
  <c r="E166" i="3"/>
  <c r="G165" i="3"/>
  <c r="E165" i="3"/>
  <c r="G164" i="3"/>
  <c r="E164" i="3"/>
  <c r="G163" i="3"/>
  <c r="E163" i="3"/>
  <c r="G162" i="3"/>
  <c r="E162" i="3"/>
  <c r="G161" i="3"/>
  <c r="E161" i="3"/>
  <c r="G160" i="3"/>
  <c r="G159" i="3"/>
  <c r="E159" i="3"/>
  <c r="G158" i="3"/>
  <c r="E158" i="3"/>
  <c r="G157" i="3"/>
  <c r="E157" i="3"/>
  <c r="G156" i="3"/>
  <c r="E156" i="3"/>
  <c r="G155" i="3"/>
  <c r="E155" i="3"/>
  <c r="G154" i="3"/>
  <c r="E154" i="3"/>
  <c r="G153" i="3"/>
  <c r="E153" i="3"/>
  <c r="G152" i="3"/>
  <c r="E152" i="3"/>
  <c r="G151" i="3"/>
  <c r="G150" i="3"/>
  <c r="E150" i="3"/>
  <c r="G149" i="3"/>
  <c r="E149" i="3"/>
  <c r="G148" i="3"/>
  <c r="E148" i="3"/>
  <c r="G147" i="3"/>
  <c r="E147" i="3"/>
  <c r="G146" i="3"/>
  <c r="G145" i="3"/>
  <c r="E145" i="3"/>
  <c r="G144" i="3"/>
  <c r="E144" i="3"/>
  <c r="G143" i="3"/>
  <c r="E143" i="3"/>
  <c r="G142" i="3"/>
  <c r="E142" i="3"/>
  <c r="G141" i="3"/>
  <c r="E141" i="3"/>
  <c r="G140" i="3"/>
  <c r="E140" i="3"/>
  <c r="G139" i="3"/>
  <c r="G194" i="3" s="1"/>
  <c r="E131" i="3"/>
  <c r="E130" i="3"/>
  <c r="E129" i="3"/>
  <c r="E128" i="3"/>
  <c r="E127" i="3"/>
  <c r="E126" i="3"/>
  <c r="E125" i="3"/>
  <c r="E124" i="3"/>
  <c r="E123" i="3"/>
  <c r="E122" i="3"/>
  <c r="E121" i="3"/>
  <c r="E120" i="3"/>
  <c r="G119" i="3"/>
  <c r="G133" i="3" s="1"/>
  <c r="E114" i="3"/>
  <c r="E113" i="3"/>
  <c r="E112" i="3"/>
  <c r="E111" i="3"/>
  <c r="G110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G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G32" i="3"/>
  <c r="F30" i="3"/>
  <c r="F29" i="3"/>
  <c r="F28" i="3"/>
  <c r="G27" i="3"/>
  <c r="F26" i="3"/>
  <c r="F24" i="3"/>
  <c r="F23" i="3"/>
  <c r="F22" i="3"/>
  <c r="F21" i="3"/>
  <c r="F20" i="3"/>
  <c r="G19" i="3"/>
  <c r="F18" i="3"/>
  <c r="F17" i="3"/>
  <c r="F16" i="3"/>
  <c r="F15" i="3"/>
  <c r="F14" i="3"/>
  <c r="F13" i="3"/>
  <c r="F12" i="3"/>
  <c r="F11" i="3"/>
  <c r="G10" i="3"/>
  <c r="G9" i="3" s="1"/>
  <c r="G116" i="3" s="1"/>
  <c r="G135" i="3" s="1"/>
  <c r="G28" i="4" l="1"/>
  <c r="G43" i="4"/>
  <c r="G53" i="4" s="1"/>
  <c r="G206" i="3"/>
  <c r="G216" i="3" s="1"/>
  <c r="G218" i="3" s="1"/>
  <c r="G28" i="5"/>
  <c r="G43" i="5"/>
  <c r="G53" i="5" s="1"/>
  <c r="G22" i="5"/>
  <c r="G22" i="4"/>
  <c r="G30" i="4" l="1"/>
  <c r="G55" i="4" s="1"/>
  <c r="G30" i="5"/>
  <c r="G55" i="5" s="1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<sst xmlns="http://schemas.openxmlformats.org/spreadsheetml/2006/main" count="372" uniqueCount="316">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</sst>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4" fillId="0" borderId="0" xfId="0" applyFont="1" applyFill="1"/>
    <xf numFmtId="0" fontId="3" fillId="3" borderId="0" xfId="0" applyFont="1" applyFill="1"/>
    <xf numFmtId="0" fontId="4" fillId="0" borderId="0" xfId="0" applyFont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7" fillId="0" borderId="0" xfId="0" applyFont="1"/>
    <xf numFmtId="165" fontId="3" fillId="4" borderId="9" xfId="1" applyNumberFormat="1" applyFont="1" applyFill="1" applyBorder="1"/>
    <xf numFmtId="0" fontId="3" fillId="4" borderId="0" xfId="0" applyFont="1" applyFill="1" applyAlignment="1">
      <alignment horizontal="left"/>
    </xf>
    <xf numFmtId="165" fontId="0" fillId="0" borderId="10" xfId="1" applyNumberFormat="1" applyFont="1" applyFill="1" applyBorder="1"/>
    <xf numFmtId="0" fontId="1" fillId="0" borderId="0" xfId="0" applyFont="1" applyAlignment="1">
      <alignment horizontal="center"/>
    </xf>
    <xf numFmtId="166" fontId="3" fillId="3" borderId="11" xfId="2" applyNumberFormat="1" applyFont="1" applyFill="1" applyBorder="1"/>
    <xf numFmtId="165" fontId="1" fillId="0" borderId="10" xfId="1" applyNumberFormat="1" applyFont="1" applyFill="1" applyBorder="1"/>
    <xf numFmtId="0" fontId="5" fillId="0" borderId="0" xfId="0" applyFont="1"/>
    <xf numFmtId="165" fontId="1" fillId="0" borderId="0" xfId="1" applyNumberFormat="1" applyFont="1"/>
    <xf numFmtId="0" fontId="6" fillId="4" borderId="0" xfId="0" applyFont="1" applyFill="1"/>
    <xf numFmtId="0" fontId="2" fillId="0" borderId="3" xfId="0" applyFont="1" applyFill="1" applyBorder="1"/>
    <xf numFmtId="0" fontId="0" fillId="0" borderId="0" xfId="0" applyFont="1" applyAlignment="1">
      <alignment horizontal="centerContinuous"/>
    </xf>
    <xf numFmtId="165" fontId="0" fillId="0" borderId="0" xfId="1" applyNumberFormat="1" applyFont="1" applyAlignment="1">
      <alignment horizontal="centerContinuous"/>
    </xf>
    <xf numFmtId="165" fontId="8" fillId="0" borderId="0" xfId="1" applyNumberFormat="1" applyFont="1"/>
    <xf numFmtId="0" fontId="9" fillId="0" borderId="0" xfId="0" applyFont="1"/>
    <xf numFmtId="0" fontId="1" fillId="0" borderId="0" xfId="0" applyFont="1" applyAlignment="1">
      <alignment horizontal="left"/>
    </xf>
    <xf numFmtId="166" fontId="3" fillId="3" borderId="2" xfId="2" applyNumberFormat="1" applyFont="1" applyFill="1" applyBorder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0" fillId="0" borderId="3" xfId="0" applyFont="1" applyFill="1" applyBorder="1"/>
    <xf numFmtId="165" fontId="0" fillId="0" borderId="0" xfId="1" applyNumberFormat="1" applyFont="1"/>
    <xf numFmtId="165" fontId="10" fillId="0" borderId="0" xfId="1" applyNumberFormat="1" applyFont="1" applyFill="1"/>
    <xf numFmtId="49" fontId="0" fillId="0" borderId="0" xfId="0" applyNumberFormat="1"/>
    <xf numFmtId="14" fontId="1" fillId="0" borderId="0" xfId="0" applyNumberFormat="1" applyFont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"/>
  <sheetViews>
    <sheetView workbookViewId="0"/>
  </sheetViews>
  <sheetFormatPr defaultRowHeight="14.4" x14ac:dyDescent="0.3"/>
  <cols>
    <col min="1" max="130" width="20.6640625" customWidth="1"/>
  </cols>
  <sheetData>
    <row r="1" spans="1:130" x14ac:dyDescent="0.3">
      <c r="B1">
        <v>4</v>
      </c>
    </row>
    <row r="3" spans="1:130" ht="28.8" x14ac:dyDescent="0.3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L10002"/>
  <sheetViews>
    <sheetView workbookViewId="0"/>
  </sheetViews>
  <sheetFormatPr defaultRowHeight="14.4" x14ac:dyDescent="0.3"/>
  <cols>
    <col min="1" max="220" width="20.6640625" customWidth="1"/>
    <col min="221" max="221" width="20.6640625" style="53" customWidth="1"/>
    <col min="222" max="223" width="20.6640625" customWidth="1"/>
  </cols>
  <sheetData>
    <row r="1" spans="1:272" x14ac:dyDescent="0.3">
      <c r="D1">
        <v>4</v>
      </c>
    </row>
    <row r="2" spans="1:272" x14ac:dyDescent="0.3">
      <c r="JK2">
        <v>271</v>
      </c>
      <c r="JL2">
        <v>4</v>
      </c>
    </row>
    <row r="3" spans="1:272" ht="28.8" x14ac:dyDescent="0.3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5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3">
      <c r="JK10001">
        <v>271</v>
      </c>
      <c r="JL10001">
        <v>10003</v>
      </c>
    </row>
    <row r="10002" spans="271:272" ht="43.2" x14ac:dyDescent="0.3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H219"/>
  <sheetViews>
    <sheetView tabSelected="1" zoomScale="90" workbookViewId="0">
      <selection activeCell="F204" sqref="F204"/>
    </sheetView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8" customWidth="1"/>
    <col min="6" max="6" width="43.44140625" style="28" customWidth="1"/>
    <col min="7" max="7" width="17.33203125" style="51" customWidth="1"/>
    <col min="8" max="8" width="2.6640625" style="28" customWidth="1"/>
    <col min="9" max="9" width="8.6640625" style="28" customWidth="1"/>
    <col min="10" max="16384" width="8.88671875" style="28"/>
  </cols>
  <sheetData>
    <row r="2" spans="1:8" x14ac:dyDescent="0.3">
      <c r="C2" s="34"/>
      <c r="D2" s="34"/>
      <c r="E2" s="47"/>
      <c r="F2" s="45" t="s">
        <v>22</v>
      </c>
      <c r="G2" s="42"/>
      <c r="H2" s="41"/>
    </row>
    <row r="3" spans="1:8" x14ac:dyDescent="0.3">
      <c r="C3" s="34"/>
      <c r="D3" s="34"/>
      <c r="E3" s="47"/>
      <c r="F3" s="45" t="s">
        <v>279</v>
      </c>
      <c r="G3" s="42"/>
      <c r="H3" s="41"/>
    </row>
    <row r="4" spans="1:8" x14ac:dyDescent="0.3">
      <c r="C4" s="29"/>
      <c r="D4" s="29"/>
      <c r="E4" s="29"/>
      <c r="F4" s="45" t="s">
        <v>315</v>
      </c>
      <c r="G4" s="42"/>
      <c r="H4" s="41"/>
    </row>
    <row r="5" spans="1:8" x14ac:dyDescent="0.3">
      <c r="C5" s="29"/>
      <c r="D5" s="29"/>
      <c r="E5" s="29"/>
      <c r="F5" s="54">
        <v>44408</v>
      </c>
      <c r="G5" s="42"/>
      <c r="H5" s="41"/>
    </row>
    <row r="7" spans="1:8" ht="15" thickBot="1" x14ac:dyDescent="0.35">
      <c r="B7" s="15" t="s">
        <v>126</v>
      </c>
      <c r="C7" s="17"/>
      <c r="D7" s="17"/>
      <c r="E7" s="27"/>
      <c r="F7" s="27"/>
      <c r="G7" s="46"/>
      <c r="H7" s="8"/>
    </row>
    <row r="8" spans="1:8" x14ac:dyDescent="0.3">
      <c r="B8" s="2"/>
      <c r="C8" s="26" t="s">
        <v>201</v>
      </c>
      <c r="D8" s="14"/>
      <c r="E8" s="21"/>
      <c r="F8" s="21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>
        <f>SUM(OSRRefG10x_0)</f>
        <v>14945499.279999999</v>
      </c>
      <c r="H9" s="2"/>
    </row>
    <row r="10" spans="1:8" outlineLevel="1" collapsed="1" x14ac:dyDescent="0.3">
      <c r="B10" s="2"/>
      <c r="C10" s="9"/>
      <c r="D10" s="3"/>
      <c r="E10" s="7" t="s">
        <v>295</v>
      </c>
      <c r="F10" s="7"/>
      <c r="G10" s="20">
        <f>SUM(OSRRefG11_0x_0)</f>
        <v>4194697.38</v>
      </c>
      <c r="H10" s="8"/>
    </row>
    <row r="11" spans="1:8" s="13" customFormat="1" hidden="1" outlineLevel="2" x14ac:dyDescent="0.3">
      <c r="A11" s="18"/>
      <c r="B11" s="16"/>
      <c r="C11" s="19"/>
      <c r="D11" s="22"/>
      <c r="F11" s="4" t="str">
        <f>CONCATENATE("1101", " - ", "VAULT FUND")</f>
        <v>1101 - VAULT FUND</v>
      </c>
      <c r="G11" s="12">
        <v>77714.31</v>
      </c>
      <c r="H11" s="10"/>
    </row>
    <row r="12" spans="1:8" s="13" customFormat="1" hidden="1" outlineLevel="2" x14ac:dyDescent="0.3">
      <c r="A12" s="18"/>
      <c r="B12" s="16"/>
      <c r="C12" s="19"/>
      <c r="D12" s="22"/>
      <c r="F12" s="4" t="str">
        <f>CONCATENATE("1102", " - ", "IMPREST FUND-FOOD SVC")</f>
        <v>1102 - IMPREST FUND-FOOD SVC</v>
      </c>
      <c r="G12" s="12">
        <v>100</v>
      </c>
      <c r="H12" s="10"/>
    </row>
    <row r="13" spans="1:8" s="13" customFormat="1" hidden="1" outlineLevel="2" x14ac:dyDescent="0.3">
      <c r="A13" s="18"/>
      <c r="B13" s="16"/>
      <c r="C13" s="19"/>
      <c r="D13" s="22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3">
      <c r="A14" s="18"/>
      <c r="B14" s="16"/>
      <c r="C14" s="19"/>
      <c r="D14" s="22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3">
      <c r="A15" s="18"/>
      <c r="B15" s="16"/>
      <c r="C15" s="19"/>
      <c r="D15" s="22"/>
      <c r="F15" s="4" t="str">
        <f>CONCATENATE("1105", " - ", "CITY NATIONAL BANK-A/C#1124083")</f>
        <v>1105 - CITY NATIONAL BANK-A/C#1124083</v>
      </c>
      <c r="G15" s="12">
        <v>0</v>
      </c>
      <c r="H15" s="10"/>
    </row>
    <row r="16" spans="1:8" s="13" customFormat="1" hidden="1" outlineLevel="2" x14ac:dyDescent="0.3">
      <c r="A16" s="18"/>
      <c r="B16" s="16"/>
      <c r="C16" s="19"/>
      <c r="D16" s="22"/>
      <c r="F16" s="4" t="str">
        <f>CONCATENATE("1106", " - ", "CITY NATIONAL BANK-GEN. CKG.")</f>
        <v>1106 - CITY NATIONAL BANK-GEN. CKG.</v>
      </c>
      <c r="G16" s="12">
        <v>1704972.99</v>
      </c>
      <c r="H16" s="10"/>
    </row>
    <row r="17" spans="1:8" s="13" customFormat="1" hidden="1" outlineLevel="2" x14ac:dyDescent="0.3">
      <c r="A17" s="18"/>
      <c r="B17" s="16"/>
      <c r="C17" s="19"/>
      <c r="D17" s="22"/>
      <c r="F17" s="4" t="str">
        <f>CONCATENATE("1110", " - ", "CITY NATIONAL BANK-P/R ACCOUNT")</f>
        <v>1110 - CITY NATIONAL BANK-P/R ACCOUNT</v>
      </c>
      <c r="G17" s="12">
        <v>-269.48</v>
      </c>
      <c r="H17" s="10"/>
    </row>
    <row r="18" spans="1:8" s="13" customFormat="1" hidden="1" outlineLevel="2" x14ac:dyDescent="0.3">
      <c r="A18" s="18"/>
      <c r="B18" s="16"/>
      <c r="C18" s="19"/>
      <c r="D18" s="22"/>
      <c r="F18" s="4" t="str">
        <f>CONCATENATE("1111", " - ", "CITY NATIONAL BANK- LADDER ACC")</f>
        <v>1111 - CITY NATIONAL BANK- LADDER ACC</v>
      </c>
      <c r="G18" s="12">
        <v>2408343.56</v>
      </c>
      <c r="H18" s="10"/>
    </row>
    <row r="19" spans="1:8" outlineLevel="1" collapsed="1" x14ac:dyDescent="0.3">
      <c r="B19" s="2"/>
      <c r="C19" s="9"/>
      <c r="D19" s="3"/>
      <c r="E19" s="7" t="s">
        <v>81</v>
      </c>
      <c r="F19" s="7"/>
      <c r="G19" s="20">
        <f>SUM(OSRRefG11_1x_0)</f>
        <v>11301503.98</v>
      </c>
      <c r="H19" s="8"/>
    </row>
    <row r="20" spans="1:8" s="13" customFormat="1" hidden="1" outlineLevel="2" x14ac:dyDescent="0.3">
      <c r="A20" s="18"/>
      <c r="B20" s="16"/>
      <c r="C20" s="19"/>
      <c r="D20" s="22"/>
      <c r="F20" s="4" t="str">
        <f>CONCATENATE("1112", " - ", "WELLS FARGO BANK-AC#04723-3500")</f>
        <v>1112 - WELLS FARGO BANK-AC#04723-3500</v>
      </c>
      <c r="G20" s="12">
        <v>683261.85</v>
      </c>
      <c r="H20" s="10"/>
    </row>
    <row r="21" spans="1:8" s="13" customFormat="1" hidden="1" outlineLevel="2" x14ac:dyDescent="0.3">
      <c r="A21" s="18"/>
      <c r="B21" s="16"/>
      <c r="C21" s="19"/>
      <c r="D21" s="22"/>
      <c r="F21" s="4" t="str">
        <f>CONCATENATE("1122", " - ", "SICK LEAVE RESERVES")</f>
        <v>1122 - SICK LEAVE RESERVES</v>
      </c>
      <c r="G21" s="12">
        <v>520000</v>
      </c>
      <c r="H21" s="10"/>
    </row>
    <row r="22" spans="1:8" s="13" customFormat="1" hidden="1" outlineLevel="2" x14ac:dyDescent="0.3">
      <c r="A22" s="18"/>
      <c r="B22" s="16"/>
      <c r="C22" s="19"/>
      <c r="D22" s="22"/>
      <c r="F22" s="4" t="str">
        <f>CONCATENATE("1125", " - ", "BEACH CLUB DEPOSITS")</f>
        <v>1125 - BEACH CLUB DEPOSITS</v>
      </c>
      <c r="G22" s="12">
        <v>447861.51</v>
      </c>
      <c r="H22" s="10"/>
    </row>
    <row r="23" spans="1:8" s="13" customFormat="1" hidden="1" outlineLevel="2" x14ac:dyDescent="0.3">
      <c r="A23" s="18"/>
      <c r="B23" s="16"/>
      <c r="C23" s="19"/>
      <c r="D23" s="22"/>
      <c r="F23" s="4" t="str">
        <f>CONCATENATE("1126", " - ", "PERS UNFUNDED LIABILITY")</f>
        <v>1126 - PERS UNFUNDED LIABILITY</v>
      </c>
      <c r="G23" s="12">
        <v>4080181.62</v>
      </c>
      <c r="H23" s="10"/>
    </row>
    <row r="24" spans="1:8" s="13" customFormat="1" hidden="1" outlineLevel="2" x14ac:dyDescent="0.3">
      <c r="A24" s="18"/>
      <c r="B24" s="16"/>
      <c r="C24" s="19"/>
      <c r="D24" s="22"/>
      <c r="F24" s="4" t="str">
        <f>CONCATENATE("1128", " - ", "SRB FUNDING- OUTPOST")</f>
        <v>1128 - SRB FUNDING- OUTPOST</v>
      </c>
      <c r="G24" s="12">
        <v>3070339</v>
      </c>
      <c r="H24" s="10"/>
    </row>
    <row r="25" spans="1:8" s="13" customFormat="1" hidden="1" outlineLevel="2" x14ac:dyDescent="0.3">
      <c r="A25" s="18"/>
      <c r="B25" s="16"/>
      <c r="C25" s="19"/>
      <c r="D25" s="22"/>
      <c r="F25" s="4" t="str">
        <f>CONCATENATE("1131", " - ", "SBA LOAN #2")</f>
        <v>1131 - SBA LOAN #2</v>
      </c>
      <c r="G25" s="12">
        <v>2000000</v>
      </c>
      <c r="H25" s="10"/>
    </row>
    <row r="26" spans="1:8" s="13" customFormat="1" hidden="1" outlineLevel="2" x14ac:dyDescent="0.3">
      <c r="A26" s="18"/>
      <c r="B26" s="16"/>
      <c r="C26" s="19"/>
      <c r="D26" s="22"/>
      <c r="F26" s="4" t="str">
        <f>CONCATENATE("1132", " - ", "AORMA UNEMPLOYMENT INSURANCE")</f>
        <v>1132 - AORMA UNEMPLOYMENT INSURANCE</v>
      </c>
      <c r="G26" s="12">
        <v>499860</v>
      </c>
      <c r="H26" s="10"/>
    </row>
    <row r="27" spans="1:8" outlineLevel="1" collapsed="1" x14ac:dyDescent="0.3">
      <c r="B27" s="2"/>
      <c r="C27" s="9"/>
      <c r="D27" s="3"/>
      <c r="E27" s="7" t="s">
        <v>53</v>
      </c>
      <c r="F27" s="7"/>
      <c r="G27" s="20">
        <f>SUM(OSRRefG11_2x_0)</f>
        <v>-550702.08000000054</v>
      </c>
      <c r="H27" s="8"/>
    </row>
    <row r="28" spans="1:8" s="13" customFormat="1" hidden="1" outlineLevel="2" x14ac:dyDescent="0.3">
      <c r="A28" s="18"/>
      <c r="B28" s="16"/>
      <c r="C28" s="19"/>
      <c r="D28" s="22"/>
      <c r="F28" s="4" t="str">
        <f>CONCATENATE("1108", " - ", "INVESTMENTS - BROKERS")</f>
        <v>1108 - INVESTMENTS - BROKERS</v>
      </c>
      <c r="G28" s="12">
        <v>470254.55</v>
      </c>
      <c r="H28" s="10"/>
    </row>
    <row r="29" spans="1:8" s="13" customFormat="1" hidden="1" outlineLevel="2" x14ac:dyDescent="0.3">
      <c r="A29" s="18"/>
      <c r="B29" s="16"/>
      <c r="C29" s="19"/>
      <c r="D29" s="22"/>
      <c r="F29" s="4" t="str">
        <f>CONCATENATE("1109", " - ", "INVESTMENTS - BANKS")</f>
        <v>1109 - INVESTMENTS - BANKS</v>
      </c>
      <c r="G29" s="12">
        <v>-5188461.91</v>
      </c>
      <c r="H29" s="10"/>
    </row>
    <row r="30" spans="1:8" s="13" customFormat="1" hidden="1" outlineLevel="2" x14ac:dyDescent="0.3">
      <c r="A30" s="18"/>
      <c r="B30" s="16"/>
      <c r="C30" s="19"/>
      <c r="D30" s="22"/>
      <c r="F30" s="4" t="str">
        <f>CONCATENATE("1118", " - ", "ALLOWANCE FOR FMV OF INVESTMEN")</f>
        <v>1118 - ALLOWANCE FOR FMV OF INVESTMEN</v>
      </c>
      <c r="G30" s="12">
        <v>4167505.28</v>
      </c>
      <c r="H30" s="10"/>
    </row>
    <row r="31" spans="1:8" ht="8.25" customHeight="1" x14ac:dyDescent="0.3">
      <c r="B31" s="2"/>
      <c r="C31" s="9"/>
      <c r="D31" s="3"/>
      <c r="E31" s="7"/>
      <c r="F31" s="7"/>
      <c r="G31" s="20"/>
      <c r="H31" s="8"/>
    </row>
    <row r="32" spans="1:8" s="5" customFormat="1" collapsed="1" x14ac:dyDescent="0.3">
      <c r="B32" s="2"/>
      <c r="C32" s="9"/>
      <c r="D32" s="3" t="s">
        <v>238</v>
      </c>
      <c r="E32" s="3"/>
      <c r="F32" s="3"/>
      <c r="G32" s="11">
        <f>SUM(OSRRefG14x_0)</f>
        <v>1637582.97</v>
      </c>
      <c r="H32" s="2"/>
    </row>
    <row r="33" spans="1:8" s="13" customFormat="1" hidden="1" outlineLevel="1" x14ac:dyDescent="0.3">
      <c r="A33" s="18"/>
      <c r="B33" s="16"/>
      <c r="C33" s="19"/>
      <c r="D33" s="22"/>
      <c r="E33" s="4" t="str">
        <f>CONCATENATE("1210", " - ", "A/R - BOOKSTORE")</f>
        <v>1210 - A/R - BOOKSTORE</v>
      </c>
      <c r="F33" s="4"/>
      <c r="G33" s="12">
        <v>238548.48000000001</v>
      </c>
      <c r="H33" s="10"/>
    </row>
    <row r="34" spans="1:8" s="13" customFormat="1" hidden="1" outlineLevel="1" x14ac:dyDescent="0.3">
      <c r="A34" s="18"/>
      <c r="B34" s="16"/>
      <c r="C34" s="19"/>
      <c r="D34" s="22"/>
      <c r="E34" s="4" t="str">
        <f>CONCATENATE("1211", " - ", "A/R - REBATE RECEIVABLE")</f>
        <v>1211 - A/R - REBATE RECEIVABLE</v>
      </c>
      <c r="F34" s="4"/>
      <c r="G34" s="12">
        <v>82272.960000000006</v>
      </c>
      <c r="H34" s="10"/>
    </row>
    <row r="35" spans="1:8" s="13" customFormat="1" hidden="1" outlineLevel="1" x14ac:dyDescent="0.3">
      <c r="A35" s="18"/>
      <c r="B35" s="16"/>
      <c r="C35" s="19"/>
      <c r="D35" s="22"/>
      <c r="E35" s="4" t="str">
        <f>CONCATENATE("1212", " - ", "A/R - TAPINGO SALES")</f>
        <v>1212 - A/R - TAPINGO SALES</v>
      </c>
      <c r="F35" s="4"/>
      <c r="G35" s="12">
        <v>5089.05</v>
      </c>
      <c r="H35" s="10"/>
    </row>
    <row r="36" spans="1:8" s="13" customFormat="1" hidden="1" outlineLevel="1" x14ac:dyDescent="0.3">
      <c r="A36" s="18"/>
      <c r="B36" s="16"/>
      <c r="C36" s="19"/>
      <c r="D36" s="22"/>
      <c r="E36" s="4" t="str">
        <f>CONCATENATE("1215", " - ", "A/R - OFFSET BOOKSTORE")</f>
        <v>1215 - A/R - OFFSET BOOKSTORE</v>
      </c>
      <c r="F36" s="4"/>
      <c r="G36" s="12">
        <v>-9953.06</v>
      </c>
      <c r="H36" s="10"/>
    </row>
    <row r="37" spans="1:8" s="13" customFormat="1" hidden="1" outlineLevel="1" x14ac:dyDescent="0.3">
      <c r="A37" s="18"/>
      <c r="B37" s="16"/>
      <c r="C37" s="19"/>
      <c r="D37" s="22"/>
      <c r="E37" s="4" t="str">
        <f>CONCATENATE("1222", " - ", "A/R - VENDOR/LEASEE")</f>
        <v>1222 - A/R - VENDOR/LEASEE</v>
      </c>
      <c r="F37" s="4"/>
      <c r="G37" s="12">
        <v>-2650.31</v>
      </c>
      <c r="H37" s="10"/>
    </row>
    <row r="38" spans="1:8" s="13" customFormat="1" hidden="1" outlineLevel="1" x14ac:dyDescent="0.3">
      <c r="A38" s="18"/>
      <c r="B38" s="16"/>
      <c r="C38" s="19"/>
      <c r="D38" s="22"/>
      <c r="E38" s="4" t="str">
        <f>CONCATENATE("1225", " - ", "A/R - OFFSET FOOD SERVICE")</f>
        <v>1225 - A/R - OFFSET FOOD SERVICE</v>
      </c>
      <c r="F38" s="4"/>
      <c r="G38" s="12">
        <v>-15740.31</v>
      </c>
      <c r="H38" s="10"/>
    </row>
    <row r="39" spans="1:8" s="13" customFormat="1" hidden="1" outlineLevel="1" x14ac:dyDescent="0.3">
      <c r="A39" s="18"/>
      <c r="B39" s="16"/>
      <c r="C39" s="19"/>
      <c r="D39" s="22"/>
      <c r="E39" s="4" t="str">
        <f>CONCATENATE("1240", " - ", "A/R - NSF CHECKS")</f>
        <v>1240 - A/R - NSF CHECKS</v>
      </c>
      <c r="F39" s="4"/>
      <c r="G39" s="12">
        <v>2223.8000000000002</v>
      </c>
      <c r="H39" s="10"/>
    </row>
    <row r="40" spans="1:8" s="13" customFormat="1" hidden="1" outlineLevel="1" x14ac:dyDescent="0.3">
      <c r="A40" s="18"/>
      <c r="B40" s="16"/>
      <c r="C40" s="19"/>
      <c r="D40" s="22"/>
      <c r="E40" s="4" t="str">
        <f>CONCATENATE("1250", " - ", "A/R - DORMS")</f>
        <v>1250 - A/R - DORMS</v>
      </c>
      <c r="F40" s="4"/>
      <c r="G40" s="12">
        <v>41782.17</v>
      </c>
      <c r="H40" s="10"/>
    </row>
    <row r="41" spans="1:8" s="13" customFormat="1" hidden="1" outlineLevel="1" x14ac:dyDescent="0.3">
      <c r="A41" s="18"/>
      <c r="B41" s="16"/>
      <c r="C41" s="19"/>
      <c r="D41" s="22"/>
      <c r="E41" s="4" t="str">
        <f>CONCATENATE("1254", " - ", "A/R - ONE CARD SYSTEM")</f>
        <v>1254 - A/R - ONE CARD SYSTEM</v>
      </c>
      <c r="F41" s="4"/>
      <c r="G41" s="12">
        <v>113901</v>
      </c>
      <c r="H41" s="10"/>
    </row>
    <row r="42" spans="1:8" s="13" customFormat="1" hidden="1" outlineLevel="1" x14ac:dyDescent="0.3">
      <c r="A42" s="18"/>
      <c r="B42" s="16"/>
      <c r="C42" s="19"/>
      <c r="D42" s="22"/>
      <c r="E42" s="4" t="str">
        <f>CONCATENATE("1260", " - ", "A/R - M/C - VISA DRAFTS")</f>
        <v>1260 - A/R - M/C - VISA DRAFTS</v>
      </c>
      <c r="F42" s="4"/>
      <c r="G42" s="12">
        <v>5540.31</v>
      </c>
      <c r="H42" s="10"/>
    </row>
    <row r="43" spans="1:8" s="13" customFormat="1" hidden="1" outlineLevel="1" x14ac:dyDescent="0.3">
      <c r="A43" s="18"/>
      <c r="B43" s="16"/>
      <c r="C43" s="19"/>
      <c r="D43" s="22"/>
      <c r="E43" s="4" t="str">
        <f>CONCATENATE("1261", " - ", "A/R - WEBSITE CREDIT CARDS")</f>
        <v>1261 - A/R - WEBSITE CREDIT CARDS</v>
      </c>
      <c r="F43" s="4"/>
      <c r="G43" s="12">
        <v>8592.42</v>
      </c>
      <c r="H43" s="10"/>
    </row>
    <row r="44" spans="1:8" s="13" customFormat="1" hidden="1" outlineLevel="1" x14ac:dyDescent="0.3">
      <c r="A44" s="18"/>
      <c r="B44" s="16"/>
      <c r="C44" s="19"/>
      <c r="D44" s="22"/>
      <c r="E44" s="4" t="str">
        <f>CONCATENATE("1262", " - ", "A/R - STARBUCKS GIFT CARD")</f>
        <v>1262 - A/R - STARBUCKS GIFT CARD</v>
      </c>
      <c r="F44" s="4"/>
      <c r="G44" s="12">
        <v>-1597.71</v>
      </c>
      <c r="H44" s="10"/>
    </row>
    <row r="45" spans="1:8" s="13" customFormat="1" hidden="1" outlineLevel="1" x14ac:dyDescent="0.3">
      <c r="A45" s="18"/>
      <c r="B45" s="16"/>
      <c r="C45" s="19"/>
      <c r="D45" s="22"/>
      <c r="E45" s="4" t="str">
        <f>CONCATENATE("1271", " - ", "A/R - C.S.C.")</f>
        <v>1271 - A/R - C.S.C.</v>
      </c>
      <c r="F45" s="4"/>
      <c r="G45" s="12">
        <v>126.3</v>
      </c>
      <c r="H45" s="10"/>
    </row>
    <row r="46" spans="1:8" s="13" customFormat="1" hidden="1" outlineLevel="1" x14ac:dyDescent="0.3">
      <c r="A46" s="18"/>
      <c r="B46" s="16"/>
      <c r="C46" s="19"/>
      <c r="D46" s="22"/>
      <c r="E46" s="4" t="str">
        <f>CONCATENATE("1285", " - ", "A/R - ADVANCES")</f>
        <v>1285 - A/R - ADVANCES</v>
      </c>
      <c r="F46" s="4"/>
      <c r="G46" s="12">
        <v>0</v>
      </c>
      <c r="H46" s="10"/>
    </row>
    <row r="47" spans="1:8" s="13" customFormat="1" hidden="1" outlineLevel="1" x14ac:dyDescent="0.3">
      <c r="A47" s="18"/>
      <c r="B47" s="16"/>
      <c r="C47" s="19"/>
      <c r="D47" s="22"/>
      <c r="E47" s="4" t="str">
        <f>CONCATENATE("1286", " - ", "A/R - EMPLOYEES")</f>
        <v>1286 - A/R - EMPLOYEES</v>
      </c>
      <c r="F47" s="4"/>
      <c r="G47" s="12">
        <v>2280.1</v>
      </c>
      <c r="H47" s="10"/>
    </row>
    <row r="48" spans="1:8" s="13" customFormat="1" hidden="1" outlineLevel="1" x14ac:dyDescent="0.3">
      <c r="A48" s="18"/>
      <c r="B48" s="16"/>
      <c r="C48" s="19"/>
      <c r="D48" s="22"/>
      <c r="E48" s="4" t="str">
        <f>CONCATENATE("1287", " - ", "A/R - EMPLOYEES SAFETY SHOES")</f>
        <v>1287 - A/R - EMPLOYEES SAFETY SHOES</v>
      </c>
      <c r="F48" s="4"/>
      <c r="G48" s="12">
        <v>719.98</v>
      </c>
      <c r="H48" s="10"/>
    </row>
    <row r="49" spans="1:8" s="13" customFormat="1" hidden="1" outlineLevel="1" x14ac:dyDescent="0.3">
      <c r="A49" s="18"/>
      <c r="B49" s="16"/>
      <c r="C49" s="19"/>
      <c r="D49" s="22"/>
      <c r="E49" s="4" t="str">
        <f>CONCATENATE("1300", " - ", "INVENTORY @ COST")</f>
        <v>1300 - INVENTORY @ COST</v>
      </c>
      <c r="F49" s="4"/>
      <c r="G49" s="12">
        <v>1166447.79</v>
      </c>
      <c r="H49" s="10"/>
    </row>
    <row r="50" spans="1:8" s="13" customFormat="1" hidden="1" outlineLevel="1" x14ac:dyDescent="0.3">
      <c r="A50" s="18"/>
      <c r="B50" s="16"/>
      <c r="C50" s="19"/>
      <c r="D50" s="22"/>
      <c r="E50" s="4" t="str">
        <f>CONCATENATE("3296", " - ", "A/R - INTERFUND - CONTINGENCY")</f>
        <v>3296 - A/R - INTERFUND - CONTINGENCY</v>
      </c>
      <c r="F50" s="4"/>
      <c r="G50" s="12">
        <v>-167269.59</v>
      </c>
      <c r="H50" s="10"/>
    </row>
    <row r="51" spans="1:8" s="13" customFormat="1" hidden="1" outlineLevel="1" x14ac:dyDescent="0.3">
      <c r="A51" s="18"/>
      <c r="B51" s="16"/>
      <c r="C51" s="19"/>
      <c r="D51" s="22"/>
      <c r="E51" s="4" t="str">
        <f>CONCATENATE("3590", " - ", "INTERFUND ACCOUNT-CONTINGENCY")</f>
        <v>3590 - INTERFUND ACCOUNT-CONTINGENCY</v>
      </c>
      <c r="F51" s="4"/>
      <c r="G51" s="12">
        <v>167269.59</v>
      </c>
      <c r="H51" s="10"/>
    </row>
    <row r="52" spans="1:8" ht="8.25" customHeight="1" x14ac:dyDescent="0.3">
      <c r="B52" s="2"/>
      <c r="C52" s="9"/>
      <c r="D52" s="3"/>
      <c r="E52" s="7"/>
      <c r="F52" s="7"/>
      <c r="G52" s="20"/>
      <c r="H52" s="8"/>
    </row>
    <row r="53" spans="1:8" s="5" customFormat="1" collapsed="1" x14ac:dyDescent="0.3">
      <c r="B53" s="2"/>
      <c r="C53" s="9"/>
      <c r="D53" s="3" t="s">
        <v>108</v>
      </c>
      <c r="E53" s="3"/>
      <c r="F53" s="3"/>
      <c r="G53" s="11">
        <f>SUM(OSRRefG17x_0)</f>
        <v>94435.34</v>
      </c>
      <c r="H53" s="2"/>
    </row>
    <row r="54" spans="1:8" s="13" customFormat="1" hidden="1" outlineLevel="1" x14ac:dyDescent="0.3">
      <c r="A54" s="18"/>
      <c r="B54" s="16"/>
      <c r="C54" s="19"/>
      <c r="D54" s="4"/>
      <c r="E54" s="4" t="str">
        <f>CONCATENATE("1301", " - ", "INVENTORY @ COST-NEW TEXT")</f>
        <v>1301 - INVENTORY @ COST-NEW TEXT</v>
      </c>
      <c r="F54" s="4"/>
      <c r="G54" s="12">
        <v>0</v>
      </c>
      <c r="H54" s="10"/>
    </row>
    <row r="55" spans="1:8" s="13" customFormat="1" hidden="1" outlineLevel="1" x14ac:dyDescent="0.3">
      <c r="A55" s="18"/>
      <c r="B55" s="16"/>
      <c r="C55" s="19"/>
      <c r="D55" s="4"/>
      <c r="E55" s="4" t="str">
        <f>CONCATENATE("1302", " - ", "INVENTORY @ COST-USED TEXT")</f>
        <v>1302 - INVENTORY @ COST-USED TEXT</v>
      </c>
      <c r="F55" s="4"/>
      <c r="G55" s="12">
        <v>0</v>
      </c>
      <c r="H55" s="10"/>
    </row>
    <row r="56" spans="1:8" s="13" customFormat="1" hidden="1" outlineLevel="1" x14ac:dyDescent="0.3">
      <c r="A56" s="18"/>
      <c r="B56" s="16"/>
      <c r="C56" s="19"/>
      <c r="D56" s="4"/>
      <c r="E56" s="4" t="str">
        <f>CONCATENATE("1304", " - ", "INVENTORY @ COST-DIGITAL BOOKS")</f>
        <v>1304 - INVENTORY @ COST-DIGITAL BOOKS</v>
      </c>
      <c r="F56" s="4"/>
      <c r="G56" s="12">
        <v>0</v>
      </c>
      <c r="H56" s="10"/>
    </row>
    <row r="57" spans="1:8" s="13" customFormat="1" hidden="1" outlineLevel="1" x14ac:dyDescent="0.3">
      <c r="A57" s="18"/>
      <c r="B57" s="16"/>
      <c r="C57" s="19"/>
      <c r="D57" s="4"/>
      <c r="E57" s="4" t="str">
        <f>CONCATENATE("1313", " - ", "INVENTORY @ COST-TRADE BOOKS")</f>
        <v>1313 - INVENTORY @ COST-TRADE BOOKS</v>
      </c>
      <c r="F57" s="4"/>
      <c r="G57" s="12">
        <v>0</v>
      </c>
      <c r="H57" s="10"/>
    </row>
    <row r="58" spans="1:8" s="13" customFormat="1" hidden="1" outlineLevel="1" x14ac:dyDescent="0.3">
      <c r="A58" s="18"/>
      <c r="B58" s="16"/>
      <c r="C58" s="19"/>
      <c r="D58" s="4"/>
      <c r="E58" s="4" t="str">
        <f>CONCATENATE("1318", " - ", "INVENTORY @ COST-STUDY GUIDES")</f>
        <v>1318 - INVENTORY @ COST-STUDY GUIDES</v>
      </c>
      <c r="F58" s="4"/>
      <c r="G58" s="12">
        <v>0</v>
      </c>
      <c r="H58" s="10"/>
    </row>
    <row r="59" spans="1:8" s="13" customFormat="1" hidden="1" outlineLevel="1" x14ac:dyDescent="0.3">
      <c r="A59" s="18"/>
      <c r="B59" s="16"/>
      <c r="C59" s="19"/>
      <c r="D59" s="4"/>
      <c r="E59" s="4" t="str">
        <f>CONCATENATE("1326", " - ", "INVENTORY @ COST-WRITING INSTR")</f>
        <v>1326 - INVENTORY @ COST-WRITING INSTR</v>
      </c>
      <c r="F59" s="4"/>
      <c r="G59" s="12">
        <v>0</v>
      </c>
      <c r="H59" s="10"/>
    </row>
    <row r="60" spans="1:8" s="13" customFormat="1" hidden="1" outlineLevel="1" x14ac:dyDescent="0.3">
      <c r="A60" s="18"/>
      <c r="B60" s="16"/>
      <c r="C60" s="19"/>
      <c r="D60" s="4"/>
      <c r="E60" s="4" t="str">
        <f>CONCATENATE("1327", " - ", "INVENTORY @ COST-SCHOOL SUPPLI")</f>
        <v>1327 - INVENTORY @ COST-SCHOOL SUPPLI</v>
      </c>
      <c r="F60" s="4"/>
      <c r="G60" s="12">
        <v>0</v>
      </c>
      <c r="H60" s="10"/>
    </row>
    <row r="61" spans="1:8" s="13" customFormat="1" hidden="1" outlineLevel="1" x14ac:dyDescent="0.3">
      <c r="A61" s="18"/>
      <c r="B61" s="16"/>
      <c r="C61" s="19"/>
      <c r="D61" s="4"/>
      <c r="E61" s="4" t="str">
        <f>CONCATENATE("1328", " - ", "INVENTORY @ COST-ART/TECH")</f>
        <v>1328 - INVENTORY @ COST-ART/TECH</v>
      </c>
      <c r="F61" s="4"/>
      <c r="G61" s="12">
        <v>0</v>
      </c>
      <c r="H61" s="10"/>
    </row>
    <row r="62" spans="1:8" s="13" customFormat="1" hidden="1" outlineLevel="1" x14ac:dyDescent="0.3">
      <c r="A62" s="18"/>
      <c r="B62" s="16"/>
      <c r="C62" s="19"/>
      <c r="D62" s="4"/>
      <c r="E62" s="4" t="str">
        <f>CONCATENATE("1331", " - ", "INVENTORY @ COST-FOOD")</f>
        <v>1331 - INVENTORY @ COST-FOOD</v>
      </c>
      <c r="F62" s="4"/>
      <c r="G62" s="12">
        <v>22690.080000000002</v>
      </c>
      <c r="H62" s="10"/>
    </row>
    <row r="63" spans="1:8" s="13" customFormat="1" hidden="1" outlineLevel="1" x14ac:dyDescent="0.3">
      <c r="A63" s="18"/>
      <c r="B63" s="16"/>
      <c r="C63" s="19"/>
      <c r="D63" s="4"/>
      <c r="E63" s="4" t="str">
        <f>CONCATENATE("1340", " - ", "INVENTORY @ COST-LOGO CLOTHING")</f>
        <v>1340 - INVENTORY @ COST-LOGO CLOTHING</v>
      </c>
      <c r="F63" s="4"/>
      <c r="G63" s="12">
        <v>0</v>
      </c>
      <c r="H63" s="10"/>
    </row>
    <row r="64" spans="1:8" s="13" customFormat="1" hidden="1" outlineLevel="1" x14ac:dyDescent="0.3">
      <c r="A64" s="18"/>
      <c r="B64" s="16"/>
      <c r="C64" s="19"/>
      <c r="D64" s="4"/>
      <c r="E64" s="4" t="str">
        <f>CONCATENATE("1341", " - ", "INVENTORY @ COST-LOGO GIFTS")</f>
        <v>1341 - INVENTORY @ COST-LOGO GIFTS</v>
      </c>
      <c r="F64" s="4"/>
      <c r="G64" s="12">
        <v>0</v>
      </c>
      <c r="H64" s="10"/>
    </row>
    <row r="65" spans="1:8" s="13" customFormat="1" hidden="1" outlineLevel="1" x14ac:dyDescent="0.3">
      <c r="A65" s="18"/>
      <c r="B65" s="16"/>
      <c r="C65" s="19"/>
      <c r="D65" s="4"/>
      <c r="E65" s="4" t="str">
        <f>CONCATENATE("1342", " - ", "INVENTORY @ COST-EVERYDAY GIFT")</f>
        <v>1342 - INVENTORY @ COST-EVERYDAY GIFT</v>
      </c>
      <c r="F65" s="4"/>
      <c r="G65" s="12">
        <v>0</v>
      </c>
      <c r="H65" s="10"/>
    </row>
    <row r="66" spans="1:8" s="13" customFormat="1" hidden="1" outlineLevel="1" x14ac:dyDescent="0.3">
      <c r="A66" s="18"/>
      <c r="B66" s="16"/>
      <c r="C66" s="19"/>
      <c r="D66" s="4"/>
      <c r="E66" s="4" t="str">
        <f>CONCATENATE("1343", " - ", "INVENTORY @ COST-CARDS")</f>
        <v>1343 - INVENTORY @ COST-CARDS</v>
      </c>
      <c r="F66" s="4"/>
      <c r="G66" s="12">
        <v>0</v>
      </c>
      <c r="H66" s="10"/>
    </row>
    <row r="67" spans="1:8" s="13" customFormat="1" hidden="1" outlineLevel="1" x14ac:dyDescent="0.3">
      <c r="A67" s="18"/>
      <c r="B67" s="16"/>
      <c r="C67" s="19"/>
      <c r="D67" s="4"/>
      <c r="E67" s="4" t="str">
        <f>CONCATENATE("1344", " - ", "INVENTORY @ COST-ACCESSORIES")</f>
        <v>1344 - INVENTORY @ COST-ACCESSORIES</v>
      </c>
      <c r="F67" s="4"/>
      <c r="G67" s="12">
        <v>0</v>
      </c>
      <c r="H67" s="10"/>
    </row>
    <row r="68" spans="1:8" s="13" customFormat="1" hidden="1" outlineLevel="1" x14ac:dyDescent="0.3">
      <c r="A68" s="18"/>
      <c r="B68" s="16"/>
      <c r="C68" s="19"/>
      <c r="D68" s="4"/>
      <c r="E68" s="4" t="str">
        <f>CONCATENATE("1350", " - ", "INVENTORY @ COST-CAFETERIA")</f>
        <v>1350 - INVENTORY @ COST-CAFETERIA</v>
      </c>
      <c r="F68" s="4"/>
      <c r="G68" s="12">
        <v>25611.26</v>
      </c>
      <c r="H68" s="10"/>
    </row>
    <row r="69" spans="1:8" s="13" customFormat="1" hidden="1" outlineLevel="1" x14ac:dyDescent="0.3">
      <c r="A69" s="18"/>
      <c r="B69" s="16"/>
      <c r="C69" s="19"/>
      <c r="D69" s="4"/>
      <c r="E69" s="4" t="str">
        <f>CONCATENATE("1370", " - ", "INVENTORY @ COST-HILLSIDE")</f>
        <v>1370 - INVENTORY @ COST-HILLSIDE</v>
      </c>
      <c r="F69" s="4"/>
      <c r="G69" s="12">
        <v>7155</v>
      </c>
      <c r="H69" s="10"/>
    </row>
    <row r="70" spans="1:8" s="13" customFormat="1" hidden="1" outlineLevel="1" x14ac:dyDescent="0.3">
      <c r="A70" s="18"/>
      <c r="B70" s="16"/>
      <c r="C70" s="19"/>
      <c r="D70" s="4"/>
      <c r="E70" s="4" t="str">
        <f>CONCATENATE("1380", " - ", "INVENTORY @ COST-PARKSIDE COMM")</f>
        <v>1380 - INVENTORY @ COST-PARKSIDE COMM</v>
      </c>
      <c r="F70" s="4"/>
      <c r="G70" s="12">
        <v>30637</v>
      </c>
      <c r="H70" s="10"/>
    </row>
    <row r="71" spans="1:8" s="13" customFormat="1" hidden="1" outlineLevel="1" x14ac:dyDescent="0.3">
      <c r="A71" s="18"/>
      <c r="B71" s="16"/>
      <c r="C71" s="19"/>
      <c r="D71" s="4"/>
      <c r="E71" s="4" t="str">
        <f>CONCATENATE("1381", " - ", "INVENTORY @ COST-ELECTRONICS")</f>
        <v>1381 - INVENTORY @ COST-ELECTRONICS</v>
      </c>
      <c r="F71" s="4"/>
      <c r="G71" s="12">
        <v>0</v>
      </c>
      <c r="H71" s="10"/>
    </row>
    <row r="72" spans="1:8" s="13" customFormat="1" hidden="1" outlineLevel="1" x14ac:dyDescent="0.3">
      <c r="A72" s="18"/>
      <c r="B72" s="16"/>
      <c r="C72" s="19"/>
      <c r="D72" s="4"/>
      <c r="E72" s="4" t="str">
        <f>CONCATENATE("1382", " - ", "INVENTORY @ COST-COMPUTER HARD")</f>
        <v>1382 - INVENTORY @ COST-COMPUTER HARD</v>
      </c>
      <c r="F72" s="4"/>
      <c r="G72" s="12">
        <v>0</v>
      </c>
      <c r="H72" s="10"/>
    </row>
    <row r="73" spans="1:8" s="13" customFormat="1" hidden="1" outlineLevel="1" x14ac:dyDescent="0.3">
      <c r="A73" s="18"/>
      <c r="B73" s="16"/>
      <c r="C73" s="19"/>
      <c r="D73" s="4"/>
      <c r="E73" s="4" t="str">
        <f>CONCATENATE("1383", " - ", "INVENTORY @ COST-COMPUTER EQUI")</f>
        <v>1383 - INVENTORY @ COST-COMPUTER EQUI</v>
      </c>
      <c r="F73" s="4"/>
      <c r="G73" s="12">
        <v>0</v>
      </c>
      <c r="H73" s="10"/>
    </row>
    <row r="74" spans="1:8" s="13" customFormat="1" hidden="1" outlineLevel="1" x14ac:dyDescent="0.3">
      <c r="A74" s="18"/>
      <c r="B74" s="16"/>
      <c r="C74" s="19"/>
      <c r="D74" s="4"/>
      <c r="E74" s="4" t="str">
        <f>CONCATENATE("1385", " - ", "INVENTORY @ COST-COMPUTER SOFT")</f>
        <v>1385 - INVENTORY @ COST-COMPUTER SOFT</v>
      </c>
      <c r="F74" s="4"/>
      <c r="G74" s="12">
        <v>0</v>
      </c>
      <c r="H74" s="10"/>
    </row>
    <row r="75" spans="1:8" s="13" customFormat="1" hidden="1" outlineLevel="1" x14ac:dyDescent="0.3">
      <c r="A75" s="18"/>
      <c r="B75" s="16"/>
      <c r="C75" s="19"/>
      <c r="D75" s="4"/>
      <c r="E75" s="4" t="str">
        <f>CONCATENATE("1386", " - ", "INVENTORY @ COST-COMPUTER SUPP")</f>
        <v>1386 - INVENTORY @ COST-COMPUTER SUPP</v>
      </c>
      <c r="F75" s="4"/>
      <c r="G75" s="12">
        <v>0</v>
      </c>
      <c r="H75" s="10"/>
    </row>
    <row r="76" spans="1:8" s="13" customFormat="1" hidden="1" outlineLevel="1" x14ac:dyDescent="0.3">
      <c r="A76" s="18"/>
      <c r="B76" s="16"/>
      <c r="C76" s="19"/>
      <c r="D76" s="4"/>
      <c r="E76" s="4" t="str">
        <f>CONCATENATE("1390", " - ", "INVENTORY @ COST- BEACHSIDE")</f>
        <v>1390 - INVENTORY @ COST- BEACHSIDE</v>
      </c>
      <c r="F76" s="4"/>
      <c r="G76" s="12">
        <v>8342</v>
      </c>
      <c r="H76" s="10"/>
    </row>
    <row r="77" spans="1:8" s="13" customFormat="1" hidden="1" outlineLevel="1" x14ac:dyDescent="0.3">
      <c r="A77" s="18"/>
      <c r="B77" s="16"/>
      <c r="C77" s="19"/>
      <c r="D77" s="4"/>
      <c r="E77" s="4" t="str">
        <f>CONCATENATE("7100", " - ", "INVENTORY @ RETAIL-CONTRA")</f>
        <v>7100 - INVENTORY @ RETAIL-CONTRA</v>
      </c>
      <c r="F77" s="4"/>
      <c r="G77" s="12">
        <v>0</v>
      </c>
      <c r="H77" s="10"/>
    </row>
    <row r="78" spans="1:8" s="13" customFormat="1" hidden="1" outlineLevel="1" x14ac:dyDescent="0.3">
      <c r="A78" s="18"/>
      <c r="B78" s="16"/>
      <c r="C78" s="19"/>
      <c r="D78" s="4"/>
      <c r="E78" s="4" t="str">
        <f>CONCATENATE("7101", " - ", "INVENTORY @ RETAIL-NEW TEXT")</f>
        <v>7101 - INVENTORY @ RETAIL-NEW TEXT</v>
      </c>
      <c r="F78" s="4"/>
      <c r="G78" s="12">
        <v>0</v>
      </c>
      <c r="H78" s="10"/>
    </row>
    <row r="79" spans="1:8" s="13" customFormat="1" hidden="1" outlineLevel="1" x14ac:dyDescent="0.3">
      <c r="A79" s="18"/>
      <c r="B79" s="16"/>
      <c r="C79" s="19"/>
      <c r="D79" s="4"/>
      <c r="E79" s="4" t="str">
        <f>CONCATENATE("7102", " - ", "INVENTORY @ RETAIL-USED TEXT")</f>
        <v>7102 - INVENTORY @ RETAIL-USED TEXT</v>
      </c>
      <c r="F79" s="4"/>
      <c r="G79" s="12">
        <v>0</v>
      </c>
      <c r="H79" s="10"/>
    </row>
    <row r="80" spans="1:8" s="13" customFormat="1" hidden="1" outlineLevel="1" x14ac:dyDescent="0.3">
      <c r="A80" s="18"/>
      <c r="B80" s="16"/>
      <c r="C80" s="19"/>
      <c r="D80" s="4"/>
      <c r="E80" s="4" t="str">
        <f>CONCATENATE("7104", " - ", "INVENTORY @ RETAIL-DIGITAL TEX")</f>
        <v>7104 - INVENTORY @ RETAIL-DIGITAL TEX</v>
      </c>
      <c r="F80" s="4"/>
      <c r="G80" s="12">
        <v>0</v>
      </c>
      <c r="H80" s="10"/>
    </row>
    <row r="81" spans="1:8" s="13" customFormat="1" hidden="1" outlineLevel="1" x14ac:dyDescent="0.3">
      <c r="A81" s="18"/>
      <c r="B81" s="16"/>
      <c r="C81" s="19"/>
      <c r="D81" s="4"/>
      <c r="E81" s="4" t="str">
        <f>CONCATENATE("7111", " - ", "INVENTORY @ RETAIL-NO VALUE TE")</f>
        <v>7111 - INVENTORY @ RETAIL-NO VALUE TE</v>
      </c>
      <c r="F81" s="4"/>
      <c r="G81" s="12">
        <v>0</v>
      </c>
      <c r="H81" s="10"/>
    </row>
    <row r="82" spans="1:8" s="13" customFormat="1" hidden="1" outlineLevel="1" x14ac:dyDescent="0.3">
      <c r="A82" s="18"/>
      <c r="B82" s="16"/>
      <c r="C82" s="19"/>
      <c r="D82" s="4"/>
      <c r="E82" s="4" t="str">
        <f>CONCATENATE("7113", " - ", "INVENTORY @ RETAIL-TRADE BOOKS")</f>
        <v>7113 - INVENTORY @ RETAIL-TRADE BOOKS</v>
      </c>
      <c r="F82" s="4"/>
      <c r="G82" s="12">
        <v>0</v>
      </c>
      <c r="H82" s="10"/>
    </row>
    <row r="83" spans="1:8" s="13" customFormat="1" hidden="1" outlineLevel="1" x14ac:dyDescent="0.3">
      <c r="A83" s="18"/>
      <c r="B83" s="16"/>
      <c r="C83" s="19"/>
      <c r="D83" s="4"/>
      <c r="E83" s="4" t="str">
        <f>CONCATENATE("7117", " - ", "INVENTORY @ RETAIL-DORM/HOUSEW")</f>
        <v>7117 - INVENTORY @ RETAIL-DORM/HOUSEW</v>
      </c>
      <c r="F83" s="4"/>
      <c r="G83" s="12">
        <v>0</v>
      </c>
      <c r="H83" s="10"/>
    </row>
    <row r="84" spans="1:8" s="13" customFormat="1" hidden="1" outlineLevel="1" x14ac:dyDescent="0.3">
      <c r="A84" s="18"/>
      <c r="B84" s="16"/>
      <c r="C84" s="19"/>
      <c r="D84" s="4"/>
      <c r="E84" s="4" t="str">
        <f>CONCATENATE("7118", " - ", "INVENTORY @ RETAIL-STUDY GUIDE")</f>
        <v>7118 - INVENTORY @ RETAIL-STUDY GUIDE</v>
      </c>
      <c r="F84" s="4"/>
      <c r="G84" s="12">
        <v>0</v>
      </c>
      <c r="H84" s="10"/>
    </row>
    <row r="85" spans="1:8" s="13" customFormat="1" hidden="1" outlineLevel="1" x14ac:dyDescent="0.3">
      <c r="A85" s="18"/>
      <c r="B85" s="16"/>
      <c r="C85" s="19"/>
      <c r="D85" s="4"/>
      <c r="E85" s="4" t="str">
        <f>CONCATENATE("7125", " - ", "INVENTORY @ RETAIL-TEST FORMS")</f>
        <v>7125 - INVENTORY @ RETAIL-TEST FORMS</v>
      </c>
      <c r="F85" s="4"/>
      <c r="G85" s="12">
        <v>0</v>
      </c>
      <c r="H85" s="10"/>
    </row>
    <row r="86" spans="1:8" s="13" customFormat="1" hidden="1" outlineLevel="1" x14ac:dyDescent="0.3">
      <c r="A86" s="18"/>
      <c r="B86" s="16"/>
      <c r="C86" s="19"/>
      <c r="D86" s="4"/>
      <c r="E86" s="4" t="str">
        <f>CONCATENATE("7126", " - ", "INVENTORY @ RETAIL-WRITING INS")</f>
        <v>7126 - INVENTORY @ RETAIL-WRITING INS</v>
      </c>
      <c r="F86" s="4"/>
      <c r="G86" s="12">
        <v>0</v>
      </c>
      <c r="H86" s="10"/>
    </row>
    <row r="87" spans="1:8" s="13" customFormat="1" hidden="1" outlineLevel="1" x14ac:dyDescent="0.3">
      <c r="A87" s="18"/>
      <c r="B87" s="16"/>
      <c r="C87" s="19"/>
      <c r="D87" s="4"/>
      <c r="E87" s="4" t="str">
        <f>CONCATENATE("7127", " - ", "INVENTORY @ RETAIL-SCHOOL SUPP")</f>
        <v>7127 - INVENTORY @ RETAIL-SCHOOL SUPP</v>
      </c>
      <c r="F87" s="4"/>
      <c r="G87" s="12">
        <v>0</v>
      </c>
      <c r="H87" s="10"/>
    </row>
    <row r="88" spans="1:8" s="13" customFormat="1" hidden="1" outlineLevel="1" x14ac:dyDescent="0.3">
      <c r="A88" s="18"/>
      <c r="B88" s="16"/>
      <c r="C88" s="19"/>
      <c r="D88" s="4"/>
      <c r="E88" s="4" t="str">
        <f>CONCATENATE("7128", " - ", "INVENTORY @ RETAIL-ART/TECH")</f>
        <v>7128 - INVENTORY @ RETAIL-ART/TECH</v>
      </c>
      <c r="F88" s="4"/>
      <c r="G88" s="12">
        <v>0</v>
      </c>
      <c r="H88" s="10"/>
    </row>
    <row r="89" spans="1:8" s="13" customFormat="1" hidden="1" outlineLevel="1" x14ac:dyDescent="0.3">
      <c r="A89" s="18"/>
      <c r="B89" s="16"/>
      <c r="C89" s="19"/>
      <c r="D89" s="4"/>
      <c r="E89" s="4" t="str">
        <f>CONCATENATE("7131", " - ", "INVENTORY @ RETAIL-FOOD")</f>
        <v>7131 - INVENTORY @ RETAIL-FOOD</v>
      </c>
      <c r="F89" s="4"/>
      <c r="G89" s="12">
        <v>0</v>
      </c>
      <c r="H89" s="10"/>
    </row>
    <row r="90" spans="1:8" s="13" customFormat="1" hidden="1" outlineLevel="1" x14ac:dyDescent="0.3">
      <c r="A90" s="18"/>
      <c r="B90" s="16"/>
      <c r="C90" s="19"/>
      <c r="D90" s="4"/>
      <c r="E90" s="4" t="str">
        <f>CONCATENATE("7132", " - ", "INVENTORY @ RETAIL-JUICE")</f>
        <v>7132 - INVENTORY @ RETAIL-JUICE</v>
      </c>
      <c r="F90" s="4"/>
      <c r="G90" s="12">
        <v>0</v>
      </c>
      <c r="H90" s="10"/>
    </row>
    <row r="91" spans="1:8" s="13" customFormat="1" hidden="1" outlineLevel="1" x14ac:dyDescent="0.3">
      <c r="A91" s="18"/>
      <c r="B91" s="16"/>
      <c r="C91" s="19"/>
      <c r="D91" s="4"/>
      <c r="E91" s="4" t="str">
        <f>CONCATENATE("7133", " - ", "INVENTORY @ RETAIL-CANDY")</f>
        <v>7133 - INVENTORY @ RETAIL-CANDY</v>
      </c>
      <c r="F91" s="4"/>
      <c r="G91" s="12">
        <v>0</v>
      </c>
      <c r="H91" s="10"/>
    </row>
    <row r="92" spans="1:8" s="13" customFormat="1" hidden="1" outlineLevel="1" x14ac:dyDescent="0.3">
      <c r="A92" s="18"/>
      <c r="B92" s="16"/>
      <c r="C92" s="19"/>
      <c r="D92" s="4"/>
      <c r="E92" s="4" t="str">
        <f>CONCATENATE("7134", " - ", "INVENTORY @ RETAIL-SODA")</f>
        <v>7134 - INVENTORY @ RETAIL-SODA</v>
      </c>
      <c r="F92" s="4"/>
      <c r="G92" s="12">
        <v>0</v>
      </c>
      <c r="H92" s="10"/>
    </row>
    <row r="93" spans="1:8" s="13" customFormat="1" hidden="1" outlineLevel="1" x14ac:dyDescent="0.3">
      <c r="A93" s="18"/>
      <c r="B93" s="16"/>
      <c r="C93" s="19"/>
      <c r="D93" s="4"/>
      <c r="E93" s="4" t="str">
        <f>CONCATENATE("7135", " - ", "INVENTORY @ RETAIL-HEALTH &amp; BE")</f>
        <v>7135 - INVENTORY @ RETAIL-HEALTH &amp; BE</v>
      </c>
      <c r="F93" s="4"/>
      <c r="G93" s="12">
        <v>0</v>
      </c>
      <c r="H93" s="10"/>
    </row>
    <row r="94" spans="1:8" s="13" customFormat="1" hidden="1" outlineLevel="1" x14ac:dyDescent="0.3">
      <c r="A94" s="18"/>
      <c r="B94" s="16"/>
      <c r="C94" s="19"/>
      <c r="D94" s="4"/>
      <c r="E94" s="4" t="str">
        <f>CONCATENATE("7137", " - ", "INVENTORY @ RETAIL-WATER")</f>
        <v>7137 - INVENTORY @ RETAIL-WATER</v>
      </c>
      <c r="F94" s="4"/>
      <c r="G94" s="12">
        <v>0</v>
      </c>
      <c r="H94" s="10"/>
    </row>
    <row r="95" spans="1:8" s="13" customFormat="1" hidden="1" outlineLevel="1" x14ac:dyDescent="0.3">
      <c r="A95" s="18"/>
      <c r="B95" s="16"/>
      <c r="C95" s="19"/>
      <c r="D95" s="4"/>
      <c r="E95" s="4" t="str">
        <f>CONCATENATE("7140", " - ", "INVENTORY @ RETAIL-LOGO CLOTHI")</f>
        <v>7140 - INVENTORY @ RETAIL-LOGO CLOTHI</v>
      </c>
      <c r="F95" s="4"/>
      <c r="G95" s="12">
        <v>0</v>
      </c>
      <c r="H95" s="10"/>
    </row>
    <row r="96" spans="1:8" s="13" customFormat="1" hidden="1" outlineLevel="1" x14ac:dyDescent="0.3">
      <c r="A96" s="18"/>
      <c r="B96" s="16"/>
      <c r="C96" s="19"/>
      <c r="D96" s="4"/>
      <c r="E96" s="4" t="str">
        <f>CONCATENATE("7141", " - ", "INVENTORY @ RETAIL-LOGO GIFTS")</f>
        <v>7141 - INVENTORY @ RETAIL-LOGO GIFTS</v>
      </c>
      <c r="F96" s="4"/>
      <c r="G96" s="12">
        <v>0</v>
      </c>
      <c r="H96" s="10"/>
    </row>
    <row r="97" spans="1:8" s="13" customFormat="1" hidden="1" outlineLevel="1" x14ac:dyDescent="0.3">
      <c r="A97" s="18"/>
      <c r="B97" s="16"/>
      <c r="C97" s="19"/>
      <c r="D97" s="4"/>
      <c r="E97" s="4" t="str">
        <f>CONCATENATE("7142", " - ", "INVENTORY @ RETAIL-EVERYDAY GI")</f>
        <v>7142 - INVENTORY @ RETAIL-EVERYDAY GI</v>
      </c>
      <c r="F97" s="4"/>
      <c r="G97" s="12">
        <v>0</v>
      </c>
      <c r="H97" s="10"/>
    </row>
    <row r="98" spans="1:8" s="13" customFormat="1" hidden="1" outlineLevel="1" x14ac:dyDescent="0.3">
      <c r="A98" s="18"/>
      <c r="B98" s="16"/>
      <c r="C98" s="19"/>
      <c r="D98" s="4"/>
      <c r="E98" s="4" t="str">
        <f>CONCATENATE("7143", " - ", "INVENTORY @ RETAIL-CARDS")</f>
        <v>7143 - INVENTORY @ RETAIL-CARDS</v>
      </c>
      <c r="F98" s="4"/>
      <c r="G98" s="12">
        <v>0</v>
      </c>
      <c r="H98" s="10"/>
    </row>
    <row r="99" spans="1:8" s="13" customFormat="1" hidden="1" outlineLevel="1" x14ac:dyDescent="0.3">
      <c r="A99" s="18"/>
      <c r="B99" s="16"/>
      <c r="C99" s="19"/>
      <c r="D99" s="4"/>
      <c r="E99" s="4" t="str">
        <f>CONCATENATE("7144", " - ", "INVENTORY @ RETAIL-ACCESSORIES")</f>
        <v>7144 - INVENTORY @ RETAIL-ACCESSORIES</v>
      </c>
      <c r="F99" s="4"/>
      <c r="G99" s="12">
        <v>0</v>
      </c>
      <c r="H99" s="10"/>
    </row>
    <row r="100" spans="1:8" s="13" customFormat="1" hidden="1" outlineLevel="1" x14ac:dyDescent="0.3">
      <c r="A100" s="18"/>
      <c r="B100" s="16"/>
      <c r="C100" s="19"/>
      <c r="D100" s="4"/>
      <c r="E100" s="4" t="str">
        <f>CONCATENATE("7145", " - ", "INVENTORY @ RETAIL-SPECIAL ORD")</f>
        <v>7145 - INVENTORY @ RETAIL-SPECIAL ORD</v>
      </c>
      <c r="F100" s="4"/>
      <c r="G100" s="12">
        <v>0</v>
      </c>
      <c r="H100" s="10"/>
    </row>
    <row r="101" spans="1:8" s="13" customFormat="1" hidden="1" outlineLevel="1" x14ac:dyDescent="0.3">
      <c r="A101" s="18"/>
      <c r="B101" s="16"/>
      <c r="C101" s="19"/>
      <c r="D101" s="4"/>
      <c r="E101" s="4" t="str">
        <f>CONCATENATE("7181", " - ", "PURCHASES @ RETAIL-ELECTRONICS")</f>
        <v>7181 - PURCHASES @ RETAIL-ELECTRONICS</v>
      </c>
      <c r="F101" s="4"/>
      <c r="G101" s="12">
        <v>0</v>
      </c>
      <c r="H101" s="10"/>
    </row>
    <row r="102" spans="1:8" s="13" customFormat="1" hidden="1" outlineLevel="1" x14ac:dyDescent="0.3">
      <c r="A102" s="18"/>
      <c r="B102" s="16"/>
      <c r="C102" s="19"/>
      <c r="D102" s="4"/>
      <c r="E102" s="4" t="str">
        <f>CONCATENATE("7182", " - ", "INVENTORY @ RETAIL-COMPUTER HA")</f>
        <v>7182 - INVENTORY @ RETAIL-COMPUTER HA</v>
      </c>
      <c r="F102" s="4"/>
      <c r="G102" s="12">
        <v>0</v>
      </c>
      <c r="H102" s="10"/>
    </row>
    <row r="103" spans="1:8" s="13" customFormat="1" hidden="1" outlineLevel="1" x14ac:dyDescent="0.3">
      <c r="A103" s="18"/>
      <c r="B103" s="16"/>
      <c r="C103" s="19"/>
      <c r="D103" s="4"/>
      <c r="E103" s="4" t="str">
        <f>CONCATENATE("7183", " - ", "INVENTORY @ RETAIL-COMPUTER EQ")</f>
        <v>7183 - INVENTORY @ RETAIL-COMPUTER EQ</v>
      </c>
      <c r="F103" s="4"/>
      <c r="G103" s="12">
        <v>0</v>
      </c>
      <c r="H103" s="10"/>
    </row>
    <row r="104" spans="1:8" s="13" customFormat="1" hidden="1" outlineLevel="1" x14ac:dyDescent="0.3">
      <c r="A104" s="18"/>
      <c r="B104" s="16"/>
      <c r="C104" s="19"/>
      <c r="D104" s="4"/>
      <c r="E104" s="4" t="str">
        <f>CONCATENATE("7184", " - ", "INVENTORY @ RETAIL-SOFTWARE LI")</f>
        <v>7184 - INVENTORY @ RETAIL-SOFTWARE LI</v>
      </c>
      <c r="F104" s="4"/>
      <c r="G104" s="12">
        <v>0</v>
      </c>
      <c r="H104" s="10"/>
    </row>
    <row r="105" spans="1:8" s="13" customFormat="1" hidden="1" outlineLevel="1" x14ac:dyDescent="0.3">
      <c r="A105" s="18"/>
      <c r="B105" s="16"/>
      <c r="C105" s="19"/>
      <c r="D105" s="4"/>
      <c r="E105" s="4" t="str">
        <f>CONCATENATE("7185", " - ", "INVENTORY @ RETAIL-SOFTWARE")</f>
        <v>7185 - INVENTORY @ RETAIL-SOFTWARE</v>
      </c>
      <c r="F105" s="4"/>
      <c r="G105" s="12">
        <v>0</v>
      </c>
      <c r="H105" s="10"/>
    </row>
    <row r="106" spans="1:8" s="13" customFormat="1" hidden="1" outlineLevel="1" x14ac:dyDescent="0.3">
      <c r="A106" s="18"/>
      <c r="B106" s="16"/>
      <c r="C106" s="19"/>
      <c r="D106" s="4"/>
      <c r="E106" s="4" t="str">
        <f>CONCATENATE("7186", " - ", "INVENTORY @ RETAIL-COMPUTER SU")</f>
        <v>7186 - INVENTORY @ RETAIL-COMPUTER SU</v>
      </c>
      <c r="F106" s="4"/>
      <c r="G106" s="12">
        <v>0</v>
      </c>
      <c r="H106" s="10"/>
    </row>
    <row r="107" spans="1:8" s="13" customFormat="1" hidden="1" outlineLevel="1" x14ac:dyDescent="0.3">
      <c r="A107" s="18"/>
      <c r="B107" s="16"/>
      <c r="C107" s="19"/>
      <c r="D107" s="4"/>
      <c r="E107" s="4" t="str">
        <f>CONCATENATE("7188", " - ", "INVENTORY @ RETAIL-MUSIC")</f>
        <v>7188 - INVENTORY @ RETAIL-MUSIC</v>
      </c>
      <c r="F107" s="4"/>
      <c r="G107" s="12">
        <v>0</v>
      </c>
      <c r="H107" s="10"/>
    </row>
    <row r="108" spans="1:8" s="13" customFormat="1" hidden="1" outlineLevel="1" x14ac:dyDescent="0.3">
      <c r="A108" s="18"/>
      <c r="B108" s="16"/>
      <c r="C108" s="19"/>
      <c r="D108" s="4"/>
      <c r="E108" s="4" t="str">
        <f>CONCATENATE("7192", " - ", "INVENTORY @ RETAIL-GRAD MERCH")</f>
        <v>7192 - INVENTORY @ RETAIL-GRAD MERCH</v>
      </c>
      <c r="F108" s="4"/>
      <c r="G108" s="12">
        <v>0</v>
      </c>
      <c r="H108" s="10"/>
    </row>
    <row r="109" spans="1:8" ht="8.25" customHeight="1" x14ac:dyDescent="0.3">
      <c r="B109" s="2"/>
      <c r="C109" s="9"/>
      <c r="D109" s="3"/>
      <c r="E109" s="7"/>
      <c r="F109" s="7"/>
      <c r="G109" s="20"/>
      <c r="H109" s="8"/>
    </row>
    <row r="110" spans="1:8" s="5" customFormat="1" collapsed="1" x14ac:dyDescent="0.3">
      <c r="B110" s="2"/>
      <c r="C110" s="9"/>
      <c r="D110" s="3" t="s">
        <v>83</v>
      </c>
      <c r="E110" s="3"/>
      <c r="F110" s="3"/>
      <c r="G110" s="11">
        <f>SUM(OSRRefG20x_0)</f>
        <v>225388.65</v>
      </c>
      <c r="H110" s="2"/>
    </row>
    <row r="111" spans="1:8" s="13" customFormat="1" hidden="1" outlineLevel="1" x14ac:dyDescent="0.3">
      <c r="A111" s="18"/>
      <c r="B111" s="16"/>
      <c r="C111" s="19"/>
      <c r="D111" s="22"/>
      <c r="E111" s="4" t="str">
        <f>CONCATENATE("1410", " - ", "PREPAID-GENERAL INSURANCE")</f>
        <v>1410 - PREPAID-GENERAL INSURANCE</v>
      </c>
      <c r="F111" s="4"/>
      <c r="G111" s="12">
        <v>133776.5</v>
      </c>
      <c r="H111" s="10"/>
    </row>
    <row r="112" spans="1:8" s="13" customFormat="1" hidden="1" outlineLevel="1" x14ac:dyDescent="0.3">
      <c r="A112" s="18"/>
      <c r="B112" s="16"/>
      <c r="C112" s="19"/>
      <c r="D112" s="22"/>
      <c r="E112" s="4" t="str">
        <f>CONCATENATE("1418", " - ", "PREPAID-WORKERS COMP. INSURANC")</f>
        <v>1418 - PREPAID-WORKERS COMP. INSURANC</v>
      </c>
      <c r="F112" s="4"/>
      <c r="G112" s="12">
        <v>78934.34</v>
      </c>
      <c r="H112" s="10"/>
    </row>
    <row r="113" spans="1:8" s="13" customFormat="1" hidden="1" outlineLevel="1" x14ac:dyDescent="0.3">
      <c r="A113" s="18"/>
      <c r="B113" s="16"/>
      <c r="C113" s="19"/>
      <c r="D113" s="22"/>
      <c r="E113" s="4" t="str">
        <f>CONCATENATE("1432", " - ", "PREPAID EXPENSES")</f>
        <v>1432 - PREPAID EXPENSES</v>
      </c>
      <c r="F113" s="4"/>
      <c r="G113" s="12">
        <v>-150</v>
      </c>
      <c r="H113" s="10"/>
    </row>
    <row r="114" spans="1:8" s="13" customFormat="1" hidden="1" outlineLevel="1" x14ac:dyDescent="0.3">
      <c r="A114" s="18"/>
      <c r="B114" s="16"/>
      <c r="C114" s="19"/>
      <c r="D114" s="22"/>
      <c r="E114" s="4" t="str">
        <f>CONCATENATE("1435", " - ", "PREP.PURCHASES-WHOLESALE BOOKS")</f>
        <v>1435 - PREP.PURCHASES-WHOLESALE BOOKS</v>
      </c>
      <c r="F114" s="4"/>
      <c r="G114" s="12">
        <v>12827.81</v>
      </c>
      <c r="H114" s="10"/>
    </row>
    <row r="115" spans="1:8" ht="8.25" customHeight="1" x14ac:dyDescent="0.3">
      <c r="B115" s="2"/>
      <c r="C115" s="9"/>
      <c r="D115" s="3"/>
      <c r="E115" s="7"/>
      <c r="F115" s="7"/>
      <c r="G115" s="20"/>
      <c r="H115" s="8"/>
    </row>
    <row r="116" spans="1:8" s="5" customFormat="1" ht="15" thickBot="1" x14ac:dyDescent="0.35">
      <c r="B116" s="2"/>
      <c r="C116" s="24" t="s">
        <v>164</v>
      </c>
      <c r="D116" s="6"/>
      <c r="E116" s="6"/>
      <c r="F116" s="6"/>
      <c r="G116" s="25">
        <f>+G9+G32+G53+G110</f>
        <v>16902906.239999998</v>
      </c>
      <c r="H116" s="2"/>
    </row>
    <row r="117" spans="1:8" ht="8.25" customHeight="1" thickBot="1" x14ac:dyDescent="0.35"/>
    <row r="118" spans="1:8" x14ac:dyDescent="0.3">
      <c r="B118" s="2"/>
      <c r="C118" s="26" t="s">
        <v>297</v>
      </c>
      <c r="D118" s="14"/>
      <c r="E118" s="21"/>
      <c r="F118" s="21"/>
      <c r="G118" s="33"/>
      <c r="H118" s="8"/>
    </row>
    <row r="119" spans="1:8" s="5" customFormat="1" collapsed="1" x14ac:dyDescent="0.3">
      <c r="B119" s="2"/>
      <c r="C119" s="9"/>
      <c r="D119" s="3" t="s">
        <v>57</v>
      </c>
      <c r="E119" s="3"/>
      <c r="F119" s="3"/>
      <c r="G119" s="11">
        <f>SUM(OSRRefG26x_0)</f>
        <v>25549620.009999998</v>
      </c>
      <c r="H119" s="2"/>
    </row>
    <row r="120" spans="1:8" s="13" customFormat="1" hidden="1" outlineLevel="1" x14ac:dyDescent="0.3">
      <c r="A120" s="18"/>
      <c r="B120" s="16"/>
      <c r="C120" s="19"/>
      <c r="D120" s="4"/>
      <c r="E120" s="4" t="str">
        <f>CONCATENATE("1630", " - ", "CAPITAL IMPROVEMENTS-FOOD SVC.")</f>
        <v>1630 - CAPITAL IMPROVEMENTS-FOOD SVC.</v>
      </c>
      <c r="F120" s="4"/>
      <c r="G120" s="12">
        <v>124963.28</v>
      </c>
      <c r="H120" s="10"/>
    </row>
    <row r="121" spans="1:8" s="13" customFormat="1" hidden="1" outlineLevel="1" x14ac:dyDescent="0.3">
      <c r="A121" s="18"/>
      <c r="B121" s="16"/>
      <c r="C121" s="19"/>
      <c r="D121" s="4"/>
      <c r="E121" s="4" t="str">
        <f>CONCATENATE("1710", " - ", "FIXED ASSETS-BKSTR BLDG")</f>
        <v>1710 - FIXED ASSETS-BKSTR BLDG</v>
      </c>
      <c r="F121" s="4"/>
      <c r="G121" s="12">
        <v>7154220</v>
      </c>
      <c r="H121" s="10"/>
    </row>
    <row r="122" spans="1:8" s="13" customFormat="1" hidden="1" outlineLevel="1" x14ac:dyDescent="0.3">
      <c r="A122" s="18"/>
      <c r="B122" s="16"/>
      <c r="C122" s="19"/>
      <c r="D122" s="4"/>
      <c r="E122" s="4" t="str">
        <f>CONCATENATE("1715", " - ", "FIXED ASSETS-VENDOR PARKING RE")</f>
        <v>1715 - FIXED ASSETS-VENDOR PARKING RE</v>
      </c>
      <c r="F122" s="4"/>
      <c r="G122" s="12">
        <v>37663.74</v>
      </c>
      <c r="H122" s="10"/>
    </row>
    <row r="123" spans="1:8" s="13" customFormat="1" hidden="1" outlineLevel="1" x14ac:dyDescent="0.3">
      <c r="A123" s="18"/>
      <c r="B123" s="16"/>
      <c r="C123" s="19"/>
      <c r="D123" s="4"/>
      <c r="E123" s="4" t="str">
        <f>CONCATENATE("1720", " - ", "FIXED ASSETS-FOOD SVC LEASEHOL")</f>
        <v>1720 - FIXED ASSETS-FOOD SVC LEASEHOL</v>
      </c>
      <c r="F123" s="4"/>
      <c r="G123" s="12">
        <v>12159394.359999999</v>
      </c>
      <c r="H123" s="10"/>
    </row>
    <row r="124" spans="1:8" s="13" customFormat="1" hidden="1" outlineLevel="1" x14ac:dyDescent="0.3">
      <c r="A124" s="18"/>
      <c r="B124" s="16"/>
      <c r="C124" s="19"/>
      <c r="D124" s="4"/>
      <c r="E124" s="4" t="str">
        <f>CONCATENATE("1725", " - ", "FIXED ASSETS-ADMIN EQUIPMENT")</f>
        <v>1725 - FIXED ASSETS-ADMIN EQUIPMENT</v>
      </c>
      <c r="F124" s="4"/>
      <c r="G124" s="12">
        <v>803410.45</v>
      </c>
      <c r="H124" s="10"/>
    </row>
    <row r="125" spans="1:8" s="13" customFormat="1" hidden="1" outlineLevel="1" x14ac:dyDescent="0.3">
      <c r="A125" s="18"/>
      <c r="B125" s="16"/>
      <c r="C125" s="19"/>
      <c r="D125" s="4"/>
      <c r="E125" s="4" t="str">
        <f>CONCATENATE("1730", " - ", "FIXED ASSETS-BKSTR EQUIPMENT")</f>
        <v>1730 - FIXED ASSETS-BKSTR EQUIPMENT</v>
      </c>
      <c r="F125" s="4"/>
      <c r="G125" s="12">
        <v>2757707.64</v>
      </c>
      <c r="H125" s="10"/>
    </row>
    <row r="126" spans="1:8" s="13" customFormat="1" hidden="1" outlineLevel="1" x14ac:dyDescent="0.3">
      <c r="A126" s="18"/>
      <c r="B126" s="16"/>
      <c r="C126" s="19"/>
      <c r="D126" s="4"/>
      <c r="E126" s="4" t="str">
        <f>CONCATENATE("1740", " - ", "FIXED ASSETS-FOOD SERVICE EQUI")</f>
        <v>1740 - FIXED ASSETS-FOOD SERVICE EQUI</v>
      </c>
      <c r="F126" s="4"/>
      <c r="G126" s="12">
        <v>2215928.58</v>
      </c>
      <c r="H126" s="10"/>
    </row>
    <row r="127" spans="1:8" s="13" customFormat="1" hidden="1" outlineLevel="1" x14ac:dyDescent="0.3">
      <c r="A127" s="18"/>
      <c r="B127" s="16"/>
      <c r="C127" s="19"/>
      <c r="D127" s="4"/>
      <c r="E127" s="4" t="str">
        <f>CONCATENATE("1750", " - ", "FIXED ASSETS-ADMIN FURN+FIXTUR")</f>
        <v>1750 - FIXED ASSETS-ADMIN FURN+FIXTUR</v>
      </c>
      <c r="F127" s="4"/>
      <c r="G127" s="12">
        <v>108112.53</v>
      </c>
      <c r="H127" s="10"/>
    </row>
    <row r="128" spans="1:8" s="13" customFormat="1" hidden="1" outlineLevel="1" x14ac:dyDescent="0.3">
      <c r="A128" s="18"/>
      <c r="B128" s="16"/>
      <c r="C128" s="19"/>
      <c r="D128" s="4"/>
      <c r="E128" s="4" t="str">
        <f>CONCATENATE("1755", " - ", "FIXED ASSETS-BKSTR FURN+FIXTUR")</f>
        <v>1755 - FIXED ASSETS-BKSTR FURN+FIXTUR</v>
      </c>
      <c r="F128" s="4"/>
      <c r="G128" s="12">
        <v>123574.2</v>
      </c>
      <c r="H128" s="10"/>
    </row>
    <row r="129" spans="1:8" s="13" customFormat="1" hidden="1" outlineLevel="1" x14ac:dyDescent="0.3">
      <c r="A129" s="18"/>
      <c r="B129" s="16"/>
      <c r="C129" s="19"/>
      <c r="D129" s="4"/>
      <c r="E129" s="4" t="str">
        <f>CONCATENATE("1760", " - ", "FIXED ASSETS-FOOD SVC OFFICE E")</f>
        <v>1760 - FIXED ASSETS-FOOD SVC OFFICE E</v>
      </c>
      <c r="F129" s="4"/>
      <c r="G129" s="12">
        <v>17910.53</v>
      </c>
      <c r="H129" s="10"/>
    </row>
    <row r="130" spans="1:8" s="13" customFormat="1" hidden="1" outlineLevel="1" x14ac:dyDescent="0.3">
      <c r="A130" s="18"/>
      <c r="B130" s="16"/>
      <c r="C130" s="19"/>
      <c r="D130" s="4"/>
      <c r="E130" s="4" t="str">
        <f>CONCATENATE("1785", " - ", "FIXED ASSETS-BKSTR VEHICLES")</f>
        <v>1785 - FIXED ASSETS-BKSTR VEHICLES</v>
      </c>
      <c r="F130" s="4"/>
      <c r="G130" s="12">
        <v>10879.74</v>
      </c>
      <c r="H130" s="10"/>
    </row>
    <row r="131" spans="1:8" s="13" customFormat="1" hidden="1" outlineLevel="1" x14ac:dyDescent="0.3">
      <c r="A131" s="18"/>
      <c r="B131" s="16"/>
      <c r="C131" s="19"/>
      <c r="D131" s="4"/>
      <c r="E131" s="4" t="str">
        <f>CONCATENATE("1790", " - ", "FIXED ASSETS-FOOD SVC VEHICLES")</f>
        <v>1790 - FIXED ASSETS-FOOD SVC VEHICLES</v>
      </c>
      <c r="F131" s="4"/>
      <c r="G131" s="12">
        <v>35854.959999999999</v>
      </c>
      <c r="H131" s="10"/>
    </row>
    <row r="132" spans="1:8" s="5" customFormat="1" x14ac:dyDescent="0.3">
      <c r="B132" s="2"/>
      <c r="C132" s="9"/>
      <c r="D132" s="3" t="s">
        <v>106</v>
      </c>
      <c r="E132" s="3"/>
      <c r="F132" s="3"/>
      <c r="G132" s="11">
        <v>-19433723.18</v>
      </c>
      <c r="H132" s="2"/>
    </row>
    <row r="133" spans="1:8" s="5" customFormat="1" ht="15" thickBot="1" x14ac:dyDescent="0.35">
      <c r="B133" s="2"/>
      <c r="C133" s="24" t="s">
        <v>141</v>
      </c>
      <c r="D133" s="6"/>
      <c r="E133" s="6"/>
      <c r="F133" s="6"/>
      <c r="G133" s="25">
        <f>+G119+G132</f>
        <v>6115896.8299999982</v>
      </c>
      <c r="H133" s="2"/>
    </row>
    <row r="134" spans="1:8" ht="8.25" customHeight="1" x14ac:dyDescent="0.3"/>
    <row r="135" spans="1:8" s="5" customFormat="1" ht="15" thickBot="1" x14ac:dyDescent="0.35">
      <c r="B135" s="15" t="s">
        <v>163</v>
      </c>
      <c r="C135" s="17"/>
      <c r="D135" s="17"/>
      <c r="E135" s="17"/>
      <c r="F135" s="17"/>
      <c r="G135" s="35">
        <f>+G116+G133</f>
        <v>23018803.069999997</v>
      </c>
      <c r="H135" s="2"/>
    </row>
    <row r="136" spans="1:8" s="5" customFormat="1" ht="15" thickTop="1" x14ac:dyDescent="0.3">
      <c r="G136" s="38"/>
    </row>
    <row r="137" spans="1:8" s="5" customFormat="1" ht="15" thickBot="1" x14ac:dyDescent="0.35">
      <c r="B137" s="15" t="s">
        <v>256</v>
      </c>
      <c r="C137" s="15"/>
      <c r="D137" s="15"/>
      <c r="E137" s="15"/>
      <c r="F137" s="15"/>
      <c r="G137" s="15"/>
      <c r="H137" s="2"/>
    </row>
    <row r="138" spans="1:8" s="5" customFormat="1" x14ac:dyDescent="0.3">
      <c r="B138" s="2"/>
      <c r="C138" s="26" t="s">
        <v>139</v>
      </c>
      <c r="D138" s="14"/>
      <c r="E138" s="14"/>
      <c r="F138" s="14"/>
      <c r="G138" s="36"/>
      <c r="H138" s="2"/>
    </row>
    <row r="139" spans="1:8" s="5" customFormat="1" collapsed="1" x14ac:dyDescent="0.3">
      <c r="B139" s="2"/>
      <c r="C139" s="9"/>
      <c r="D139" s="3" t="s">
        <v>54</v>
      </c>
      <c r="E139" s="3"/>
      <c r="F139" s="3"/>
      <c r="G139" s="11">
        <f>--232861.07</f>
        <v>232861.07</v>
      </c>
      <c r="H139" s="2"/>
    </row>
    <row r="140" spans="1:8" s="13" customFormat="1" hidden="1" outlineLevel="2" x14ac:dyDescent="0.3">
      <c r="A140" s="18"/>
      <c r="B140" s="16"/>
      <c r="C140" s="19"/>
      <c r="D140" s="22"/>
      <c r="E140" s="4" t="str">
        <f>CONCATENATE("2000", " - ", "A/P - CLEARING")</f>
        <v>2000 - A/P - CLEARING</v>
      </c>
      <c r="G140" s="12">
        <f>--159.96</f>
        <v>159.96</v>
      </c>
      <c r="H140" s="10"/>
    </row>
    <row r="141" spans="1:8" s="13" customFormat="1" hidden="1" outlineLevel="2" x14ac:dyDescent="0.3">
      <c r="A141" s="18"/>
      <c r="B141" s="16"/>
      <c r="C141" s="19"/>
      <c r="D141" s="22"/>
      <c r="E141" s="4" t="str">
        <f>CONCATENATE("2001", " - ", "A/P - MERCHANDISE")</f>
        <v>2001 - A/P - MERCHANDISE</v>
      </c>
      <c r="G141" s="12">
        <f>-333814.32</f>
        <v>-333814.32</v>
      </c>
      <c r="H141" s="10"/>
    </row>
    <row r="142" spans="1:8" s="13" customFormat="1" hidden="1" outlineLevel="2" x14ac:dyDescent="0.3">
      <c r="A142" s="18"/>
      <c r="B142" s="16"/>
      <c r="C142" s="19"/>
      <c r="D142" s="22"/>
      <c r="E142" s="4" t="str">
        <f>CONCATENATE("2003", " - ", "A/P - FOOD SVC.")</f>
        <v>2003 - A/P - FOOD SVC.</v>
      </c>
      <c r="G142" s="12">
        <f>-10238.03</f>
        <v>-10238.030000000001</v>
      </c>
      <c r="H142" s="10"/>
    </row>
    <row r="143" spans="1:8" s="13" customFormat="1" hidden="1" outlineLevel="2" x14ac:dyDescent="0.3">
      <c r="A143" s="18"/>
      <c r="B143" s="16"/>
      <c r="C143" s="19"/>
      <c r="D143" s="22"/>
      <c r="E143" s="4" t="str">
        <f>CONCATENATE("2004", " - ", "A/P - GENERAL")</f>
        <v>2004 - A/P - GENERAL</v>
      </c>
      <c r="G143" s="12">
        <f>--563089.24</f>
        <v>563089.24</v>
      </c>
      <c r="H143" s="10"/>
    </row>
    <row r="144" spans="1:8" s="13" customFormat="1" hidden="1" outlineLevel="2" x14ac:dyDescent="0.3">
      <c r="A144" s="18"/>
      <c r="B144" s="16"/>
      <c r="C144" s="19"/>
      <c r="D144" s="22"/>
      <c r="E144" s="4" t="str">
        <f>CONCATENATE("2013", " - ", "A/P - UNIVERSITY")</f>
        <v>2013 - A/P - UNIVERSITY</v>
      </c>
      <c r="G144" s="12">
        <f>--13517.62</f>
        <v>13517.62</v>
      </c>
      <c r="H144" s="10"/>
    </row>
    <row r="145" spans="1:8" s="13" customFormat="1" hidden="1" outlineLevel="2" x14ac:dyDescent="0.3">
      <c r="A145" s="18"/>
      <c r="B145" s="16"/>
      <c r="C145" s="19"/>
      <c r="D145" s="22"/>
      <c r="E145" s="4" t="str">
        <f>CONCATENATE("2015", " - ", "A/P - CUST.REFUNDS")</f>
        <v>2015 - A/P - CUST.REFUNDS</v>
      </c>
      <c r="G145" s="12">
        <f>--146.6</f>
        <v>146.6</v>
      </c>
      <c r="H145" s="10"/>
    </row>
    <row r="146" spans="1:8" s="5" customFormat="1" collapsed="1" x14ac:dyDescent="0.3">
      <c r="B146" s="2"/>
      <c r="C146" s="9"/>
      <c r="D146" s="3" t="s">
        <v>138</v>
      </c>
      <c r="E146" s="3"/>
      <c r="F146" s="3"/>
      <c r="G146" s="11">
        <f>--1479901.75</f>
        <v>1479901.75</v>
      </c>
      <c r="H146" s="2"/>
    </row>
    <row r="147" spans="1:8" s="13" customFormat="1" hidden="1" outlineLevel="2" x14ac:dyDescent="0.3">
      <c r="A147" s="18"/>
      <c r="B147" s="16"/>
      <c r="C147" s="19"/>
      <c r="D147" s="22"/>
      <c r="E147" s="4" t="str">
        <f>CONCATENATE("2231", " - ", "ACCRUED PAYROLL")</f>
        <v>2231 - ACCRUED PAYROLL</v>
      </c>
      <c r="G147" s="12">
        <f>--124080.64</f>
        <v>124080.64</v>
      </c>
      <c r="H147" s="10"/>
    </row>
    <row r="148" spans="1:8" s="13" customFormat="1" hidden="1" outlineLevel="2" x14ac:dyDescent="0.3">
      <c r="A148" s="18"/>
      <c r="B148" s="16"/>
      <c r="C148" s="19"/>
      <c r="D148" s="22"/>
      <c r="E148" s="4" t="str">
        <f>CONCATENATE("2232", " - ", "ACCRUED VACATION")</f>
        <v>2232 - ACCRUED VACATION</v>
      </c>
      <c r="G148" s="12">
        <f>--488000.38</f>
        <v>488000.38</v>
      </c>
      <c r="H148" s="10"/>
    </row>
    <row r="149" spans="1:8" s="13" customFormat="1" hidden="1" outlineLevel="2" x14ac:dyDescent="0.3">
      <c r="A149" s="18"/>
      <c r="B149" s="16"/>
      <c r="C149" s="19"/>
      <c r="D149" s="22"/>
      <c r="E149" s="4" t="str">
        <f>CONCATENATE("2233", " - ", "ACCRUED SICK LEAVE")</f>
        <v>2233 - ACCRUED SICK LEAVE</v>
      </c>
      <c r="G149" s="12">
        <f>--385920.08</f>
        <v>385920.08</v>
      </c>
      <c r="H149" s="10"/>
    </row>
    <row r="150" spans="1:8" s="13" customFormat="1" hidden="1" outlineLevel="2" x14ac:dyDescent="0.3">
      <c r="A150" s="18"/>
      <c r="B150" s="16"/>
      <c r="C150" s="19"/>
      <c r="D150" s="22"/>
      <c r="E150" s="4" t="str">
        <f>CONCATENATE("2300", " - ", "SICK LEAVE PAYABLE")</f>
        <v>2300 - SICK LEAVE PAYABLE</v>
      </c>
      <c r="G150" s="12">
        <f>--481900.65</f>
        <v>481900.65</v>
      </c>
      <c r="H150" s="10"/>
    </row>
    <row r="151" spans="1:8" s="5" customFormat="1" collapsed="1" x14ac:dyDescent="0.3">
      <c r="B151" s="2"/>
      <c r="C151" s="9"/>
      <c r="D151" s="3" t="s">
        <v>55</v>
      </c>
      <c r="E151" s="3"/>
      <c r="F151" s="3"/>
      <c r="G151" s="11">
        <f>--526205.67</f>
        <v>526205.67000000004</v>
      </c>
      <c r="H151" s="2"/>
    </row>
    <row r="152" spans="1:8" s="13" customFormat="1" hidden="1" outlineLevel="2" x14ac:dyDescent="0.3">
      <c r="A152" s="18"/>
      <c r="B152" s="16"/>
      <c r="C152" s="19"/>
      <c r="D152" s="22"/>
      <c r="E152" s="4" t="str">
        <f>CONCATENATE("2219", " - ", "UNEMPLOYMENT INSURANCE")</f>
        <v>2219 - UNEMPLOYMENT INSURANCE</v>
      </c>
      <c r="G152" s="12">
        <f>--483392.45</f>
        <v>483392.45</v>
      </c>
      <c r="H152" s="10"/>
    </row>
    <row r="153" spans="1:8" s="13" customFormat="1" hidden="1" outlineLevel="2" x14ac:dyDescent="0.3">
      <c r="A153" s="18"/>
      <c r="B153" s="16"/>
      <c r="C153" s="19"/>
      <c r="D153" s="22"/>
      <c r="E153" s="4" t="str">
        <f>CONCATENATE("2221", " - ", "ACCRUED GROUP INSURANCE")</f>
        <v>2221 - ACCRUED GROUP INSURANCE</v>
      </c>
      <c r="G153" s="12">
        <f>-9418.73</f>
        <v>-9418.73</v>
      </c>
      <c r="H153" s="10"/>
    </row>
    <row r="154" spans="1:8" s="13" customFormat="1" hidden="1" outlineLevel="2" x14ac:dyDescent="0.3">
      <c r="A154" s="18"/>
      <c r="B154" s="16"/>
      <c r="C154" s="19"/>
      <c r="D154" s="22"/>
      <c r="E154" s="4" t="str">
        <f>CONCATENATE("2222", " - ", "LIFE INSURANCE")</f>
        <v>2222 - LIFE INSURANCE</v>
      </c>
      <c r="G154" s="12">
        <f>--366.11</f>
        <v>366.11</v>
      </c>
      <c r="H154" s="10"/>
    </row>
    <row r="155" spans="1:8" s="13" customFormat="1" hidden="1" outlineLevel="2" x14ac:dyDescent="0.3">
      <c r="A155" s="18"/>
      <c r="B155" s="16"/>
      <c r="C155" s="19"/>
      <c r="D155" s="22"/>
      <c r="E155" s="4" t="str">
        <f>CONCATENATE("2224", " - ", "MISCELLANEOUS INSURANCE")</f>
        <v>2224 - MISCELLANEOUS INSURANCE</v>
      </c>
      <c r="G155" s="12">
        <f>--3168</f>
        <v>3168</v>
      </c>
      <c r="H155" s="10"/>
    </row>
    <row r="156" spans="1:8" s="13" customFormat="1" hidden="1" outlineLevel="2" x14ac:dyDescent="0.3">
      <c r="A156" s="18"/>
      <c r="B156" s="16"/>
      <c r="C156" s="19"/>
      <c r="D156" s="22"/>
      <c r="E156" s="4" t="str">
        <f>CONCATENATE("2225", " - ", "ACCRUED P.E.R.S.")</f>
        <v>2225 - ACCRUED P.E.R.S.</v>
      </c>
      <c r="G156" s="12">
        <f>--34832.58</f>
        <v>34832.58</v>
      </c>
      <c r="H156" s="10"/>
    </row>
    <row r="157" spans="1:8" s="13" customFormat="1" hidden="1" outlineLevel="2" x14ac:dyDescent="0.3">
      <c r="A157" s="18"/>
      <c r="B157" s="16"/>
      <c r="C157" s="19"/>
      <c r="D157" s="22"/>
      <c r="E157" s="4" t="str">
        <f>CONCATENATE("2229", " - ", "ACCRUED RETIREMENT STAFF HOURL")</f>
        <v>2229 - ACCRUED RETIREMENT STAFF HOURL</v>
      </c>
      <c r="G157" s="12">
        <f>--7836.26</f>
        <v>7836.26</v>
      </c>
      <c r="H157" s="10"/>
    </row>
    <row r="158" spans="1:8" s="13" customFormat="1" hidden="1" outlineLevel="2" x14ac:dyDescent="0.3">
      <c r="A158" s="18"/>
      <c r="B158" s="16"/>
      <c r="C158" s="19"/>
      <c r="D158" s="22"/>
      <c r="E158" s="4" t="str">
        <f>CONCATENATE("2230", " - ", "P/R DEDUCTIONS-PARKING")</f>
        <v>2230 - P/R DEDUCTIONS-PARKING</v>
      </c>
      <c r="G158" s="12">
        <f>-4552.7</f>
        <v>-4552.7</v>
      </c>
      <c r="H158" s="10"/>
    </row>
    <row r="159" spans="1:8" s="13" customFormat="1" hidden="1" outlineLevel="2" x14ac:dyDescent="0.3">
      <c r="A159" s="18"/>
      <c r="B159" s="16"/>
      <c r="C159" s="19"/>
      <c r="D159" s="22"/>
      <c r="E159" s="4" t="str">
        <f>CONCATENATE("2234", " - ", "ACCRUED FLEXIBLE BENEFITS")</f>
        <v>2234 - ACCRUED FLEXIBLE BENEFITS</v>
      </c>
      <c r="G159" s="12">
        <f>--10581.7</f>
        <v>10581.7</v>
      </c>
      <c r="H159" s="10"/>
    </row>
    <row r="160" spans="1:8" s="5" customFormat="1" collapsed="1" x14ac:dyDescent="0.3">
      <c r="B160" s="2"/>
      <c r="C160" s="9"/>
      <c r="D160" s="3" t="s">
        <v>236</v>
      </c>
      <c r="E160" s="3"/>
      <c r="F160" s="3"/>
      <c r="G160" s="11">
        <f>--25583.44</f>
        <v>25583.439999999999</v>
      </c>
      <c r="H160" s="2"/>
    </row>
    <row r="161" spans="1:8" s="13" customFormat="1" hidden="1" outlineLevel="2" x14ac:dyDescent="0.3">
      <c r="A161" s="18"/>
      <c r="B161" s="16"/>
      <c r="C161" s="19"/>
      <c r="D161" s="22"/>
      <c r="E161" s="4" t="str">
        <f>CONCATENATE("2111", " - ", "SALES TAX-BOOKSTORE")</f>
        <v>2111 - SALES TAX-BOOKSTORE</v>
      </c>
      <c r="G161" s="12">
        <f>--24315.11</f>
        <v>24315.11</v>
      </c>
      <c r="H161" s="10"/>
    </row>
    <row r="162" spans="1:8" s="13" customFormat="1" hidden="1" outlineLevel="2" x14ac:dyDescent="0.3">
      <c r="A162" s="18"/>
      <c r="B162" s="16"/>
      <c r="C162" s="19"/>
      <c r="D162" s="22"/>
      <c r="E162" s="4" t="str">
        <f>CONCATENATE("2112", " - ", "SALES TAX-FOOD SERVICE")</f>
        <v>2112 - SALES TAX-FOOD SERVICE</v>
      </c>
      <c r="G162" s="12">
        <f>--1101.32</f>
        <v>1101.32</v>
      </c>
      <c r="H162" s="10"/>
    </row>
    <row r="163" spans="1:8" s="13" customFormat="1" hidden="1" outlineLevel="2" x14ac:dyDescent="0.3">
      <c r="A163" s="18"/>
      <c r="B163" s="16"/>
      <c r="C163" s="19"/>
      <c r="D163" s="22"/>
      <c r="E163" s="4" t="str">
        <f>CONCATENATE("2113", " - ", "USE TAX")</f>
        <v>2113 - USE TAX</v>
      </c>
      <c r="G163" s="12">
        <f>0</f>
        <v>0</v>
      </c>
      <c r="H163" s="10"/>
    </row>
    <row r="164" spans="1:8" s="13" customFormat="1" hidden="1" outlineLevel="2" x14ac:dyDescent="0.3">
      <c r="A164" s="18"/>
      <c r="B164" s="16"/>
      <c r="C164" s="19"/>
      <c r="D164" s="22"/>
      <c r="E164" s="4" t="str">
        <f>CONCATENATE("2114", " - ", "CA ELECT.WASTE RECYL.4-14 IN")</f>
        <v>2114 - CA ELECT.WASTE RECYL.4-14 IN</v>
      </c>
      <c r="G164" s="12">
        <f>--125</f>
        <v>125</v>
      </c>
      <c r="H164" s="10"/>
    </row>
    <row r="165" spans="1:8" s="13" customFormat="1" hidden="1" outlineLevel="2" x14ac:dyDescent="0.3">
      <c r="A165" s="18"/>
      <c r="B165" s="16"/>
      <c r="C165" s="19"/>
      <c r="D165" s="22"/>
      <c r="E165" s="4" t="str">
        <f>CONCATENATE("2115", " - ", "CA ELECT.WASTE RECYL 15-34 IN")</f>
        <v>2115 - CA ELECT.WASTE RECYL 15-34 IN</v>
      </c>
      <c r="G165" s="12">
        <f>--42</f>
        <v>42</v>
      </c>
      <c r="H165" s="10"/>
    </row>
    <row r="166" spans="1:8" s="13" customFormat="1" hidden="1" outlineLevel="2" x14ac:dyDescent="0.3">
      <c r="A166" s="18"/>
      <c r="B166" s="16"/>
      <c r="C166" s="19"/>
      <c r="D166" s="22"/>
      <c r="E166" s="4" t="str">
        <f>CONCATENATE("2215", " - ", "ACCRUED FEDERAL WITHHOLDING TA")</f>
        <v>2215 - ACCRUED FEDERAL WITHHOLDING TA</v>
      </c>
      <c r="G166" s="12">
        <f>0</f>
        <v>0</v>
      </c>
      <c r="H166" s="10"/>
    </row>
    <row r="167" spans="1:8" s="13" customFormat="1" hidden="1" outlineLevel="2" x14ac:dyDescent="0.3">
      <c r="A167" s="18"/>
      <c r="B167" s="16"/>
      <c r="C167" s="19"/>
      <c r="D167" s="22"/>
      <c r="E167" s="4" t="str">
        <f>CONCATENATE("2216", " - ", "ACCRUED F.I.C.A.")</f>
        <v>2216 - ACCRUED F.I.C.A.</v>
      </c>
      <c r="G167" s="12">
        <f>--0.01</f>
        <v>0.01</v>
      </c>
      <c r="H167" s="10"/>
    </row>
    <row r="168" spans="1:8" s="13" customFormat="1" hidden="1" outlineLevel="2" x14ac:dyDescent="0.3">
      <c r="A168" s="18"/>
      <c r="B168" s="16"/>
      <c r="C168" s="19"/>
      <c r="D168" s="22"/>
      <c r="E168" s="4" t="str">
        <f>CONCATENATE("2217", " - ", "STATE WITHHOLDING TAXES")</f>
        <v>2217 - STATE WITHHOLDING TAXES</v>
      </c>
      <c r="G168" s="12">
        <f t="shared" ref="G168:G169" si="0">0</f>
        <v>0</v>
      </c>
      <c r="H168" s="10"/>
    </row>
    <row r="169" spans="1:8" s="13" customFormat="1" hidden="1" outlineLevel="2" x14ac:dyDescent="0.3">
      <c r="A169" s="18"/>
      <c r="B169" s="16"/>
      <c r="C169" s="19"/>
      <c r="D169" s="22"/>
      <c r="E169" s="4" t="str">
        <f>CONCATENATE("2218", " - ", "STATE DISABILITY PAYABLE")</f>
        <v>2218 - STATE DISABILITY PAYABLE</v>
      </c>
      <c r="G169" s="12">
        <f t="shared" si="0"/>
        <v>0</v>
      </c>
      <c r="H169" s="10"/>
    </row>
    <row r="170" spans="1:8" s="5" customFormat="1" collapsed="1" x14ac:dyDescent="0.3">
      <c r="B170" s="2"/>
      <c r="C170" s="9"/>
      <c r="D170" s="3" t="s">
        <v>296</v>
      </c>
      <c r="E170" s="3"/>
      <c r="F170" s="3"/>
      <c r="G170" s="11">
        <f>--639226.13</f>
        <v>639226.13</v>
      </c>
      <c r="H170" s="2"/>
    </row>
    <row r="171" spans="1:8" s="13" customFormat="1" hidden="1" outlineLevel="2" x14ac:dyDescent="0.3">
      <c r="A171" s="18"/>
      <c r="B171" s="16"/>
      <c r="C171" s="19"/>
      <c r="D171" s="22"/>
      <c r="E171" s="4" t="str">
        <f>CONCATENATE("2422", " - ", """I DECLARE"" CAMPUS FUNDRAISING")</f>
        <v>2422 - "I DECLARE" CAMPUS FUNDRAISING</v>
      </c>
      <c r="G171" s="12">
        <f>--5</f>
        <v>5</v>
      </c>
      <c r="H171" s="10"/>
    </row>
    <row r="172" spans="1:8" s="13" customFormat="1" hidden="1" outlineLevel="2" x14ac:dyDescent="0.3">
      <c r="A172" s="18"/>
      <c r="B172" s="16"/>
      <c r="C172" s="19"/>
      <c r="D172" s="22"/>
      <c r="E172" s="4" t="str">
        <f>CONCATENATE("2424", " - ", "CLEARING-ATHLETIC PROGRAM SALE")</f>
        <v>2424 - CLEARING-ATHLETIC PROGRAM SALE</v>
      </c>
      <c r="G172" s="12">
        <f>-108</f>
        <v>-108</v>
      </c>
      <c r="H172" s="10"/>
    </row>
    <row r="173" spans="1:8" s="13" customFormat="1" hidden="1" outlineLevel="2" x14ac:dyDescent="0.3">
      <c r="A173" s="18"/>
      <c r="B173" s="16"/>
      <c r="C173" s="19"/>
      <c r="D173" s="22"/>
      <c r="E173" s="4" t="str">
        <f>CONCATENATE("2425", " - ", "NBC REWARDS")</f>
        <v>2425 - NBC REWARDS</v>
      </c>
      <c r="G173" s="12">
        <f>--1664.2</f>
        <v>1664.2</v>
      </c>
      <c r="H173" s="10"/>
    </row>
    <row r="174" spans="1:8" s="13" customFormat="1" hidden="1" outlineLevel="2" x14ac:dyDescent="0.3">
      <c r="A174" s="18"/>
      <c r="B174" s="16"/>
      <c r="C174" s="19"/>
      <c r="D174" s="22"/>
      <c r="E174" s="4" t="str">
        <f>CONCATENATE("2426", " - ", "UNCLEARED CKS/UNCLAIMED MONIES")</f>
        <v>2426 - UNCLEARED CKS/UNCLAIMED MONIES</v>
      </c>
      <c r="G174" s="12">
        <f>-3388.84</f>
        <v>-3388.84</v>
      </c>
      <c r="H174" s="10"/>
    </row>
    <row r="175" spans="1:8" s="13" customFormat="1" hidden="1" outlineLevel="2" x14ac:dyDescent="0.3">
      <c r="A175" s="18"/>
      <c r="B175" s="16"/>
      <c r="C175" s="19"/>
      <c r="D175" s="22"/>
      <c r="E175" s="4" t="str">
        <f>CONCATENATE("2430", " - ", "CLEARING-REGAL ENT.MOVIE TKT.")</f>
        <v>2430 - CLEARING-REGAL ENT.MOVIE TKT.</v>
      </c>
      <c r="G175" s="12">
        <f>-184</f>
        <v>-184</v>
      </c>
      <c r="H175" s="10"/>
    </row>
    <row r="176" spans="1:8" s="13" customFormat="1" hidden="1" outlineLevel="2" x14ac:dyDescent="0.3">
      <c r="A176" s="18"/>
      <c r="B176" s="16"/>
      <c r="C176" s="19"/>
      <c r="D176" s="22"/>
      <c r="E176" s="4" t="str">
        <f>CONCATENATE("2432", " - ", "CLEARING-AMC THEATRE TICKETS")</f>
        <v>2432 - CLEARING-AMC THEATRE TICKETS</v>
      </c>
      <c r="G176" s="12">
        <f>-2.5</f>
        <v>-2.5</v>
      </c>
      <c r="H176" s="10"/>
    </row>
    <row r="177" spans="1:8" s="13" customFormat="1" hidden="1" outlineLevel="2" x14ac:dyDescent="0.3">
      <c r="A177" s="18"/>
      <c r="B177" s="16"/>
      <c r="C177" s="19"/>
      <c r="D177" s="22"/>
      <c r="E177" s="4" t="str">
        <f>CONCATENATE("2437", " - ", "CLEARING-CINEMARK MOVIE")</f>
        <v>2437 - CLEARING-CINEMARK MOVIE</v>
      </c>
      <c r="G177" s="12">
        <f>-1485</f>
        <v>-1485</v>
      </c>
      <c r="H177" s="10"/>
    </row>
    <row r="178" spans="1:8" s="13" customFormat="1" hidden="1" outlineLevel="2" x14ac:dyDescent="0.3">
      <c r="A178" s="18"/>
      <c r="B178" s="16"/>
      <c r="C178" s="19"/>
      <c r="D178" s="22"/>
      <c r="E178" s="4" t="str">
        <f>CONCATENATE("2440", " - ", "CLEARING-A/R")</f>
        <v>2440 - CLEARING-A/R</v>
      </c>
      <c r="G178" s="12">
        <f>--41148.78</f>
        <v>41148.78</v>
      </c>
      <c r="H178" s="10"/>
    </row>
    <row r="179" spans="1:8" s="13" customFormat="1" hidden="1" outlineLevel="2" x14ac:dyDescent="0.3">
      <c r="A179" s="18"/>
      <c r="B179" s="16"/>
      <c r="C179" s="19"/>
      <c r="D179" s="22"/>
      <c r="E179" s="4" t="str">
        <f>CONCATENATE("2441", " - ", "DEPOSIT-BEACH CLUB")</f>
        <v>2441 - DEPOSIT-BEACH CLUB</v>
      </c>
      <c r="G179" s="12">
        <f>--447063.19</f>
        <v>447063.19</v>
      </c>
      <c r="H179" s="10"/>
    </row>
    <row r="180" spans="1:8" s="13" customFormat="1" hidden="1" outlineLevel="2" x14ac:dyDescent="0.3">
      <c r="A180" s="18"/>
      <c r="B180" s="16"/>
      <c r="C180" s="19"/>
      <c r="D180" s="22"/>
      <c r="E180" s="4" t="str">
        <f>CONCATENATE("2445", " - ", "LOCKER DEPOSIT")</f>
        <v>2445 - LOCKER DEPOSIT</v>
      </c>
      <c r="G180" s="12">
        <f>--852</f>
        <v>852</v>
      </c>
      <c r="H180" s="10"/>
    </row>
    <row r="181" spans="1:8" s="13" customFormat="1" hidden="1" outlineLevel="2" x14ac:dyDescent="0.3">
      <c r="A181" s="18"/>
      <c r="B181" s="16"/>
      <c r="C181" s="19"/>
      <c r="D181" s="22"/>
      <c r="E181" s="4" t="str">
        <f>CONCATENATE("2447", " - ", "PROMO A/C DEPOSIT")</f>
        <v>2447 - PROMO A/C DEPOSIT</v>
      </c>
      <c r="G181" s="12">
        <f>--42325.86</f>
        <v>42325.86</v>
      </c>
      <c r="H181" s="10"/>
    </row>
    <row r="182" spans="1:8" s="13" customFormat="1" hidden="1" outlineLevel="2" x14ac:dyDescent="0.3">
      <c r="A182" s="18"/>
      <c r="B182" s="16"/>
      <c r="C182" s="19"/>
      <c r="D182" s="22"/>
      <c r="E182" s="4" t="str">
        <f>CONCATENATE("2449", " - ", "MISCELLANEOUS DEFERRED INCOME")</f>
        <v>2449 - MISCELLANEOUS DEFERRED INCOME</v>
      </c>
      <c r="G182" s="12">
        <f>-6036.05</f>
        <v>-6036.05</v>
      </c>
      <c r="H182" s="10"/>
    </row>
    <row r="183" spans="1:8" s="13" customFormat="1" hidden="1" outlineLevel="2" x14ac:dyDescent="0.3">
      <c r="A183" s="18"/>
      <c r="B183" s="16"/>
      <c r="C183" s="19"/>
      <c r="D183" s="22"/>
      <c r="E183" s="4" t="str">
        <f>CONCATENATE("2450", " - ", "CLEARING-DESIGN DEPT-ACTIVITY")</f>
        <v>2450 - CLEARING-DESIGN DEPT-ACTIVITY</v>
      </c>
      <c r="G183" s="12">
        <f>-3</f>
        <v>-3</v>
      </c>
      <c r="H183" s="10"/>
    </row>
    <row r="184" spans="1:8" s="13" customFormat="1" hidden="1" outlineLevel="2" x14ac:dyDescent="0.3">
      <c r="A184" s="18"/>
      <c r="B184" s="16"/>
      <c r="C184" s="19"/>
      <c r="D184" s="22"/>
      <c r="E184" s="4" t="str">
        <f>CONCATENATE("2454", " - ", "CLEARING-CARLS/EL POLLO/PANDA")</f>
        <v>2454 - CLEARING-CARLS/EL POLLO/PANDA</v>
      </c>
      <c r="G184" s="12">
        <f>-18.53</f>
        <v>-18.53</v>
      </c>
      <c r="H184" s="10"/>
    </row>
    <row r="185" spans="1:8" s="13" customFormat="1" hidden="1" outlineLevel="2" x14ac:dyDescent="0.3">
      <c r="A185" s="18"/>
      <c r="B185" s="16"/>
      <c r="C185" s="19"/>
      <c r="D185" s="22"/>
      <c r="E185" s="4" t="str">
        <f>CONCATENATE("2455", " - ", "CLEARING-LIBRARY MICROFILMS")</f>
        <v>2455 - CLEARING-LIBRARY MICROFILMS</v>
      </c>
      <c r="G185" s="12">
        <f>-923</f>
        <v>-923</v>
      </c>
      <c r="H185" s="10"/>
    </row>
    <row r="186" spans="1:8" s="13" customFormat="1" hidden="1" outlineLevel="2" x14ac:dyDescent="0.3">
      <c r="A186" s="18"/>
      <c r="B186" s="16"/>
      <c r="C186" s="19"/>
      <c r="D186" s="22"/>
      <c r="E186" s="4" t="str">
        <f>CONCATENATE("2456", " - ", "CLEARING-ART LAB")</f>
        <v>2456 - CLEARING-ART LAB</v>
      </c>
      <c r="G186" s="12">
        <f>-94.1</f>
        <v>-94.1</v>
      </c>
      <c r="H186" s="10"/>
    </row>
    <row r="187" spans="1:8" s="13" customFormat="1" hidden="1" outlineLevel="2" x14ac:dyDescent="0.3">
      <c r="A187" s="18"/>
      <c r="B187" s="16"/>
      <c r="C187" s="19"/>
      <c r="D187" s="22"/>
      <c r="E187" s="4" t="str">
        <f>CONCATENATE("2461", " - ", "CLEARING-PARKING FOR B/C")</f>
        <v>2461 - CLEARING-PARKING FOR B/C</v>
      </c>
      <c r="G187" s="12">
        <f>--141.54</f>
        <v>141.54</v>
      </c>
      <c r="H187" s="10"/>
    </row>
    <row r="188" spans="1:8" s="13" customFormat="1" hidden="1" outlineLevel="2" x14ac:dyDescent="0.3">
      <c r="A188" s="18"/>
      <c r="B188" s="16"/>
      <c r="C188" s="19"/>
      <c r="D188" s="22"/>
      <c r="E188" s="4" t="str">
        <f>CONCATENATE("2462", " - ", "CLEARING-TEXTBOOK SCHOLARSHIP")</f>
        <v>2462 - CLEARING-TEXTBOOK SCHOLARSHIP</v>
      </c>
      <c r="G188" s="12">
        <f>--1745</f>
        <v>1745</v>
      </c>
      <c r="H188" s="10"/>
    </row>
    <row r="189" spans="1:8" s="13" customFormat="1" hidden="1" outlineLevel="2" x14ac:dyDescent="0.3">
      <c r="A189" s="18"/>
      <c r="B189" s="16"/>
      <c r="C189" s="19"/>
      <c r="D189" s="22"/>
      <c r="E189" s="4" t="str">
        <f>CONCATENATE("2465", " - ", "CLEARING-LEARNING ASSISTANCE C")</f>
        <v>2465 - CLEARING-LEARNING ASSISTANCE C</v>
      </c>
      <c r="G189" s="12">
        <f>--3.2</f>
        <v>3.2</v>
      </c>
      <c r="H189" s="10"/>
    </row>
    <row r="190" spans="1:8" s="13" customFormat="1" hidden="1" outlineLevel="2" x14ac:dyDescent="0.3">
      <c r="A190" s="18"/>
      <c r="B190" s="16"/>
      <c r="C190" s="19"/>
      <c r="D190" s="22"/>
      <c r="E190" s="4" t="str">
        <f>CONCATENATE("2532", " - ", "ACCRUED LIAB.-THESIS BINDING/M")</f>
        <v>2532 - ACCRUED LIAB.-THESIS BINDING/M</v>
      </c>
      <c r="G190" s="12">
        <f>--107.21</f>
        <v>107.21</v>
      </c>
      <c r="H190" s="10"/>
    </row>
    <row r="191" spans="1:8" s="13" customFormat="1" hidden="1" outlineLevel="2" x14ac:dyDescent="0.3">
      <c r="A191" s="18"/>
      <c r="B191" s="16"/>
      <c r="C191" s="19"/>
      <c r="D191" s="22"/>
      <c r="E191" s="4" t="str">
        <f>CONCATENATE("2537", " - ", "OTHER ACCRUED LIABILITIES")</f>
        <v>2537 - OTHER ACCRUED LIABILITIES</v>
      </c>
      <c r="G191" s="12">
        <f>--109843.17</f>
        <v>109843.17</v>
      </c>
      <c r="H191" s="10"/>
    </row>
    <row r="192" spans="1:8" s="13" customFormat="1" hidden="1" outlineLevel="2" x14ac:dyDescent="0.3">
      <c r="A192" s="18"/>
      <c r="B192" s="16"/>
      <c r="C192" s="19"/>
      <c r="D192" s="22"/>
      <c r="E192" s="4" t="str">
        <f>CONCATENATE("2538", " - ", "ACCRUED INVENTORY ADJUSTMENT")</f>
        <v>2538 - ACCRUED INVENTORY ADJUSTMENT</v>
      </c>
      <c r="G192" s="12">
        <f>--6570</f>
        <v>6570</v>
      </c>
      <c r="H192" s="10"/>
    </row>
    <row r="193" spans="1:8" s="13" customFormat="1" hidden="1" outlineLevel="2" x14ac:dyDescent="0.3">
      <c r="A193" s="18"/>
      <c r="B193" s="16"/>
      <c r="C193" s="19"/>
      <c r="D193" s="22"/>
      <c r="E193" s="4" t="str">
        <f>CONCATENATE("3800", " - ", "RETAINED EARNINGS-OPERATIONS")</f>
        <v>3800 - RETAINED EARNINGS-OPERATIONS</v>
      </c>
      <c r="G193" s="12">
        <f>0</f>
        <v>0</v>
      </c>
      <c r="H193" s="10"/>
    </row>
    <row r="194" spans="1:8" s="5" customFormat="1" ht="15" thickBot="1" x14ac:dyDescent="0.35">
      <c r="B194" s="2"/>
      <c r="C194" s="24" t="s">
        <v>140</v>
      </c>
      <c r="D194" s="6"/>
      <c r="E194" s="6"/>
      <c r="F194" s="6"/>
      <c r="G194" s="25">
        <f>SUM(OSRRefG34x_0)</f>
        <v>2903778.06</v>
      </c>
      <c r="H194" s="2"/>
    </row>
    <row r="195" spans="1:8" ht="8.25" customHeight="1" thickBot="1" x14ac:dyDescent="0.35"/>
    <row r="196" spans="1:8" x14ac:dyDescent="0.3">
      <c r="B196" s="2"/>
      <c r="C196" s="26" t="s">
        <v>82</v>
      </c>
      <c r="D196" s="14"/>
      <c r="E196" s="21"/>
      <c r="F196" s="21"/>
      <c r="G196" s="33"/>
      <c r="H196" s="8"/>
    </row>
    <row r="197" spans="1:8" s="5" customFormat="1" collapsed="1" x14ac:dyDescent="0.3">
      <c r="B197" s="2"/>
      <c r="C197" s="9"/>
      <c r="D197" s="3" t="s">
        <v>125</v>
      </c>
      <c r="E197" s="3"/>
      <c r="F197" s="3"/>
      <c r="G197" s="11">
        <f>SUM(OSRRefG40_0x_0)</f>
        <v>-13330.71</v>
      </c>
      <c r="H197" s="2"/>
    </row>
    <row r="198" spans="1:8" s="13" customFormat="1" hidden="1" outlineLevel="1" x14ac:dyDescent="0.3">
      <c r="B198" s="10"/>
      <c r="C198" s="40"/>
      <c r="D198" s="4"/>
      <c r="E198" s="4" t="str">
        <f>CONCATENATE("2739", " - ", "ACCRUED POST RETIREMENT BENEFI")</f>
        <v>2739 - ACCRUED POST RETIREMENT BENEFI</v>
      </c>
      <c r="F198" s="4"/>
      <c r="G198" s="12">
        <f>-13330.71</f>
        <v>-13330.71</v>
      </c>
      <c r="H198" s="10"/>
    </row>
    <row r="199" spans="1:8" s="5" customFormat="1" collapsed="1" x14ac:dyDescent="0.3">
      <c r="B199" s="2"/>
      <c r="C199" s="9"/>
      <c r="D199" s="3" t="s">
        <v>276</v>
      </c>
      <c r="E199" s="3"/>
      <c r="F199" s="3"/>
      <c r="G199" s="11">
        <f>SUM(OSRRefG40_1x_0)</f>
        <v>5057530.5600000005</v>
      </c>
      <c r="H199" s="2"/>
    </row>
    <row r="200" spans="1:8" s="13" customFormat="1" hidden="1" outlineLevel="1" x14ac:dyDescent="0.3">
      <c r="B200" s="10"/>
      <c r="C200" s="40"/>
      <c r="D200" s="4"/>
      <c r="E200" s="4" t="str">
        <f>CONCATENATE("2236", " - ", "SBA LOAN #2")</f>
        <v>2236 - SBA LOAN #2</v>
      </c>
      <c r="F200" s="4"/>
      <c r="G200" s="12">
        <f>--2000000</f>
        <v>2000000</v>
      </c>
      <c r="H200" s="10"/>
    </row>
    <row r="201" spans="1:8" s="13" customFormat="1" hidden="1" outlineLevel="1" x14ac:dyDescent="0.3">
      <c r="B201" s="10"/>
      <c r="C201" s="40"/>
      <c r="D201" s="4"/>
      <c r="E201" s="4" t="str">
        <f>CONCATENATE("2303", " - ", "NOTES PAYABLE-CHANCELLORS OFFI")</f>
        <v>2303 - NOTES PAYABLE-CHANCELLORS OFFI</v>
      </c>
      <c r="F201" s="4"/>
      <c r="G201" s="12">
        <f>--3057530.56</f>
        <v>3057530.56</v>
      </c>
      <c r="H201" s="10"/>
    </row>
    <row r="202" spans="1:8" s="5" customFormat="1" collapsed="1" x14ac:dyDescent="0.3">
      <c r="B202" s="2"/>
      <c r="C202" s="9"/>
      <c r="D202" s="3" t="s">
        <v>237</v>
      </c>
      <c r="E202" s="3"/>
      <c r="F202" s="3"/>
      <c r="G202" s="11">
        <f>SUM(OSRRefG40_2x_0)</f>
        <v>4080181.62</v>
      </c>
      <c r="H202" s="2"/>
    </row>
    <row r="203" spans="1:8" s="13" customFormat="1" hidden="1" outlineLevel="1" x14ac:dyDescent="0.3">
      <c r="B203" s="10"/>
      <c r="C203" s="40"/>
      <c r="D203" s="4"/>
      <c r="E203" s="4" t="str">
        <f>CONCATENATE("2226", " - ", "ACCRUED PERS/PEPRA UNFUNDED LI")</f>
        <v>2226 - ACCRUED PERS/PEPRA UNFUNDED LI</v>
      </c>
      <c r="F203" s="4"/>
      <c r="G203" s="12">
        <f>--4080181.62</f>
        <v>4080181.62</v>
      </c>
      <c r="H203" s="10"/>
    </row>
    <row r="204" spans="1:8" s="5" customFormat="1" ht="15" thickBot="1" x14ac:dyDescent="0.35">
      <c r="B204" s="2"/>
      <c r="C204" s="24" t="s">
        <v>58</v>
      </c>
      <c r="D204" s="6"/>
      <c r="E204" s="6"/>
      <c r="F204" s="6"/>
      <c r="G204" s="25">
        <f>SUM(OSRRefG40x_0)</f>
        <v>9124381.4699999988</v>
      </c>
      <c r="H204" s="2"/>
    </row>
    <row r="205" spans="1:8" ht="8.25" customHeight="1" x14ac:dyDescent="0.3"/>
    <row r="206" spans="1:8" s="5" customFormat="1" x14ac:dyDescent="0.3">
      <c r="B206" s="32" t="s">
        <v>107</v>
      </c>
      <c r="C206" s="23"/>
      <c r="D206" s="23"/>
      <c r="E206" s="23"/>
      <c r="F206" s="23"/>
      <c r="G206" s="31">
        <f>+G194+G204</f>
        <v>12028159.529999999</v>
      </c>
      <c r="H206" s="2"/>
    </row>
    <row r="207" spans="1:8" s="5" customFormat="1" ht="8.25" customHeight="1" thickBot="1" x14ac:dyDescent="0.35">
      <c r="G207" s="38"/>
    </row>
    <row r="208" spans="1:8" s="5" customFormat="1" x14ac:dyDescent="0.3">
      <c r="B208" s="2"/>
      <c r="C208" s="26" t="s">
        <v>162</v>
      </c>
      <c r="D208" s="14"/>
      <c r="E208" s="14"/>
      <c r="F208" s="14"/>
      <c r="G208" s="36"/>
      <c r="H208" s="2"/>
    </row>
    <row r="209" spans="1:8" x14ac:dyDescent="0.3">
      <c r="A209" s="28"/>
      <c r="B209" s="8"/>
      <c r="C209" s="50"/>
      <c r="D209" s="7" t="s">
        <v>38</v>
      </c>
      <c r="E209" s="7"/>
      <c r="F209" s="7"/>
      <c r="G209" s="20">
        <f>-768333.22</f>
        <v>-768333.22</v>
      </c>
      <c r="H209" s="8"/>
    </row>
    <row r="210" spans="1:8" x14ac:dyDescent="0.3">
      <c r="A210" s="28"/>
      <c r="B210" s="8"/>
      <c r="C210" s="50"/>
      <c r="D210" s="7" t="s">
        <v>277</v>
      </c>
      <c r="E210" s="7"/>
      <c r="F210" s="7"/>
      <c r="G210" s="20">
        <f>--11355176.52</f>
        <v>11355176.52</v>
      </c>
      <c r="H210" s="8"/>
    </row>
    <row r="211" spans="1:8" x14ac:dyDescent="0.3">
      <c r="A211" s="28"/>
      <c r="B211" s="8"/>
      <c r="C211" s="50"/>
      <c r="D211" s="7" t="s">
        <v>278</v>
      </c>
      <c r="E211" s="7"/>
      <c r="F211" s="7"/>
      <c r="G211" s="20">
        <f>--403800.24</f>
        <v>403800.24</v>
      </c>
      <c r="H211" s="8"/>
    </row>
    <row r="212" spans="1:8" s="5" customFormat="1" ht="15" thickBot="1" x14ac:dyDescent="0.35">
      <c r="B212" s="2"/>
      <c r="C212" s="24" t="s">
        <v>294</v>
      </c>
      <c r="D212" s="6"/>
      <c r="E212" s="6"/>
      <c r="F212" s="6"/>
      <c r="G212" s="25">
        <f>SUM(G208:G211)</f>
        <v>10990643.539999999</v>
      </c>
      <c r="H212" s="2"/>
    </row>
    <row r="213" spans="1:8" ht="8.25" customHeight="1" x14ac:dyDescent="0.3"/>
    <row r="214" spans="1:8" x14ac:dyDescent="0.3">
      <c r="B214" s="32" t="s">
        <v>257</v>
      </c>
      <c r="C214" s="23"/>
      <c r="D214" s="23"/>
      <c r="E214" s="39"/>
      <c r="F214" s="39"/>
      <c r="G214" s="31">
        <f>+G212</f>
        <v>10990643.539999999</v>
      </c>
      <c r="H214" s="8"/>
    </row>
    <row r="215" spans="1:8" ht="8.25" customHeight="1" x14ac:dyDescent="0.3"/>
    <row r="216" spans="1:8" ht="15" thickBot="1" x14ac:dyDescent="0.35">
      <c r="B216" s="15" t="s">
        <v>21</v>
      </c>
      <c r="C216" s="17"/>
      <c r="D216" s="17"/>
      <c r="E216" s="27"/>
      <c r="F216" s="27"/>
      <c r="G216" s="35">
        <f>+G206+G214</f>
        <v>23018803.07</v>
      </c>
      <c r="H216" s="8"/>
    </row>
    <row r="217" spans="1:8" ht="8.25" customHeight="1" thickTop="1" x14ac:dyDescent="0.3"/>
    <row r="218" spans="1:8" s="49" customFormat="1" ht="10.199999999999999" x14ac:dyDescent="0.2">
      <c r="A218" s="44"/>
      <c r="B218" s="56">
        <v>44462.64251203704</v>
      </c>
      <c r="C218" s="56"/>
      <c r="D218" s="56"/>
      <c r="E218" s="56"/>
      <c r="F218" s="56"/>
      <c r="G218" s="52">
        <f>ROUND(G135-G216, 0)</f>
        <v>0</v>
      </c>
    </row>
    <row r="219" spans="1:8" s="49" customFormat="1" ht="10.199999999999999" x14ac:dyDescent="0.2">
      <c r="A219" s="44"/>
      <c r="B219" s="48" t="s">
        <v>56</v>
      </c>
      <c r="C219" s="30"/>
      <c r="D219" s="30"/>
      <c r="E219" s="37"/>
      <c r="F219" s="37"/>
      <c r="G219" s="43"/>
    </row>
  </sheetData>
  <mergeCells count="1">
    <mergeCell ref="B218:F218"/>
  </mergeCells>
  <conditionalFormatting sqref="G218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8" customWidth="1"/>
    <col min="6" max="6" width="43.44140625" style="28" customWidth="1"/>
    <col min="7" max="7" width="17.33203125" style="51" customWidth="1"/>
    <col min="8" max="8" width="2.6640625" style="28" customWidth="1"/>
    <col min="9" max="9" width="8.6640625" style="28" customWidth="1"/>
    <col min="10" max="16384" width="8.88671875" style="28"/>
  </cols>
  <sheetData>
    <row r="2" spans="1:8" x14ac:dyDescent="0.3">
      <c r="C2" s="34"/>
      <c r="D2" s="34"/>
      <c r="E2" s="47"/>
      <c r="F2" s="45" t="s">
        <v>22</v>
      </c>
      <c r="G2" s="42"/>
      <c r="H2" s="41"/>
    </row>
    <row r="3" spans="1:8" x14ac:dyDescent="0.3">
      <c r="C3" s="34"/>
      <c r="D3" s="34"/>
      <c r="E3" s="47"/>
      <c r="F3" s="45" t="s">
        <v>279</v>
      </c>
      <c r="G3" s="42"/>
      <c r="H3" s="41"/>
    </row>
    <row r="4" spans="1:8" x14ac:dyDescent="0.3">
      <c r="C4" s="29"/>
      <c r="D4" s="29"/>
      <c r="E4" s="29"/>
      <c r="F4" s="45" t="s">
        <v>315</v>
      </c>
      <c r="G4" s="42"/>
      <c r="H4" s="41"/>
    </row>
    <row r="5" spans="1:8" x14ac:dyDescent="0.3">
      <c r="C5" s="29"/>
      <c r="D5" s="29"/>
      <c r="E5" s="29"/>
      <c r="F5" s="45" t="e">
        <f ca="1">_xll.OneStop.ReportPlayer.OSRFunctions.OSRGet("Period","PeriodEnd")</f>
        <v>#NAME?</v>
      </c>
      <c r="G5" s="42"/>
      <c r="H5" s="41"/>
    </row>
    <row r="7" spans="1:8" ht="15" thickBot="1" x14ac:dyDescent="0.35">
      <c r="B7" s="15" t="s">
        <v>126</v>
      </c>
      <c r="C7" s="17"/>
      <c r="D7" s="17"/>
      <c r="E7" s="27"/>
      <c r="F7" s="27"/>
      <c r="G7" s="46"/>
      <c r="H7" s="8"/>
    </row>
    <row r="8" spans="1:8" x14ac:dyDescent="0.3">
      <c r="B8" s="2"/>
      <c r="C8" s="26" t="s">
        <v>201</v>
      </c>
      <c r="D8" s="14"/>
      <c r="E8" s="21"/>
      <c r="F8" s="21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3">
      <c r="A11" s="18"/>
      <c r="B11" s="16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3">
      <c r="A14" s="18"/>
      <c r="B14" s="16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3">
      <c r="A17" s="18"/>
      <c r="B17" s="16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3">
      <c r="A20" s="18"/>
      <c r="B20" s="16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4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6" t="s">
        <v>297</v>
      </c>
      <c r="D24" s="14"/>
      <c r="E24" s="21"/>
      <c r="F24" s="21"/>
      <c r="G24" s="33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3">
      <c r="A26" s="18"/>
      <c r="B26" s="16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4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7"/>
      <c r="D30" s="17"/>
      <c r="E30" s="17"/>
      <c r="F30" s="17"/>
      <c r="G30" s="35" t="e">
        <f ca="1">+G22+G28</f>
        <v>#NAME?</v>
      </c>
      <c r="H30" s="2"/>
    </row>
    <row r="31" spans="1:8" s="5" customFormat="1" ht="15" thickTop="1" x14ac:dyDescent="0.3">
      <c r="G31" s="38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6" t="s">
        <v>139</v>
      </c>
      <c r="D33" s="14"/>
      <c r="E33" s="14"/>
      <c r="F33" s="14"/>
      <c r="G33" s="36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3">
      <c r="A35" s="18"/>
      <c r="B35" s="16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4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6" t="s">
        <v>82</v>
      </c>
      <c r="D38" s="14"/>
      <c r="E38" s="21"/>
      <c r="F38" s="21"/>
      <c r="G38" s="33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4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2" t="s">
        <v>107</v>
      </c>
      <c r="C43" s="23"/>
      <c r="D43" s="23"/>
      <c r="E43" s="23"/>
      <c r="F43" s="23"/>
      <c r="G43" s="31" t="e">
        <f ca="1">+G36+G41</f>
        <v>#NAME?</v>
      </c>
      <c r="H43" s="2"/>
    </row>
    <row r="44" spans="1:8" s="5" customFormat="1" ht="8.25" customHeight="1" thickBot="1" x14ac:dyDescent="0.35">
      <c r="G44" s="38"/>
    </row>
    <row r="45" spans="1:8" s="5" customFormat="1" x14ac:dyDescent="0.3">
      <c r="B45" s="2"/>
      <c r="C45" s="26" t="s">
        <v>162</v>
      </c>
      <c r="D45" s="14"/>
      <c r="E45" s="14"/>
      <c r="F45" s="14"/>
      <c r="G45" s="36"/>
      <c r="H45" s="2"/>
    </row>
    <row r="46" spans="1:8" x14ac:dyDescent="0.3">
      <c r="A46" s="28"/>
      <c r="B46" s="8"/>
      <c r="C46" s="50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8"/>
      <c r="B47" s="8"/>
      <c r="C47" s="50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8"/>
      <c r="B48" s="8"/>
      <c r="C48" s="50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4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3"/>
    <row r="51" spans="1:8" x14ac:dyDescent="0.3">
      <c r="B51" s="32" t="s">
        <v>257</v>
      </c>
      <c r="C51" s="23"/>
      <c r="D51" s="23"/>
      <c r="E51" s="39"/>
      <c r="F51" s="39"/>
      <c r="G51" s="31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7"/>
      <c r="D53" s="17"/>
      <c r="E53" s="27"/>
      <c r="F53" s="27"/>
      <c r="G53" s="35" t="e">
        <f ca="1">+G43+G51</f>
        <v>#NAME?</v>
      </c>
      <c r="H53" s="8"/>
    </row>
    <row r="54" spans="1:8" ht="8.25" customHeight="1" thickTop="1" x14ac:dyDescent="0.3"/>
    <row r="55" spans="1:8" s="49" customFormat="1" ht="10.199999999999999" x14ac:dyDescent="0.2">
      <c r="A55" s="44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2" t="e">
        <f ca="1">ROUND(G30-G53, 0)</f>
        <v>#NAME?</v>
      </c>
    </row>
    <row r="56" spans="1:8" s="49" customFormat="1" ht="10.199999999999999" x14ac:dyDescent="0.2">
      <c r="A56" s="44"/>
      <c r="B56" s="48" t="e">
        <f ca="1">_xll.OneStop.ReportPlayer.OSRFunctions.OSRGet("User","UserId")</f>
        <v>#NAME?</v>
      </c>
      <c r="C56" s="30"/>
      <c r="D56" s="30"/>
      <c r="E56" s="37"/>
      <c r="F56" s="37"/>
      <c r="G56" s="43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2:H56"/>
  <sheetViews>
    <sheetView zoomScale="90" workbookViewId="0"/>
  </sheetViews>
  <sheetFormatPr defaultRowHeight="14.4" outlineLevelRow="2" x14ac:dyDescent="0.3"/>
  <cols>
    <col min="1" max="1" width="8.33203125" style="5" customWidth="1"/>
    <col min="2" max="2" width="2.6640625" style="5" customWidth="1"/>
    <col min="3" max="4" width="3.109375" style="5" customWidth="1"/>
    <col min="5" max="5" width="3.109375" style="28" customWidth="1"/>
    <col min="6" max="6" width="43.44140625" style="28" customWidth="1"/>
    <col min="7" max="7" width="17.33203125" style="51" customWidth="1"/>
    <col min="8" max="8" width="2.6640625" style="28" customWidth="1"/>
    <col min="9" max="9" width="8.6640625" style="28" customWidth="1"/>
    <col min="10" max="16384" width="8.88671875" style="28"/>
  </cols>
  <sheetData>
    <row r="2" spans="1:8" x14ac:dyDescent="0.3">
      <c r="C2" s="34"/>
      <c r="D2" s="34"/>
      <c r="E2" s="47"/>
      <c r="F2" s="45" t="s">
        <v>22</v>
      </c>
      <c r="G2" s="42"/>
      <c r="H2" s="41"/>
    </row>
    <row r="3" spans="1:8" x14ac:dyDescent="0.3">
      <c r="C3" s="34"/>
      <c r="D3" s="34"/>
      <c r="E3" s="47"/>
      <c r="F3" s="45" t="s">
        <v>279</v>
      </c>
      <c r="G3" s="42"/>
      <c r="H3" s="41"/>
    </row>
    <row r="4" spans="1:8" x14ac:dyDescent="0.3">
      <c r="C4" s="29"/>
      <c r="D4" s="29"/>
      <c r="E4" s="29"/>
      <c r="F4" s="45" t="s">
        <v>315</v>
      </c>
      <c r="G4" s="42"/>
      <c r="H4" s="41"/>
    </row>
    <row r="5" spans="1:8" x14ac:dyDescent="0.3">
      <c r="C5" s="29"/>
      <c r="D5" s="29"/>
      <c r="E5" s="29"/>
      <c r="F5" s="45" t="e">
        <f ca="1">_xll.OneStop.ReportPlayer.OSRFunctions.OSRGet("Period","PeriodEnd")</f>
        <v>#NAME?</v>
      </c>
      <c r="G5" s="42"/>
      <c r="H5" s="41"/>
    </row>
    <row r="7" spans="1:8" ht="15" thickBot="1" x14ac:dyDescent="0.35">
      <c r="B7" s="15" t="s">
        <v>126</v>
      </c>
      <c r="C7" s="17"/>
      <c r="D7" s="17"/>
      <c r="E7" s="27"/>
      <c r="F7" s="27"/>
      <c r="G7" s="46"/>
      <c r="H7" s="8"/>
    </row>
    <row r="8" spans="1:8" x14ac:dyDescent="0.3">
      <c r="B8" s="2"/>
      <c r="C8" s="26" t="s">
        <v>201</v>
      </c>
      <c r="D8" s="14"/>
      <c r="E8" s="21"/>
      <c r="F8" s="21"/>
      <c r="G8" s="20"/>
      <c r="H8" s="8"/>
    </row>
    <row r="9" spans="1:8" s="5" customFormat="1" x14ac:dyDescent="0.3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3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3">
      <c r="A11" s="18"/>
      <c r="B11" s="16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3">
      <c r="B12" s="2"/>
      <c r="C12" s="9"/>
      <c r="D12" s="3"/>
      <c r="E12" s="7"/>
      <c r="F12" s="7"/>
      <c r="G12" s="20"/>
      <c r="H12" s="8"/>
    </row>
    <row r="13" spans="1:8" s="5" customFormat="1" collapsed="1" x14ac:dyDescent="0.3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3">
      <c r="A14" s="18"/>
      <c r="B14" s="16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3">
      <c r="B15" s="2"/>
      <c r="C15" s="9"/>
      <c r="D15" s="3"/>
      <c r="E15" s="7"/>
      <c r="F15" s="7"/>
      <c r="G15" s="20"/>
      <c r="H15" s="8"/>
    </row>
    <row r="16" spans="1:8" s="5" customFormat="1" collapsed="1" x14ac:dyDescent="0.3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3">
      <c r="A17" s="18"/>
      <c r="B17" s="16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3">
      <c r="B18" s="2"/>
      <c r="C18" s="9"/>
      <c r="D18" s="3"/>
      <c r="E18" s="7"/>
      <c r="F18" s="7"/>
      <c r="G18" s="20"/>
      <c r="H18" s="8"/>
    </row>
    <row r="19" spans="1:8" s="5" customFormat="1" collapsed="1" x14ac:dyDescent="0.3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3">
      <c r="A20" s="18"/>
      <c r="B20" s="16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3">
      <c r="B21" s="2"/>
      <c r="C21" s="9"/>
      <c r="D21" s="3"/>
      <c r="E21" s="7"/>
      <c r="F21" s="7"/>
      <c r="G21" s="20"/>
      <c r="H21" s="8"/>
    </row>
    <row r="22" spans="1:8" s="5" customFormat="1" ht="15" thickBot="1" x14ac:dyDescent="0.35">
      <c r="B22" s="2"/>
      <c r="C22" s="24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5"/>
    <row r="24" spans="1:8" x14ac:dyDescent="0.3">
      <c r="B24" s="2"/>
      <c r="C24" s="26" t="s">
        <v>297</v>
      </c>
      <c r="D24" s="14"/>
      <c r="E24" s="21"/>
      <c r="F24" s="21"/>
      <c r="G24" s="33"/>
      <c r="H24" s="8"/>
    </row>
    <row r="25" spans="1:8" s="5" customFormat="1" collapsed="1" x14ac:dyDescent="0.3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3">
      <c r="A26" s="18"/>
      <c r="B26" s="16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3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" thickBot="1" x14ac:dyDescent="0.35">
      <c r="B28" s="2"/>
      <c r="C28" s="24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3"/>
    <row r="30" spans="1:8" s="5" customFormat="1" ht="15" thickBot="1" x14ac:dyDescent="0.35">
      <c r="B30" s="15" t="s">
        <v>163</v>
      </c>
      <c r="C30" s="17"/>
      <c r="D30" s="17"/>
      <c r="E30" s="17"/>
      <c r="F30" s="17"/>
      <c r="G30" s="35" t="e">
        <f ca="1">+G22+G28</f>
        <v>#NAME?</v>
      </c>
      <c r="H30" s="2"/>
    </row>
    <row r="31" spans="1:8" s="5" customFormat="1" ht="15" thickTop="1" x14ac:dyDescent="0.3">
      <c r="G31" s="38"/>
    </row>
    <row r="32" spans="1:8" s="5" customFormat="1" ht="15" thickBot="1" x14ac:dyDescent="0.35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3">
      <c r="B33" s="2"/>
      <c r="C33" s="26" t="s">
        <v>139</v>
      </c>
      <c r="D33" s="14"/>
      <c r="E33" s="14"/>
      <c r="F33" s="14"/>
      <c r="G33" s="36"/>
      <c r="H33" s="2"/>
    </row>
    <row r="34" spans="1:8" s="5" customFormat="1" collapsed="1" x14ac:dyDescent="0.3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3">
      <c r="A35" s="18"/>
      <c r="B35" s="16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" thickBot="1" x14ac:dyDescent="0.35">
      <c r="B36" s="2"/>
      <c r="C36" s="24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5"/>
    <row r="38" spans="1:8" x14ac:dyDescent="0.3">
      <c r="B38" s="2"/>
      <c r="C38" s="26" t="s">
        <v>82</v>
      </c>
      <c r="D38" s="14"/>
      <c r="E38" s="21"/>
      <c r="F38" s="21"/>
      <c r="G38" s="33"/>
      <c r="H38" s="8"/>
    </row>
    <row r="39" spans="1:8" s="5" customFormat="1" collapsed="1" x14ac:dyDescent="0.3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3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" thickBot="1" x14ac:dyDescent="0.35">
      <c r="B41" s="2"/>
      <c r="C41" s="24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3"/>
    <row r="43" spans="1:8" s="5" customFormat="1" x14ac:dyDescent="0.3">
      <c r="B43" s="32" t="s">
        <v>107</v>
      </c>
      <c r="C43" s="23"/>
      <c r="D43" s="23"/>
      <c r="E43" s="23"/>
      <c r="F43" s="23"/>
      <c r="G43" s="31" t="e">
        <f ca="1">+G36+G41</f>
        <v>#NAME?</v>
      </c>
      <c r="H43" s="2"/>
    </row>
    <row r="44" spans="1:8" s="5" customFormat="1" ht="8.25" customHeight="1" thickBot="1" x14ac:dyDescent="0.35">
      <c r="G44" s="38"/>
    </row>
    <row r="45" spans="1:8" s="5" customFormat="1" x14ac:dyDescent="0.3">
      <c r="B45" s="2"/>
      <c r="C45" s="26" t="s">
        <v>162</v>
      </c>
      <c r="D45" s="14"/>
      <c r="E45" s="14"/>
      <c r="F45" s="14"/>
      <c r="G45" s="36"/>
      <c r="H45" s="2"/>
    </row>
    <row r="46" spans="1:8" x14ac:dyDescent="0.3">
      <c r="A46" s="28"/>
      <c r="B46" s="8"/>
      <c r="C46" s="50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3">
      <c r="A47" s="28"/>
      <c r="B47" s="8"/>
      <c r="C47" s="50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3">
      <c r="A48" s="28"/>
      <c r="B48" s="8"/>
      <c r="C48" s="50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" thickBot="1" x14ac:dyDescent="0.35">
      <c r="B49" s="2"/>
      <c r="C49" s="24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3"/>
    <row r="51" spans="1:8" x14ac:dyDescent="0.3">
      <c r="B51" s="32" t="s">
        <v>257</v>
      </c>
      <c r="C51" s="23"/>
      <c r="D51" s="23"/>
      <c r="E51" s="39"/>
      <c r="F51" s="39"/>
      <c r="G51" s="31" t="e">
        <f ca="1">+G49</f>
        <v>#NAME?</v>
      </c>
      <c r="H51" s="8"/>
    </row>
    <row r="52" spans="1:8" ht="8.25" customHeight="1" x14ac:dyDescent="0.3"/>
    <row r="53" spans="1:8" ht="15" thickBot="1" x14ac:dyDescent="0.35">
      <c r="B53" s="15" t="s">
        <v>21</v>
      </c>
      <c r="C53" s="17"/>
      <c r="D53" s="17"/>
      <c r="E53" s="27"/>
      <c r="F53" s="27"/>
      <c r="G53" s="35" t="e">
        <f ca="1">+G43+G51</f>
        <v>#NAME?</v>
      </c>
      <c r="H53" s="8"/>
    </row>
    <row r="54" spans="1:8" ht="8.25" customHeight="1" thickTop="1" x14ac:dyDescent="0.3"/>
    <row r="55" spans="1:8" s="49" customFormat="1" ht="10.199999999999999" x14ac:dyDescent="0.2">
      <c r="A55" s="44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52" t="e">
        <f ca="1">ROUND(G30-G53, 0)</f>
        <v>#NAME?</v>
      </c>
    </row>
    <row r="56" spans="1:8" s="49" customFormat="1" ht="10.199999999999999" x14ac:dyDescent="0.2">
      <c r="A56" s="44"/>
      <c r="B56" s="48" t="e">
        <f ca="1">_xll.OneStop.ReportPlayer.OSRFunctions.OSRGet("User","UserId")</f>
        <v>#NAME?</v>
      </c>
      <c r="C56" s="30"/>
      <c r="D56" s="30"/>
      <c r="E56" s="37"/>
      <c r="F56" s="37"/>
      <c r="G56" s="43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2021-09-23T16:29:40Z</dcterms:created>
  <dcterms:modified xsi:type="dcterms:W3CDTF">2021-09-23T16:30:58Z</dcterms:modified>
</cp:coreProperties>
</file>