
<file path=[Content_Types].xml><?xml version="1.0" encoding="utf-8"?>
<Types xmlns="http://schemas.openxmlformats.org/package/2006/content-types">
  <Default Extension="rels" ContentType="application/vnd.openxmlformats-package.relationships+xml"/>
  <Override PartName="/xl/media/image1.jpeg" ContentType="image/jpe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fileVersion appName="SpreadsheetGear 8.0.75.102"/>
  <workbookPr defaultThemeVersion="124226"/>
  <bookViews>
    <workbookView xWindow="240" yWindow="105" windowWidth="14805" windowHeight="801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Sheet'!$B$243:$F$243</definedName>
    <definedName name="OSRRefG10x_0" localSheetId="2">'Balance Sheet'!$G$10,'Balance Sheet'!$G$18,'Balance Sheet'!$G$26</definedName>
    <definedName name="OSRRefG11_0x_0" localSheetId="2">'Balance Sheet'!$G$11:$G$17</definedName>
    <definedName name="OSRRefG11_1x_0" localSheetId="2">'Balance Sheet'!$G$19:$G$25</definedName>
    <definedName name="OSRRefG11_2x_0" localSheetId="2">'Balance Sheet'!$G$27:$G$29</definedName>
    <definedName name="OSRRefG14x_0" localSheetId="2">'Balance Sheet'!$G$32:$G$52</definedName>
    <definedName name="OSRRefG17x_0" localSheetId="2">'Balance Sheet'!$G$55:$G$129</definedName>
    <definedName name="OSRRefG20x_0" localSheetId="2">'Balance Sheet'!$G$132:$G$135</definedName>
    <definedName name="OSRRefG26x_0" localSheetId="2">'Balance Sheet'!$G$141:$G$153</definedName>
    <definedName name="OSRRefG34x_0" localSheetId="2">'Balance Sheet'!$G$161,'Balance Sheet'!$G$168,'Balance Sheet'!$G$173,'Balance Sheet'!$G$183,'Balance Sheet'!$G$194</definedName>
    <definedName name="OSRRefG40_0x_0" localSheetId="2">'Balance Sheet'!$G$224</definedName>
    <definedName name="OSRRefG40_1x_0" localSheetId="2">'Balance Sheet'!$G$226</definedName>
    <definedName name="OSRRefG40_2x_0" localSheetId="2">'Balance Sheet'!$G$228</definedName>
    <definedName name="OSRRefG40x_0" localSheetId="2">'Balance Sheet'!$G$224,'Balance Sheet'!$G$226,'Balance Sheet'!$G$228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40001"/>
</workbook>
</file>

<file path=xl/sharedStrings.xml><?xml version="1.0" encoding="utf-8"?>
<sst xmlns="http://schemas.openxmlformats.org/spreadsheetml/2006/main" count="372" uniqueCount="316">
  <si>
    <t>ASSETS</t>
  </si>
  <si>
    <t>Total Cash</t>
  </si>
  <si>
    <t>Fixed Assets</t>
  </si>
  <si>
    <t>Total Fixed Assets</t>
  </si>
  <si>
    <t>Less Accumulated Depreciation</t>
  </si>
  <si>
    <t>TOTAL ASSETS</t>
  </si>
  <si>
    <t>Current Assets</t>
  </si>
  <si>
    <t>Total Current Assets</t>
  </si>
  <si>
    <t>Current Liabilities</t>
  </si>
  <si>
    <t>Total Current Liabilities</t>
  </si>
  <si>
    <t>Long-Term Liabilities</t>
  </si>
  <si>
    <t>Total Long-Term Liabilities</t>
  </si>
  <si>
    <t>TOTAL LIABILITIES</t>
  </si>
  <si>
    <t>Net Contribution YTD</t>
  </si>
  <si>
    <t>Balance Sheet</t>
  </si>
  <si>
    <t xml:space="preserve">Forty Niner Shops, Inc. </t>
  </si>
  <si>
    <t>Total Accounts Receivable</t>
  </si>
  <si>
    <t>Total Inventory</t>
  </si>
  <si>
    <t>Total Prepaid Expenses</t>
  </si>
  <si>
    <t>Net Fixed Assets</t>
  </si>
  <si>
    <t>Sheet Name</t>
  </si>
  <si>
    <t>InfoManager Number</t>
  </si>
  <si>
    <t>Grid Title</t>
  </si>
  <si>
    <t>Grid Cell Range</t>
  </si>
  <si>
    <t>Grid Special Rules</t>
  </si>
  <si>
    <t>Module Name</t>
  </si>
  <si>
    <t>Entity</t>
  </si>
  <si>
    <t>Entity Relate to data</t>
  </si>
  <si>
    <t>Entity Special Rules</t>
  </si>
  <si>
    <t>Entity Text</t>
  </si>
  <si>
    <t>Time</t>
  </si>
  <si>
    <t>Time  Relate to data</t>
  </si>
  <si>
    <t>Time  Special Rules</t>
  </si>
  <si>
    <t>Time Text</t>
  </si>
  <si>
    <t>Scenario</t>
  </si>
  <si>
    <t>Scenario  Relate to data</t>
  </si>
  <si>
    <t>Scenario  Special Rules</t>
  </si>
  <si>
    <t>Scenario Text</t>
  </si>
  <si>
    <t>Category</t>
  </si>
  <si>
    <t>Category  Relate to data</t>
  </si>
  <si>
    <t>Category  Special Rules</t>
  </si>
  <si>
    <t>Category Text</t>
  </si>
  <si>
    <t xml:space="preserve">FxCode </t>
  </si>
  <si>
    <t>FxCode  Relate to data</t>
  </si>
  <si>
    <t>FxCode  Special Rules</t>
  </si>
  <si>
    <t>FxCode Text</t>
  </si>
  <si>
    <t>Storage Type</t>
  </si>
  <si>
    <t>Created Date</t>
  </si>
  <si>
    <t>Updated Date</t>
  </si>
  <si>
    <t>Retain Zero Value</t>
  </si>
  <si>
    <t>Dim0</t>
  </si>
  <si>
    <t>Dim Label0</t>
  </si>
  <si>
    <t>Dim0Relate to data</t>
  </si>
  <si>
    <t>Dim0Special Rules</t>
  </si>
  <si>
    <t>Dim0Text</t>
  </si>
  <si>
    <t>Dim1</t>
  </si>
  <si>
    <t>Dim Label1</t>
  </si>
  <si>
    <t>Dim1Relate to data</t>
  </si>
  <si>
    <t>Dim1Special Rules</t>
  </si>
  <si>
    <t>Dim1Text</t>
  </si>
  <si>
    <t>Dim2</t>
  </si>
  <si>
    <t>Dim Label2</t>
  </si>
  <si>
    <t>Dim2Relate to data</t>
  </si>
  <si>
    <t>Dim2Special Rules</t>
  </si>
  <si>
    <t>Dim2Text</t>
  </si>
  <si>
    <t>Dim3</t>
  </si>
  <si>
    <t>Dim Label3</t>
  </si>
  <si>
    <t>Dim3Relate to data</t>
  </si>
  <si>
    <t>Dim3Special Rules</t>
  </si>
  <si>
    <t>Dim3Text</t>
  </si>
  <si>
    <t>Dim4</t>
  </si>
  <si>
    <t>Dim Label4</t>
  </si>
  <si>
    <t>Dim4Relate to data</t>
  </si>
  <si>
    <t>Dim4Special Rules</t>
  </si>
  <si>
    <t>Dim4Text</t>
  </si>
  <si>
    <t>Dim5</t>
  </si>
  <si>
    <t>Dim Label5</t>
  </si>
  <si>
    <t>Dim5Relate to data</t>
  </si>
  <si>
    <t>Dim5Special Rules</t>
  </si>
  <si>
    <t>Dim5Text</t>
  </si>
  <si>
    <t>Dim6</t>
  </si>
  <si>
    <t>Dim Label6</t>
  </si>
  <si>
    <t>Dim6Relate to data</t>
  </si>
  <si>
    <t>Dim6Special Rules</t>
  </si>
  <si>
    <t>Dim6Text</t>
  </si>
  <si>
    <t>Dim7</t>
  </si>
  <si>
    <t>Dim Label7</t>
  </si>
  <si>
    <t>Dim7Relate to data</t>
  </si>
  <si>
    <t>Dim7Special Rules</t>
  </si>
  <si>
    <t>Dim7Text</t>
  </si>
  <si>
    <t>Dim8</t>
  </si>
  <si>
    <t>Dim Label8</t>
  </si>
  <si>
    <t>Dim8Relate to data</t>
  </si>
  <si>
    <t>Dim8Special Rules</t>
  </si>
  <si>
    <t>Dim8Text</t>
  </si>
  <si>
    <t>Dim9</t>
  </si>
  <si>
    <t>Dim Label9</t>
  </si>
  <si>
    <t>Dim9Relate to data</t>
  </si>
  <si>
    <t>Dim9Special Rules</t>
  </si>
  <si>
    <t>Dim9Text</t>
  </si>
  <si>
    <t>Variable Dim Name0</t>
  </si>
  <si>
    <t>Variable Dim0</t>
  </si>
  <si>
    <t>Variable Dim0Relate to data</t>
  </si>
  <si>
    <t>Variable Dim0Special Rules</t>
  </si>
  <si>
    <t>Variable Dim0Text</t>
  </si>
  <si>
    <t>Variable Dim Name1</t>
  </si>
  <si>
    <t>Variable Dim1</t>
  </si>
  <si>
    <t>Variable Dim1Relate to data</t>
  </si>
  <si>
    <t>Variable Dim1Special Rules</t>
  </si>
  <si>
    <t>Variable Dim1Text</t>
  </si>
  <si>
    <t>Variable Dim Name2</t>
  </si>
  <si>
    <t>Variable Dim2</t>
  </si>
  <si>
    <t>Variable Dim2Relate to data</t>
  </si>
  <si>
    <t>Variable Dim2Special Rules</t>
  </si>
  <si>
    <t>Variable Dim2Text</t>
  </si>
  <si>
    <t>Variable Dim Name3</t>
  </si>
  <si>
    <t>Variable Dim3</t>
  </si>
  <si>
    <t>Variable Dim3Relate to data</t>
  </si>
  <si>
    <t>Variable Dim3Special Rules</t>
  </si>
  <si>
    <t>Variable Dim3Text</t>
  </si>
  <si>
    <t>Variable Dim Name4</t>
  </si>
  <si>
    <t>Variable Dim4</t>
  </si>
  <si>
    <t>Variable Dim4Relate to data</t>
  </si>
  <si>
    <t>Variable Dim4Special Rules</t>
  </si>
  <si>
    <t>Variable Dim4Text</t>
  </si>
  <si>
    <t>Variable Dim Name5</t>
  </si>
  <si>
    <t>Variable Dim5</t>
  </si>
  <si>
    <t>Variable Dim5Relate to data</t>
  </si>
  <si>
    <t>Variable Dim5Special Rules</t>
  </si>
  <si>
    <t>Variable Dim5Text</t>
  </si>
  <si>
    <t>Variable Dim Name6</t>
  </si>
  <si>
    <t>Variable Dim6</t>
  </si>
  <si>
    <t>Variable Dim6Relate to data</t>
  </si>
  <si>
    <t>Variable Dim6Special Rules</t>
  </si>
  <si>
    <t>Variable Dim6Text</t>
  </si>
  <si>
    <t>Variable Dim Name7</t>
  </si>
  <si>
    <t>Variable Dim7</t>
  </si>
  <si>
    <t>Variable Dim7Relate to data</t>
  </si>
  <si>
    <t>Variable Dim7Special Rules</t>
  </si>
  <si>
    <t>Variable Dim7Text</t>
  </si>
  <si>
    <t>Variable Dim Name8</t>
  </si>
  <si>
    <t>Variable Dim8</t>
  </si>
  <si>
    <t>Variable Dim8Relate to data</t>
  </si>
  <si>
    <t>Variable Dim8Special Rules</t>
  </si>
  <si>
    <t>Variable Dim8Text</t>
  </si>
  <si>
    <t>Variable Dim Name9</t>
  </si>
  <si>
    <t>Variable Dim9</t>
  </si>
  <si>
    <t>Variable Dim9Relate to data</t>
  </si>
  <si>
    <t>Variable Dim9Special Rules</t>
  </si>
  <si>
    <t>Variable Dim9Text</t>
  </si>
  <si>
    <t>Variable Dim Name10</t>
  </si>
  <si>
    <t>Variable Dim10</t>
  </si>
  <si>
    <t>Variable Dim10Relate to data</t>
  </si>
  <si>
    <t>Variable Dim10Special Rules</t>
  </si>
  <si>
    <t>Variable Dim10Text</t>
  </si>
  <si>
    <t>Variable Dim Name11</t>
  </si>
  <si>
    <t>Variable Dim11</t>
  </si>
  <si>
    <t>Variable Dim11Relate to data</t>
  </si>
  <si>
    <t>Variable Dim11Special Rules</t>
  </si>
  <si>
    <t>Variable Dim11Text</t>
  </si>
  <si>
    <t>Variable Dim Name12</t>
  </si>
  <si>
    <t>Variable Dim12</t>
  </si>
  <si>
    <t>Variable Dim12Relate to data</t>
  </si>
  <si>
    <t>Variable Dim12Special Rules</t>
  </si>
  <si>
    <t>Variable Dim12Text</t>
  </si>
  <si>
    <t>Variable Dim Name13</t>
  </si>
  <si>
    <t>Variable Dim13</t>
  </si>
  <si>
    <t>Variable Dim13Relate to data</t>
  </si>
  <si>
    <t>Variable Dim13Special Rules</t>
  </si>
  <si>
    <t>Variable Dim13Text</t>
  </si>
  <si>
    <t>Variable Dim Name14</t>
  </si>
  <si>
    <t>Variable Dim14</t>
  </si>
  <si>
    <t>Variable Dim14Relate to data</t>
  </si>
  <si>
    <t>Variable Dim14Special Rules</t>
  </si>
  <si>
    <t>Variable Dim14Text</t>
  </si>
  <si>
    <t>Variable Dim Name15</t>
  </si>
  <si>
    <t>Variable Dim15</t>
  </si>
  <si>
    <t>Variable Dim15Relate to data</t>
  </si>
  <si>
    <t>Variable Dim15Special Rules</t>
  </si>
  <si>
    <t>Variable Dim15Text</t>
  </si>
  <si>
    <t>Variable Dim Name16</t>
  </si>
  <si>
    <t>Variable Dim16</t>
  </si>
  <si>
    <t>Variable Dim16Relate to data</t>
  </si>
  <si>
    <t>Variable Dim16Special Rules</t>
  </si>
  <si>
    <t>Variable Dim16Text</t>
  </si>
  <si>
    <t>Variable Dim Name17</t>
  </si>
  <si>
    <t>Variable Dim17</t>
  </si>
  <si>
    <t>Variable Dim17Relate to data</t>
  </si>
  <si>
    <t>Variable Dim17Special Rules</t>
  </si>
  <si>
    <t>Variable Dim17Text</t>
  </si>
  <si>
    <t>Variable Dim Name18</t>
  </si>
  <si>
    <t>Variable Dim18</t>
  </si>
  <si>
    <t>Variable Dim18Relate to data</t>
  </si>
  <si>
    <t>Variable Dim18Special Rules</t>
  </si>
  <si>
    <t>Variable Dim18Text</t>
  </si>
  <si>
    <t>Variable Dim Name19</t>
  </si>
  <si>
    <t>Variable Dim19</t>
  </si>
  <si>
    <t>Variable Dim19Relate to data</t>
  </si>
  <si>
    <t>Variable Dim19Special Rules</t>
  </si>
  <si>
    <t>Variable Dim19Text</t>
  </si>
  <si>
    <t>Storage Field0</t>
  </si>
  <si>
    <t>Storage Field0 Name</t>
  </si>
  <si>
    <t>Storage Field1</t>
  </si>
  <si>
    <t>Storage Field1 Name</t>
  </si>
  <si>
    <t>Storage Field2</t>
  </si>
  <si>
    <t>Storage Field2 Name</t>
  </si>
  <si>
    <t>Storage Field3</t>
  </si>
  <si>
    <t>Storage Field3 Name</t>
  </si>
  <si>
    <t>Storage Field4</t>
  </si>
  <si>
    <t>Storage Field4 Name</t>
  </si>
  <si>
    <t>Storage Field5</t>
  </si>
  <si>
    <t>Storage Field5 Name</t>
  </si>
  <si>
    <t>Storage Field6</t>
  </si>
  <si>
    <t>Storage Field6 Name</t>
  </si>
  <si>
    <t>Storage Field7</t>
  </si>
  <si>
    <t>Storage Field7 Name</t>
  </si>
  <si>
    <t>Storage Field8</t>
  </si>
  <si>
    <t>Storage Field8 Name</t>
  </si>
  <si>
    <t>Storage Field9</t>
  </si>
  <si>
    <t>Storage Field9 Name</t>
  </si>
  <si>
    <t>Storage Field10</t>
  </si>
  <si>
    <t>Storage Field10 Name</t>
  </si>
  <si>
    <t>Storage Field11</t>
  </si>
  <si>
    <t>Storage Field11 Name</t>
  </si>
  <si>
    <t>Storage Field12</t>
  </si>
  <si>
    <t>Storage Field12 Name</t>
  </si>
  <si>
    <t>Storage Field13</t>
  </si>
  <si>
    <t>Storage Field13 Name</t>
  </si>
  <si>
    <t>Storage Field14</t>
  </si>
  <si>
    <t>Storage Field14 Name</t>
  </si>
  <si>
    <t>Storage Field15</t>
  </si>
  <si>
    <t>Storage Field15 Name</t>
  </si>
  <si>
    <t>Storage Field16</t>
  </si>
  <si>
    <t>Storage Field16 Name</t>
  </si>
  <si>
    <t>Storage Field17</t>
  </si>
  <si>
    <t>Storage Field17 Name</t>
  </si>
  <si>
    <t>Storage Field18</t>
  </si>
  <si>
    <t>Storage Field18 Name</t>
  </si>
  <si>
    <t>Storage Field19</t>
  </si>
  <si>
    <t>Storage Field19 Name</t>
  </si>
  <si>
    <t>DimGridName</t>
  </si>
  <si>
    <t>DimSheetName</t>
  </si>
  <si>
    <t>StorageGridName</t>
  </si>
  <si>
    <t>StorageSheetName</t>
  </si>
  <si>
    <t>Enable SIMWindow</t>
  </si>
  <si>
    <t>Period Type</t>
  </si>
  <si>
    <t>Interface Setting Grid Number</t>
  </si>
  <si>
    <t>Active Grid Number</t>
  </si>
  <si>
    <t>Running Actual Sheet row Number</t>
  </si>
  <si>
    <t>Running Actual Grid Number</t>
  </si>
  <si>
    <t>Chart Legend Location</t>
  </si>
  <si>
    <t>ChartType</t>
  </si>
  <si>
    <t>ChartDisplayLabel</t>
  </si>
  <si>
    <t>ChartXAxiesLabel</t>
  </si>
  <si>
    <t>Chart 1stData Series</t>
  </si>
  <si>
    <t>Chart 1st DataSeries Name</t>
  </si>
  <si>
    <t>Chart 2nd Data Series</t>
  </si>
  <si>
    <t>Chart 2nd Data Series Name</t>
  </si>
  <si>
    <t>Chart 3rd Data Series</t>
  </si>
  <si>
    <t>Chart 3rd Data SeriesName</t>
  </si>
  <si>
    <t>Chart 4th Data Series</t>
  </si>
  <si>
    <t>Chart 4th Data Series Name</t>
  </si>
  <si>
    <t>Chart 5th Data Series</t>
  </si>
  <si>
    <t>Chart 5th Data Series Name</t>
  </si>
  <si>
    <t>Chart 6th Data Series</t>
  </si>
  <si>
    <t>Chart 6th Data Series Name</t>
  </si>
  <si>
    <t>ChartHide</t>
  </si>
  <si>
    <t>DGCol Label</t>
  </si>
  <si>
    <t>DGRow Label</t>
  </si>
  <si>
    <t>DGData</t>
  </si>
  <si>
    <t>DG Display Label</t>
  </si>
  <si>
    <t>DG Decimal Digits</t>
  </si>
  <si>
    <t>DGHide</t>
  </si>
  <si>
    <t>IGColLabelRange</t>
  </si>
  <si>
    <t>IGRowLabelRange</t>
  </si>
  <si>
    <t>IGDataRange</t>
  </si>
  <si>
    <t>IGDisplayLabel</t>
  </si>
  <si>
    <t>IGDecimalDigits</t>
  </si>
  <si>
    <t>IGHide</t>
  </si>
  <si>
    <t>LIDColLabelRange</t>
  </si>
  <si>
    <t>LIDActualDataRange</t>
  </si>
  <si>
    <t>LIDDisplayLabel</t>
  </si>
  <si>
    <t>LIDRowsNumber</t>
  </si>
  <si>
    <t>LIDHide</t>
  </si>
  <si>
    <t>SliderMaxpercentage</t>
  </si>
  <si>
    <t>SliderMinMovePer</t>
  </si>
  <si>
    <t>SaveType</t>
  </si>
  <si>
    <t>FormatType</t>
  </si>
  <si>
    <t>BudgetTotal</t>
  </si>
  <si>
    <t>ActualTotal</t>
  </si>
  <si>
    <t>TotalHide</t>
  </si>
  <si>
    <t>TotalGridHeadings</t>
  </si>
  <si>
    <t>EnableLID</t>
  </si>
  <si>
    <t>MinChart</t>
  </si>
  <si>
    <t>MinDG</t>
  </si>
  <si>
    <t>EnableCustomSpreading</t>
  </si>
  <si>
    <t>LIABILITIES &amp; NET ASSETS</t>
  </si>
  <si>
    <t>TOTAL NET ASSETS</t>
  </si>
  <si>
    <t>Net Assets Without Donor Restrictions</t>
  </si>
  <si>
    <t>Total Net Assets Without Donor Restrictions</t>
  </si>
  <si>
    <t>For The Period Ended</t>
  </si>
  <si>
    <t>TOTAL LIABILITIES &amp; NET ASSETS</t>
  </si>
  <si>
    <t>49er.local\tsantos</t>
  </si>
  <si>
    <t xml:space="preserve">Accounts Payable                                  </t>
  </si>
  <si>
    <t xml:space="preserve">Accrued Payroll and Benefits                      </t>
  </si>
  <si>
    <t xml:space="preserve">Accrued Payroll Expenses                          </t>
  </si>
  <si>
    <t xml:space="preserve">Accrued Taxes (sales &amp;w/h )                       </t>
  </si>
  <si>
    <t xml:space="preserve">Other Accrued Liablities                          </t>
  </si>
  <si>
    <t xml:space="preserve">Accrued Post Retirement Benefits                  </t>
  </si>
  <si>
    <t xml:space="preserve">Bonds Payable                                     </t>
  </si>
  <si>
    <t xml:space="preserve">PERS/PEPRA Unfunded Liability                     </t>
  </si>
  <si>
    <t xml:space="preserve">Fund Balance-Auxiliary                            </t>
  </si>
  <si>
    <t xml:space="preserve">Fund Balance-Designated                           </t>
  </si>
  <si>
    <t xml:space="preserve">Cash on hand and in commercial accounts           </t>
  </si>
  <si>
    <t xml:space="preserve">Designated funds                                  </t>
  </si>
  <si>
    <t xml:space="preserve">Savings and other investments                     </t>
  </si>
</sst>
</file>

<file path=xl/styles.xml><?xml version="1.0" encoding="utf-8"?>
<styleSheet xmlns="http://schemas.openxmlformats.org/spreadsheetml/2006/main">
  <numFmts count="5"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  <numFmt numFmtId="168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69482421875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69482421875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3" fillId="3" borderId="0" xfId="0" applyFont="1" applyFill="1" applyAlignment="1">
      <alignment horizontal="left"/>
    </xf>
    <xf numFmtId="0" fontId="1" fillId="0" borderId="5" xfId="0" applyFont="1" applyFill="1" applyBorder="1"/>
    <xf numFmtId="0" fontId="4" fillId="0" borderId="3" xfId="0" applyFont="1" applyFill="1" applyBorder="1"/>
    <xf numFmtId="0" fontId="4" fillId="0" borderId="0" xfId="0" applyFont="1"/>
    <xf numFmtId="0" fontId="4" fillId="0" borderId="0" xfId="0" applyFont="1" applyFill="1"/>
    <xf numFmtId="0" fontId="3" fillId="3" borderId="0" xfId="0" applyFont="1" applyFill="1"/>
    <xf numFmtId="165" fontId="0" fillId="0" borderId="4" xfId="1" applyNumberFormat="1" applyFont="1" applyFill="1" applyBorder="1"/>
    <xf numFmtId="0" fontId="0" fillId="0" borderId="5" xfId="0" applyFont="1" applyFill="1" applyBorder="1"/>
    <xf numFmtId="0" fontId="3" fillId="4" borderId="0" xfId="0" applyFont="1" applyFill="1"/>
    <xf numFmtId="0" fontId="4" fillId="0" borderId="0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165" fontId="1" fillId="0" borderId="8" xfId="1" applyNumberFormat="1" applyFont="1" applyFill="1" applyBorder="1"/>
    <xf numFmtId="167" fontId="5" fillId="0" borderId="0" xfId="0" applyNumberFormat="1" applyFont="1" applyAlignment="1">
      <alignment horizontal="left"/>
    </xf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165" fontId="1" fillId="0" borderId="9" xfId="1" applyNumberFormat="1" applyFont="1" applyFill="1" applyBorder="1"/>
    <xf numFmtId="165" fontId="3" fillId="4" borderId="10" xfId="1" applyNumberFormat="1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6" fillId="4" borderId="0" xfId="0" applyFont="1" applyFill="1"/>
    <xf numFmtId="0" fontId="3" fillId="4" borderId="0" xfId="0" applyFont="1" applyFill="1" applyAlignment="1">
      <alignment horizontal="left"/>
    </xf>
    <xf numFmtId="165" fontId="0" fillId="0" borderId="9" xfId="1" applyNumberFormat="1" applyFont="1" applyFill="1" applyBorder="1"/>
    <xf numFmtId="165" fontId="1" fillId="0" borderId="0" xfId="1" applyNumberFormat="1" applyFont="1"/>
    <xf numFmtId="0" fontId="7" fillId="0" borderId="0" xfId="0" applyFont="1"/>
    <xf numFmtId="166" fontId="3" fillId="3" borderId="11" xfId="2" applyNumberFormat="1" applyFont="1" applyFill="1" applyBorder="1"/>
    <xf numFmtId="0" fontId="2" fillId="0" borderId="3" xfId="0" applyFont="1" applyFill="1" applyBorder="1"/>
    <xf numFmtId="0" fontId="8" fillId="0" borderId="0" xfId="0" applyFont="1"/>
    <xf numFmtId="165" fontId="0" fillId="0" borderId="0" xfId="1" applyNumberFormat="1" applyFont="1"/>
    <xf numFmtId="0" fontId="0" fillId="0" borderId="3" xfId="0" applyFont="1" applyFill="1" applyBorder="1"/>
    <xf numFmtId="0" fontId="0" fillId="0" borderId="0" xfId="0" applyFont="1" applyAlignment="1">
      <alignment horizontal="centerContinuous"/>
    </xf>
    <xf numFmtId="165" fontId="9" fillId="0" borderId="0" xfId="1" applyNumberFormat="1" applyFont="1" applyFill="1"/>
    <xf numFmtId="0" fontId="0" fillId="0" borderId="0" xfId="0" applyFont="1" applyAlignment="1">
      <alignment horizontal="center"/>
    </xf>
    <xf numFmtId="165" fontId="10" fillId="0" borderId="0" xfId="1" applyNumberFormat="1" applyFont="1"/>
    <xf numFmtId="165" fontId="0" fillId="0" borderId="0" xfId="1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/>
    <xf numFmtId="166" fontId="3" fillId="3" borderId="2" xfId="2" applyNumberFormat="1" applyFont="1" applyFill="1" applyBorder="1"/>
    <xf numFmtId="49" fontId="0" fillId="0" borderId="0" xfId="0" applyNumberFormat="1"/>
    <xf numFmtId="49" fontId="0" fillId="2" borderId="1" xfId="0" applyNumberFormat="1" applyFill="1" applyBorder="1" applyAlignment="1">
      <alignment horizontal="center" vertical="center" wrapText="1"/>
    </xf>
    <xf numFmtId="14" fontId="1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1">
    <dxf>
      <font>
        <color theme="1"/>
      </font>
      <fill>
        <patternFill>
          <bgColor rgb="FFFFFF00"/>
        </patternFill>
      </fill>
    </dxf>
  </dxfs>
</styleSheet>
</file>

<file path=xl/_rels/workbook.xml.rels>&#65279;<?xml version="1.0" encoding="utf-8"?><Relationships xmlns="http://schemas.openxmlformats.org/package/2006/relationships"><Relationship Id="rId6" Type="http://schemas.openxmlformats.org/officeDocument/2006/relationships/theme" Target="theme/theme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DZ3"/>
  <sheetViews>
    <sheetView workbookViewId="0"/>
  </sheetViews>
  <sheetFormatPr defaultRowHeight="15"/>
  <cols>
    <col min="1" max="130" width="20.7109375" customWidth="1"/>
  </cols>
  <sheetData>
    <row>
      <c r="B1">
        <v>4</v>
      </c>
    </row>
    <row r="3" ht="30">
      <c s="1" t="s">
        <v>246</v>
      </c>
      <c s="1" t="s">
        <v>247</v>
      </c>
      <c s="1" t="s">
        <v>20</v>
      </c>
      <c s="1" t="s">
        <v>248</v>
      </c>
      <c s="1" t="s">
        <v>249</v>
      </c>
      <c s="1" t="s">
        <v>22</v>
      </c>
      <c s="1" t="s">
        <v>250</v>
      </c>
      <c s="1" t="s">
        <v>251</v>
      </c>
      <c s="1" t="s">
        <v>252</v>
      </c>
      <c s="1" t="s">
        <v>253</v>
      </c>
      <c s="1" t="s">
        <v>254</v>
      </c>
      <c s="1" t="s">
        <v>255</v>
      </c>
      <c s="1" t="s">
        <v>256</v>
      </c>
      <c s="1" t="s">
        <v>257</v>
      </c>
      <c s="1" t="s">
        <v>258</v>
      </c>
      <c s="1" t="s">
        <v>259</v>
      </c>
      <c s="1" t="s">
        <v>260</v>
      </c>
      <c s="1" t="s">
        <v>261</v>
      </c>
      <c s="1" t="s">
        <v>262</v>
      </c>
      <c s="1" t="s">
        <v>263</v>
      </c>
      <c s="1" t="s">
        <v>266</v>
      </c>
      <c s="1" t="s">
        <v>267</v>
      </c>
      <c s="1" t="s">
        <v>268</v>
      </c>
      <c s="1" t="s">
        <v>269</v>
      </c>
      <c s="1" t="s">
        <v>270</v>
      </c>
      <c s="1" t="s">
        <v>271</v>
      </c>
      <c s="1" t="s">
        <v>272</v>
      </c>
      <c s="1" t="s">
        <v>273</v>
      </c>
      <c s="1" t="s">
        <v>274</v>
      </c>
      <c s="1" t="s">
        <v>275</v>
      </c>
      <c s="1" t="s">
        <v>276</v>
      </c>
      <c s="1" t="s">
        <v>277</v>
      </c>
      <c s="1" t="s">
        <v>278</v>
      </c>
      <c s="1" t="s">
        <v>279</v>
      </c>
      <c s="1" t="s">
        <v>280</v>
      </c>
      <c s="1" t="s">
        <v>281</v>
      </c>
      <c s="1" t="s">
        <v>282</v>
      </c>
      <c s="1" t="s">
        <v>283</v>
      </c>
      <c s="1" t="s">
        <v>284</v>
      </c>
      <c s="1" t="s">
        <v>285</v>
      </c>
      <c s="1" t="s">
        <v>286</v>
      </c>
      <c s="1" t="s">
        <v>287</v>
      </c>
      <c s="1" t="s">
        <v>288</v>
      </c>
      <c s="1" t="s">
        <v>289</v>
      </c>
      <c s="1" t="s">
        <v>290</v>
      </c>
      <c s="1" t="s">
        <v>291</v>
      </c>
      <c s="1" t="s">
        <v>292</v>
      </c>
      <c s="1" t="s">
        <v>264</v>
      </c>
      <c s="1" t="s">
        <v>265</v>
      </c>
      <c s="1" t="s">
        <v>293</v>
      </c>
      <c s="1" t="s">
        <v>294</v>
      </c>
      <c s="1" t="s">
        <v>295</v>
      </c>
      <c s="1" t="s">
        <v>47</v>
      </c>
      <c s="1" t="s">
        <v>48</v>
      </c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  <c s="1"/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JL10002"/>
  <sheetViews>
    <sheetView workbookViewId="0"/>
  </sheetViews>
  <sheetFormatPr defaultRowHeight="15"/>
  <cols>
    <col min="1" max="220" width="20.7109375" customWidth="1"/>
    <col min="221" max="221" width="20.7109375" style="54" customWidth="1"/>
    <col min="222" max="223" width="20.7109375" customWidth="1"/>
  </cols>
  <sheetData>
    <row>
      <c r="D1">
        <v>4</v>
      </c>
    </row>
    <row>
      <c r="JK2">
        <v>271</v>
      </c>
      <c>
        <v>4</v>
      </c>
    </row>
    <row ht="30">
      <c s="1" t="s">
        <v>20</v>
      </c>
      <c s="1" t="s">
        <v>21</v>
      </c>
      <c s="1" t="s">
        <v>22</v>
      </c>
      <c s="1" t="s">
        <v>23</v>
      </c>
      <c s="1" t="s">
        <v>24</v>
      </c>
      <c s="1" t="s">
        <v>25</v>
      </c>
      <c s="1" t="s">
        <v>26</v>
      </c>
      <c s="1" t="s">
        <v>27</v>
      </c>
      <c s="1" t="s">
        <v>28</v>
      </c>
      <c s="1" t="s">
        <v>29</v>
      </c>
      <c s="1" t="s">
        <v>30</v>
      </c>
      <c s="1" t="s">
        <v>31</v>
      </c>
      <c s="1" t="s">
        <v>32</v>
      </c>
      <c s="1" t="s">
        <v>33</v>
      </c>
      <c s="1" t="s">
        <v>34</v>
      </c>
      <c s="1" t="s">
        <v>35</v>
      </c>
      <c s="1" t="s">
        <v>36</v>
      </c>
      <c s="1" t="s">
        <v>37</v>
      </c>
      <c s="1" t="s">
        <v>38</v>
      </c>
      <c s="1" t="s">
        <v>39</v>
      </c>
      <c s="1" t="s">
        <v>40</v>
      </c>
      <c s="1" t="s">
        <v>41</v>
      </c>
      <c s="1" t="s">
        <v>42</v>
      </c>
      <c s="1" t="s">
        <v>43</v>
      </c>
      <c s="1" t="s">
        <v>44</v>
      </c>
      <c s="1" t="s">
        <v>45</v>
      </c>
      <c s="1" t="s">
        <v>50</v>
      </c>
      <c s="1" t="s">
        <v>51</v>
      </c>
      <c s="1" t="s">
        <v>52</v>
      </c>
      <c s="1" t="s">
        <v>53</v>
      </c>
      <c s="1" t="s">
        <v>54</v>
      </c>
      <c s="1" t="s">
        <v>55</v>
      </c>
      <c s="1" t="s">
        <v>56</v>
      </c>
      <c s="1" t="s">
        <v>57</v>
      </c>
      <c s="1" t="s">
        <v>58</v>
      </c>
      <c s="1" t="s">
        <v>59</v>
      </c>
      <c s="1" t="s">
        <v>60</v>
      </c>
      <c s="1" t="s">
        <v>61</v>
      </c>
      <c s="1" t="s">
        <v>62</v>
      </c>
      <c s="1" t="s">
        <v>63</v>
      </c>
      <c s="1" t="s">
        <v>64</v>
      </c>
      <c s="1" t="s">
        <v>65</v>
      </c>
      <c s="1" t="s">
        <v>66</v>
      </c>
      <c s="1" t="s">
        <v>67</v>
      </c>
      <c s="1" t="s">
        <v>68</v>
      </c>
      <c s="1" t="s">
        <v>69</v>
      </c>
      <c s="1" t="s">
        <v>70</v>
      </c>
      <c s="1" t="s">
        <v>71</v>
      </c>
      <c s="1" t="s">
        <v>72</v>
      </c>
      <c s="1" t="s">
        <v>73</v>
      </c>
      <c s="1" t="s">
        <v>74</v>
      </c>
      <c s="1" t="s">
        <v>75</v>
      </c>
      <c s="1" t="s">
        <v>76</v>
      </c>
      <c s="1" t="s">
        <v>77</v>
      </c>
      <c s="1" t="s">
        <v>78</v>
      </c>
      <c s="1" t="s">
        <v>79</v>
      </c>
      <c s="1" t="s">
        <v>80</v>
      </c>
      <c s="1" t="s">
        <v>81</v>
      </c>
      <c s="1" t="s">
        <v>82</v>
      </c>
      <c s="1" t="s">
        <v>83</v>
      </c>
      <c s="1" t="s">
        <v>84</v>
      </c>
      <c s="1" t="s">
        <v>85</v>
      </c>
      <c s="1" t="s">
        <v>86</v>
      </c>
      <c s="1" t="s">
        <v>87</v>
      </c>
      <c s="1" t="s">
        <v>88</v>
      </c>
      <c s="1" t="s">
        <v>89</v>
      </c>
      <c s="1" t="s">
        <v>90</v>
      </c>
      <c s="1" t="s">
        <v>91</v>
      </c>
      <c s="1" t="s">
        <v>92</v>
      </c>
      <c s="1" t="s">
        <v>93</v>
      </c>
      <c s="1" t="s">
        <v>94</v>
      </c>
      <c s="1" t="s">
        <v>95</v>
      </c>
      <c s="1" t="s">
        <v>96</v>
      </c>
      <c s="1" t="s">
        <v>97</v>
      </c>
      <c s="1" t="s">
        <v>98</v>
      </c>
      <c s="1" t="s">
        <v>99</v>
      </c>
      <c s="1" t="s">
        <v>100</v>
      </c>
      <c s="1" t="s">
        <v>101</v>
      </c>
      <c s="1" t="s">
        <v>102</v>
      </c>
      <c s="1" t="s">
        <v>103</v>
      </c>
      <c s="1" t="s">
        <v>104</v>
      </c>
      <c s="1" t="s">
        <v>105</v>
      </c>
      <c s="1" t="s">
        <v>106</v>
      </c>
      <c s="1" t="s">
        <v>107</v>
      </c>
      <c s="1" t="s">
        <v>108</v>
      </c>
      <c s="1" t="s">
        <v>109</v>
      </c>
      <c s="1" t="s">
        <v>110</v>
      </c>
      <c s="1" t="s">
        <v>111</v>
      </c>
      <c s="1" t="s">
        <v>112</v>
      </c>
      <c s="1" t="s">
        <v>113</v>
      </c>
      <c s="1" t="s">
        <v>114</v>
      </c>
      <c s="1" t="s">
        <v>115</v>
      </c>
      <c s="1" t="s">
        <v>116</v>
      </c>
      <c s="1" t="s">
        <v>117</v>
      </c>
      <c s="1" t="s">
        <v>118</v>
      </c>
      <c s="1" t="s">
        <v>119</v>
      </c>
      <c s="1" t="s">
        <v>120</v>
      </c>
      <c s="1" t="s">
        <v>121</v>
      </c>
      <c s="1" t="s">
        <v>122</v>
      </c>
      <c s="1" t="s">
        <v>123</v>
      </c>
      <c s="1" t="s">
        <v>124</v>
      </c>
      <c s="1" t="s">
        <v>125</v>
      </c>
      <c s="1" t="s">
        <v>126</v>
      </c>
      <c s="1" t="s">
        <v>127</v>
      </c>
      <c s="1" t="s">
        <v>128</v>
      </c>
      <c s="1" t="s">
        <v>129</v>
      </c>
      <c s="1" t="s">
        <v>130</v>
      </c>
      <c s="1" t="s">
        <v>131</v>
      </c>
      <c s="1" t="s">
        <v>132</v>
      </c>
      <c s="1" t="s">
        <v>133</v>
      </c>
      <c s="1" t="s">
        <v>134</v>
      </c>
      <c s="1" t="s">
        <v>135</v>
      </c>
      <c s="1" t="s">
        <v>136</v>
      </c>
      <c s="1" t="s">
        <v>137</v>
      </c>
      <c s="1" t="s">
        <v>138</v>
      </c>
      <c s="1" t="s">
        <v>139</v>
      </c>
      <c s="1" t="s">
        <v>140</v>
      </c>
      <c s="1" t="s">
        <v>141</v>
      </c>
      <c s="1" t="s">
        <v>142</v>
      </c>
      <c s="1" t="s">
        <v>143</v>
      </c>
      <c s="1" t="s">
        <v>144</v>
      </c>
      <c s="1" t="s">
        <v>145</v>
      </c>
      <c s="1" t="s">
        <v>146</v>
      </c>
      <c s="1" t="s">
        <v>147</v>
      </c>
      <c s="1" t="s">
        <v>148</v>
      </c>
      <c s="1" t="s">
        <v>149</v>
      </c>
      <c s="1" t="s">
        <v>150</v>
      </c>
      <c s="1" t="s">
        <v>151</v>
      </c>
      <c s="1" t="s">
        <v>152</v>
      </c>
      <c s="1" t="s">
        <v>153</v>
      </c>
      <c s="1" t="s">
        <v>154</v>
      </c>
      <c s="1" t="s">
        <v>155</v>
      </c>
      <c s="1" t="s">
        <v>156</v>
      </c>
      <c s="1" t="s">
        <v>157</v>
      </c>
      <c s="1" t="s">
        <v>158</v>
      </c>
      <c s="1" t="s">
        <v>159</v>
      </c>
      <c s="1" t="s">
        <v>160</v>
      </c>
      <c s="1" t="s">
        <v>161</v>
      </c>
      <c s="1" t="s">
        <v>162</v>
      </c>
      <c s="1" t="s">
        <v>163</v>
      </c>
      <c s="1" t="s">
        <v>164</v>
      </c>
      <c s="1" t="s">
        <v>165</v>
      </c>
      <c s="1" t="s">
        <v>166</v>
      </c>
      <c s="1" t="s">
        <v>167</v>
      </c>
      <c s="1" t="s">
        <v>168</v>
      </c>
      <c s="1" t="s">
        <v>169</v>
      </c>
      <c s="1" t="s">
        <v>170</v>
      </c>
      <c s="1" t="s">
        <v>171</v>
      </c>
      <c s="1" t="s">
        <v>172</v>
      </c>
      <c s="1" t="s">
        <v>173</v>
      </c>
      <c s="1" t="s">
        <v>174</v>
      </c>
      <c s="1" t="s">
        <v>175</v>
      </c>
      <c s="1" t="s">
        <v>176</v>
      </c>
      <c s="1" t="s">
        <v>177</v>
      </c>
      <c s="1" t="s">
        <v>178</v>
      </c>
      <c s="1" t="s">
        <v>179</v>
      </c>
      <c s="1" t="s">
        <v>180</v>
      </c>
      <c s="1" t="s">
        <v>181</v>
      </c>
      <c s="1" t="s">
        <v>182</v>
      </c>
      <c s="1" t="s">
        <v>183</v>
      </c>
      <c s="1" t="s">
        <v>184</v>
      </c>
      <c s="1" t="s">
        <v>185</v>
      </c>
      <c s="1" t="s">
        <v>186</v>
      </c>
      <c s="1" t="s">
        <v>187</v>
      </c>
      <c s="1" t="s">
        <v>188</v>
      </c>
      <c s="1" t="s">
        <v>189</v>
      </c>
      <c s="1" t="s">
        <v>190</v>
      </c>
      <c s="1" t="s">
        <v>191</v>
      </c>
      <c s="1" t="s">
        <v>192</v>
      </c>
      <c s="1" t="s">
        <v>193</v>
      </c>
      <c s="1" t="s">
        <v>194</v>
      </c>
      <c s="1" t="s">
        <v>195</v>
      </c>
      <c s="1" t="s">
        <v>196</v>
      </c>
      <c s="1" t="s">
        <v>197</v>
      </c>
      <c s="1" t="s">
        <v>198</v>
      </c>
      <c s="1" t="s">
        <v>199</v>
      </c>
      <c s="1" t="s">
        <v>200</v>
      </c>
      <c s="1" t="s">
        <v>201</v>
      </c>
      <c s="1" t="s">
        <v>202</v>
      </c>
      <c s="1" t="s">
        <v>203</v>
      </c>
      <c s="1" t="s">
        <v>204</v>
      </c>
      <c s="1" t="s">
        <v>205</v>
      </c>
      <c s="1" t="s">
        <v>206</v>
      </c>
      <c s="1" t="s">
        <v>207</v>
      </c>
      <c s="1" t="s">
        <v>208</v>
      </c>
      <c s="1" t="s">
        <v>209</v>
      </c>
      <c s="1" t="s">
        <v>210</v>
      </c>
      <c s="1" t="s">
        <v>211</v>
      </c>
      <c s="1" t="s">
        <v>212</v>
      </c>
      <c s="1" t="s">
        <v>213</v>
      </c>
      <c s="1" t="s">
        <v>214</v>
      </c>
      <c s="1" t="s">
        <v>215</v>
      </c>
      <c s="1" t="s">
        <v>216</v>
      </c>
      <c s="1" t="s">
        <v>217</v>
      </c>
      <c s="1" t="s">
        <v>218</v>
      </c>
      <c s="1" t="s">
        <v>219</v>
      </c>
      <c s="1" t="s">
        <v>220</v>
      </c>
      <c s="1" t="s">
        <v>221</v>
      </c>
      <c s="1" t="s">
        <v>222</v>
      </c>
      <c s="1" t="s">
        <v>223</v>
      </c>
      <c s="1" t="s">
        <v>224</v>
      </c>
      <c s="1" t="s">
        <v>225</v>
      </c>
      <c s="1" t="s">
        <v>226</v>
      </c>
      <c s="1" t="s">
        <v>227</v>
      </c>
      <c s="1" t="s">
        <v>228</v>
      </c>
      <c s="1" t="s">
        <v>229</v>
      </c>
      <c s="1" t="s">
        <v>230</v>
      </c>
      <c s="1" t="s">
        <v>231</v>
      </c>
      <c s="1" t="s">
        <v>232</v>
      </c>
      <c s="1" t="s">
        <v>233</v>
      </c>
      <c s="1" t="s">
        <v>234</v>
      </c>
      <c s="1" t="s">
        <v>235</v>
      </c>
      <c s="1" t="s">
        <v>236</v>
      </c>
      <c s="1" t="s">
        <v>237</v>
      </c>
      <c s="1" t="s">
        <v>238</v>
      </c>
      <c s="1" t="s">
        <v>239</v>
      </c>
      <c s="1" t="s">
        <v>244</v>
      </c>
      <c s="1" t="s">
        <v>245</v>
      </c>
      <c s="1"/>
      <c s="1" t="s">
        <v>46</v>
      </c>
      <c s="55"/>
      <c s="1" t="s">
        <v>47</v>
      </c>
      <c s="1" t="s">
        <v>48</v>
      </c>
      <c t="s">
        <v>49</v>
      </c>
      <c r="JK3" s="1" t="s">
        <v>240</v>
      </c>
      <c s="1" t="s">
        <v>241</v>
      </c>
    </row>
    <row r="10001">
      <c r="JK10001">
        <v>271</v>
      </c>
      <c>
        <v>10003</v>
      </c>
    </row>
    <row ht="45">
      <c r="JK10002" s="1" t="s">
        <v>242</v>
      </c>
      <c s="1" t="s">
        <v>243</v>
      </c>
    </row>
  </sheetData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244"/>
  <sheetViews>
    <sheetView tabSelected="1"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43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4"/>
      <c s="34"/>
      <c s="47"/>
      <c s="51" t="s">
        <v>15</v>
      </c>
      <c s="49"/>
      <c s="45"/>
    </row>
    <row>
      <c r="C3" s="34"/>
      <c s="34"/>
      <c s="47"/>
      <c s="51" t="s">
        <v>14</v>
      </c>
      <c s="49"/>
      <c s="45"/>
    </row>
    <row>
      <c r="C4" s="30"/>
      <c s="30"/>
      <c s="30"/>
      <c s="51" t="s">
        <v>300</v>
      </c>
      <c s="49"/>
      <c s="45"/>
    </row>
    <row>
      <c r="C5" s="30"/>
      <c s="30"/>
      <c s="30"/>
      <c s="56">
        <v>43862</v>
      </c>
      <c s="49"/>
      <c s="45"/>
    </row>
    <row r="7" thickBot="1">
      <c r="B7" s="14" t="s">
        <v>0</v>
      </c>
      <c s="19"/>
      <c s="19"/>
      <c s="28"/>
      <c s="28"/>
      <c s="53"/>
      <c s="8"/>
    </row>
    <row>
      <c r="B8" s="2"/>
      <c s="25" t="s">
        <v>6</v>
      </c>
      <c s="15"/>
      <c s="21"/>
      <c s="21"/>
      <c s="20"/>
      <c s="8"/>
    </row>
    <row s="5" customFormat="1">
      <c r="B9" s="2"/>
      <c s="9"/>
      <c s="3" t="s">
        <v>1</v>
      </c>
      <c s="3"/>
      <c s="3"/>
      <c s="11">
        <f>SUM(OSRRefG10x_0)</f>
        <v>14436288.210000001</v>
      </c>
      <c s="2"/>
    </row>
    <row outlineLevel="1" collapsed="1">
      <c r="B10" s="2"/>
      <c s="9"/>
      <c s="3"/>
      <c s="7" t="s">
        <v>313</v>
      </c>
      <c s="7"/>
      <c s="20">
        <f>SUM(OSRRefG11_0x_0)</f>
        <v>3385303.3799999999</v>
      </c>
      <c s="8"/>
    </row>
    <row ht="15" hidden="1" outlineLevel="2" s="13" customFormat="1">
      <c s="17"/>
      <c s="18"/>
      <c s="16"/>
      <c s="23"/>
      <c r="F11" s="4" t="str">
        <f>CONCATENATE("1101", " - ", "VAULT FUND")</f>
        <v>1101 - VAULT FUND</v>
      </c>
      <c s="12">
        <v>135768.81</v>
      </c>
      <c s="10"/>
    </row>
    <row ht="15" hidden="1" outlineLevel="2" s="13" customFormat="1">
      <c s="17"/>
      <c s="18"/>
      <c s="16"/>
      <c s="23"/>
      <c r="F12" s="4" t="str">
        <f>CONCATENATE("1102", " - ", "IMPREST FUND-FOOD SVC")</f>
        <v>1102 - IMPREST FUND-FOOD SVC</v>
      </c>
      <c s="12">
        <v>150</v>
      </c>
      <c s="10"/>
    </row>
    <row ht="15" hidden="1" outlineLevel="2" s="13" customFormat="1">
      <c s="17"/>
      <c s="18"/>
      <c s="16"/>
      <c s="23"/>
      <c r="F13" s="4" t="str">
        <f>CONCATENATE("1103", " - ", "IMPREST FUND-BOOKSTORE")</f>
        <v>1103 - IMPREST FUND-BOOKSTORE</v>
      </c>
      <c s="12">
        <v>1336</v>
      </c>
      <c s="10"/>
    </row>
    <row ht="15" hidden="1" outlineLevel="2" s="13" customFormat="1">
      <c s="17"/>
      <c s="18"/>
      <c s="16"/>
      <c s="23"/>
      <c r="F14" s="4" t="str">
        <f>CONCATENATE("1104", " - ", "PETTY CASH FUND")</f>
        <v>1104 - PETTY CASH FUND</v>
      </c>
      <c s="12">
        <v>2500</v>
      </c>
      <c s="10"/>
    </row>
    <row ht="15" hidden="1" outlineLevel="2" s="13" customFormat="1">
      <c s="17"/>
      <c s="18"/>
      <c s="16"/>
      <c s="23"/>
      <c r="F15" s="4" t="str">
        <f>CONCATENATE("1106", " - ", "CITY NATIONAL BANK-GEN. CKG.")</f>
        <v>1106 - CITY NATIONAL BANK-GEN. CKG.</v>
      </c>
      <c s="12">
        <v>1841254.8299999998</v>
      </c>
      <c s="10"/>
    </row>
    <row ht="15" hidden="1" outlineLevel="2" s="13" customFormat="1">
      <c s="17"/>
      <c s="18"/>
      <c s="16"/>
      <c s="23"/>
      <c r="F16" s="4" t="str">
        <f>CONCATENATE("1110", " - ", "CITY NATIONAL BANK-P/R ACCOUNT")</f>
        <v>1110 - CITY NATIONAL BANK-P/R ACCOUNT</v>
      </c>
      <c s="12">
        <v>-2807.6199999999999</v>
      </c>
      <c s="10"/>
    </row>
    <row ht="15" hidden="1" outlineLevel="2" s="13" customFormat="1">
      <c s="17"/>
      <c s="18"/>
      <c s="16"/>
      <c s="23"/>
      <c r="F17" s="4" t="str">
        <f>CONCATENATE("1111", " - ", "CITY NATIONAL BANK- LADDER ACC")</f>
        <v>1111 - CITY NATIONAL BANK- LADDER ACC</v>
      </c>
      <c s="12">
        <v>1407101.3599999999</v>
      </c>
      <c s="10"/>
    </row>
    <row outlineLevel="1" collapsed="1" s="29" customFormat="1">
      <c s="5"/>
      <c s="2"/>
      <c s="9"/>
      <c s="3"/>
      <c s="7" t="s">
        <v>314</v>
      </c>
      <c s="7"/>
      <c s="20">
        <f>SUM(OSRRefG11_1x_0)</f>
        <v>9815905.4000000004</v>
      </c>
      <c s="8"/>
    </row>
    <row ht="15" hidden="1" outlineLevel="2" s="13" customFormat="1">
      <c s="17"/>
      <c s="18"/>
      <c s="16"/>
      <c s="23"/>
      <c r="F19" s="4" t="str">
        <f>CONCATENATE("1112", " - ", "WELLS FARGO BANK-AC#04723-3500")</f>
        <v>1112 - WELLS FARGO BANK-AC#04723-3500</v>
      </c>
      <c s="12">
        <v>530262.14000000001</v>
      </c>
      <c s="10"/>
    </row>
    <row ht="15" hidden="1" outlineLevel="2" s="13" customFormat="1">
      <c s="17"/>
      <c s="18"/>
      <c s="16"/>
      <c s="23"/>
      <c r="F20" s="4" t="str">
        <f>CONCATENATE("1122", " - ", "SICK LEAVE RESERVES")</f>
        <v>1122 - SICK LEAVE RESERVES</v>
      </c>
      <c s="12">
        <v>768431.67000000004</v>
      </c>
      <c s="10"/>
    </row>
    <row ht="15" hidden="1" outlineLevel="2" s="13" customFormat="1">
      <c s="17"/>
      <c s="18"/>
      <c s="16"/>
      <c s="23"/>
      <c r="F21" s="4" t="str">
        <f>CONCATENATE("1125", " - ", "BEACH CLUB DEPOSITS")</f>
        <v>1125 - BEACH CLUB DEPOSITS</v>
      </c>
      <c s="12">
        <v>400000</v>
      </c>
      <c s="10"/>
    </row>
    <row ht="15" hidden="1" outlineLevel="2" s="13" customFormat="1">
      <c s="17"/>
      <c s="18"/>
      <c s="16"/>
      <c s="23"/>
      <c r="F22" s="4" t="str">
        <f>CONCATENATE("1126", " - ", "PERS UNFUNDED LIABILITY")</f>
        <v>1126 - PERS UNFUNDED LIABILITY</v>
      </c>
      <c s="12">
        <v>3539063.6199999996</v>
      </c>
      <c s="10"/>
    </row>
    <row ht="15" hidden="1" outlineLevel="2" s="13" customFormat="1">
      <c s="17"/>
      <c s="18"/>
      <c s="16"/>
      <c s="23"/>
      <c r="F23" s="4" t="str">
        <f>CONCATENATE("1128", " - ", "SRB FUNDING- OUTPOST")</f>
        <v>1128 - SRB FUNDING- OUTPOST</v>
      </c>
      <c s="12">
        <v>3178147.9700000002</v>
      </c>
      <c s="10"/>
    </row>
    <row ht="15" hidden="1" outlineLevel="2" s="13" customFormat="1">
      <c s="17"/>
      <c s="18"/>
      <c s="16"/>
      <c s="23"/>
      <c r="F24" s="4" t="str">
        <f>CONCATENATE("1129", " - ", "VEBA/POST RETIREMENT MEDICAL")</f>
        <v>1129 - VEBA/POST RETIREMENT MEDICAL</v>
      </c>
      <c s="12">
        <v>400000</v>
      </c>
      <c s="10"/>
    </row>
    <row ht="15" hidden="1" outlineLevel="2" s="13" customFormat="1">
      <c s="17"/>
      <c s="18"/>
      <c s="16"/>
      <c s="23"/>
      <c r="F25" s="4" t="str">
        <f>CONCATENATE("1130", " - ", "UDP REPAIR/REPLACEMENT")</f>
        <v>1130 - UDP REPAIR/REPLACEMENT</v>
      </c>
      <c s="12">
        <v>1000000</v>
      </c>
      <c s="10"/>
    </row>
    <row outlineLevel="1" collapsed="1" s="29" customFormat="1">
      <c s="5"/>
      <c s="2"/>
      <c s="9"/>
      <c s="3"/>
      <c s="7" t="s">
        <v>315</v>
      </c>
      <c s="7"/>
      <c s="20">
        <f>SUM(OSRRefG11_2x_0)</f>
        <v>1235079.4299999999</v>
      </c>
      <c s="8"/>
    </row>
    <row ht="15" hidden="1" outlineLevel="2" s="13" customFormat="1">
      <c s="17"/>
      <c s="18"/>
      <c s="16"/>
      <c s="23"/>
      <c r="F27" s="4" t="str">
        <f>CONCATENATE("1108", " - ", "INVESTMENTS - BROKERS")</f>
        <v>1108 - INVESTMENTS - BROKERS</v>
      </c>
      <c s="12">
        <v>155494.98000000001</v>
      </c>
      <c s="10"/>
    </row>
    <row ht="15" hidden="1" outlineLevel="2" s="13" customFormat="1">
      <c s="17"/>
      <c s="18"/>
      <c s="16"/>
      <c s="23"/>
      <c r="F28" s="4" t="str">
        <f>CONCATENATE("1109", " - ", "INVESTMENTS - BANKS")</f>
        <v>1109 - INVESTMENTS - BANKS</v>
      </c>
      <c s="12">
        <v>-855863.04000000004</v>
      </c>
      <c s="10"/>
    </row>
    <row ht="15" hidden="1" outlineLevel="2" s="13" customFormat="1">
      <c s="17"/>
      <c s="18"/>
      <c s="16"/>
      <c s="23"/>
      <c r="F29" s="4" t="str">
        <f>CONCATENATE("1118", " - ", "ALLOWANCE FOR FMV OF INVESTMEN")</f>
        <v>1118 - ALLOWANCE FOR FMV OF INVESTMEN</v>
      </c>
      <c s="12">
        <v>1935447.49</v>
      </c>
      <c s="10"/>
    </row>
    <row ht="8.25" customHeight="1">
      <c r="B30" s="2"/>
      <c s="9"/>
      <c s="3"/>
      <c s="7"/>
      <c s="7"/>
      <c s="20"/>
      <c s="8"/>
    </row>
    <row collapsed="1" s="5" customFormat="1">
      <c r="B31" s="2"/>
      <c s="9"/>
      <c s="3" t="s">
        <v>16</v>
      </c>
      <c s="3"/>
      <c s="3"/>
      <c s="11">
        <f>SUM(OSRRefG14x_0)</f>
        <v>1599641.4399999999</v>
      </c>
      <c s="2"/>
    </row>
    <row ht="15" hidden="1" outlineLevel="1" s="13" customFormat="1">
      <c s="17"/>
      <c s="18"/>
      <c s="16"/>
      <c s="23"/>
      <c s="4" t="str">
        <f>CONCATENATE("1210", " - ", "A/R - BOOKSTORE")</f>
        <v>1210 - A/R - BOOKSTORE</v>
      </c>
      <c s="4"/>
      <c s="12">
        <v>497757.75999999995</v>
      </c>
      <c s="10"/>
    </row>
    <row ht="15" hidden="1" outlineLevel="1" s="13" customFormat="1">
      <c s="17"/>
      <c s="18"/>
      <c s="16"/>
      <c s="23"/>
      <c s="4" t="str">
        <f>CONCATENATE("1211", " - ", "A/R - REBATE RECEIVABLE")</f>
        <v>1211 - A/R - REBATE RECEIVABLE</v>
      </c>
      <c s="4"/>
      <c s="12">
        <v>542674.76000000001</v>
      </c>
      <c s="10"/>
    </row>
    <row ht="15" hidden="1" outlineLevel="1" s="13" customFormat="1">
      <c s="17"/>
      <c s="18"/>
      <c s="16"/>
      <c s="23"/>
      <c s="4" t="str">
        <f>CONCATENATE("1212", " - ", "A/R - TAPINGO SALES")</f>
        <v>1212 - A/R - TAPINGO SALES</v>
      </c>
      <c s="4"/>
      <c s="12">
        <v>45024.620000000003</v>
      </c>
      <c s="10"/>
    </row>
    <row ht="15" hidden="1" outlineLevel="1" s="13" customFormat="1">
      <c s="17"/>
      <c s="18"/>
      <c s="16"/>
      <c s="23"/>
      <c s="4" t="str">
        <f>CONCATENATE("1215", " - ", "A/R - OFFSET BOOKSTORE")</f>
        <v>1215 - A/R - OFFSET BOOKSTORE</v>
      </c>
      <c s="4"/>
      <c s="12">
        <v>2511.9299999999998</v>
      </c>
      <c s="10"/>
    </row>
    <row ht="15" hidden="1" outlineLevel="1" s="13" customFormat="1">
      <c s="17"/>
      <c s="18"/>
      <c s="16"/>
      <c s="23"/>
      <c s="4" t="str">
        <f>CONCATENATE("1220", " - ", "A/R - FOOD SERVICE")</f>
        <v>1220 - A/R - FOOD SERVICE</v>
      </c>
      <c s="4"/>
      <c s="12">
        <v>0</v>
      </c>
      <c s="10"/>
    </row>
    <row ht="15" hidden="1" outlineLevel="1" s="13" customFormat="1">
      <c s="17"/>
      <c s="18"/>
      <c s="16"/>
      <c s="23"/>
      <c s="4" t="str">
        <f>CONCATENATE("1222", " - ", "A/R - VENDOR/LEASEE")</f>
        <v>1222 - A/R - VENDOR/LEASEE</v>
      </c>
      <c s="4"/>
      <c s="12">
        <v>3272.8600000000001</v>
      </c>
      <c s="10"/>
    </row>
    <row ht="15" hidden="1" outlineLevel="1" s="13" customFormat="1">
      <c s="17"/>
      <c s="18"/>
      <c s="16"/>
      <c s="23"/>
      <c s="4" t="str">
        <f>CONCATENATE("1225", " - ", "A/R - OFFSET FOOD SERVICE")</f>
        <v>1225 - A/R - OFFSET FOOD SERVICE</v>
      </c>
      <c s="4"/>
      <c s="12">
        <v>-16640.310000000001</v>
      </c>
      <c s="10"/>
    </row>
    <row ht="15" hidden="1" outlineLevel="1" s="13" customFormat="1">
      <c s="17"/>
      <c s="18"/>
      <c s="16"/>
      <c s="23"/>
      <c s="4" t="str">
        <f>CONCATENATE("1240", " - ", "A/R - NSF CHECKS")</f>
        <v>1240 - A/R - NSF CHECKS</v>
      </c>
      <c s="4"/>
      <c s="12">
        <v>422.49000000000001</v>
      </c>
      <c s="10"/>
    </row>
    <row ht="15" hidden="1" outlineLevel="1" s="13" customFormat="1">
      <c s="17"/>
      <c s="18"/>
      <c s="16"/>
      <c s="23"/>
      <c s="4" t="str">
        <f>CONCATENATE("1250", " - ", "A/R - DORMS")</f>
        <v>1250 - A/R - DORMS</v>
      </c>
      <c s="4"/>
      <c s="12">
        <v>226274.10000000001</v>
      </c>
      <c s="10"/>
    </row>
    <row ht="15" hidden="1" outlineLevel="1" s="13" customFormat="1">
      <c s="17"/>
      <c s="18"/>
      <c s="16"/>
      <c s="23"/>
      <c s="4" t="str">
        <f>CONCATENATE("1254", " - ", "A/R - ONE CARD SYSTEM")</f>
        <v>1254 - A/R - ONE CARD SYSTEM</v>
      </c>
      <c s="4"/>
      <c s="12">
        <v>22106</v>
      </c>
      <c s="10"/>
    </row>
    <row ht="15" hidden="1" outlineLevel="1" s="13" customFormat="1">
      <c s="17"/>
      <c s="18"/>
      <c s="16"/>
      <c s="23"/>
      <c s="4" t="str">
        <f>CONCATENATE("1255", " - ", "A/R - UNIV STUDENT UNION")</f>
        <v>1255 - A/R - UNIV STUDENT UNION</v>
      </c>
      <c s="4"/>
      <c s="12">
        <v>-1.01</v>
      </c>
      <c s="10"/>
    </row>
    <row ht="15" hidden="1" outlineLevel="1" s="13" customFormat="1">
      <c s="17"/>
      <c s="18"/>
      <c s="16"/>
      <c s="23"/>
      <c s="4" t="str">
        <f>CONCATENATE("1260", " - ", "A/R - M/C - VISA DRAFTS")</f>
        <v>1260 - A/R - M/C - VISA DRAFTS</v>
      </c>
      <c s="4"/>
      <c s="12">
        <v>180699.60999999999</v>
      </c>
      <c s="10"/>
    </row>
    <row ht="15" hidden="1" outlineLevel="1" s="13" customFormat="1">
      <c s="17"/>
      <c s="18"/>
      <c s="16"/>
      <c s="23"/>
      <c s="4" t="str">
        <f>CONCATENATE("1261", " - ", "A/R - WEBSITE CREDIT CARDS")</f>
        <v>1261 - A/R - WEBSITE CREDIT CARDS</v>
      </c>
      <c s="4"/>
      <c s="12">
        <v>87712.589999999997</v>
      </c>
      <c s="10"/>
    </row>
    <row ht="15" hidden="1" outlineLevel="1" s="13" customFormat="1">
      <c s="17"/>
      <c s="18"/>
      <c s="16"/>
      <c s="23"/>
      <c s="4" t="str">
        <f>CONCATENATE("1262", " - ", "A/R - STARBUCKS GIFT CARD")</f>
        <v>1262 - A/R - STARBUCKS GIFT CARD</v>
      </c>
      <c s="4"/>
      <c s="12">
        <v>3608.9000000000001</v>
      </c>
      <c s="10"/>
    </row>
    <row ht="15" hidden="1" outlineLevel="1" s="13" customFormat="1">
      <c s="17"/>
      <c s="18"/>
      <c s="16"/>
      <c s="23"/>
      <c s="4" t="str">
        <f>CONCATENATE("1271", " - ", "A/R - C.S.C.")</f>
        <v>1271 - A/R - C.S.C.</v>
      </c>
      <c s="4"/>
      <c s="12">
        <v>161.41</v>
      </c>
      <c s="10"/>
    </row>
    <row ht="15" hidden="1" outlineLevel="1" s="13" customFormat="1">
      <c s="17"/>
      <c s="18"/>
      <c s="16"/>
      <c s="23"/>
      <c s="4" t="str">
        <f>CONCATENATE("1275", " - ", "A/R - BEACH BUCKS")</f>
        <v>1275 - A/R - BEACH BUCKS</v>
      </c>
      <c s="4"/>
      <c s="12">
        <v>0</v>
      </c>
      <c s="10"/>
    </row>
    <row ht="15" hidden="1" outlineLevel="1" s="13" customFormat="1">
      <c s="17"/>
      <c s="18"/>
      <c s="16"/>
      <c s="23"/>
      <c s="4" t="str">
        <f>CONCATENATE("1285", " - ", "A/R - ADVANCES")</f>
        <v>1285 - A/R - ADVANCES</v>
      </c>
      <c s="4"/>
      <c s="12">
        <v>0</v>
      </c>
      <c s="10"/>
    </row>
    <row ht="15" hidden="1" outlineLevel="1" s="13" customFormat="1">
      <c s="17"/>
      <c s="18"/>
      <c s="16"/>
      <c s="23"/>
      <c s="4" t="str">
        <f>CONCATENATE("1286", " - ", "A/R - EMPLOYEES")</f>
        <v>1286 - A/R - EMPLOYEES</v>
      </c>
      <c s="4"/>
      <c s="12">
        <v>3287.8000000000002</v>
      </c>
      <c s="10"/>
    </row>
    <row ht="15" hidden="1" outlineLevel="1" s="13" customFormat="1">
      <c s="17"/>
      <c s="18"/>
      <c s="16"/>
      <c s="23"/>
      <c s="4" t="str">
        <f>CONCATENATE("1287", " - ", "A/R - EMPLOYEES SAFETY SHOES")</f>
        <v>1287 - A/R - EMPLOYEES SAFETY SHOES</v>
      </c>
      <c s="4"/>
      <c s="12">
        <v>767.92999999999995</v>
      </c>
      <c s="10"/>
    </row>
    <row ht="15" hidden="1" outlineLevel="1" s="13" customFormat="1">
      <c s="17"/>
      <c s="18"/>
      <c s="16"/>
      <c s="23"/>
      <c s="4" t="str">
        <f>CONCATENATE("3296", " - ", "A/R - INTERFUND - CONTINGENCY")</f>
        <v>3296 - A/R - INTERFUND - CONTINGENCY</v>
      </c>
      <c s="4"/>
      <c s="12">
        <v>-167269.59</v>
      </c>
      <c s="10"/>
    </row>
    <row ht="15" hidden="1" outlineLevel="1" s="13" customFormat="1">
      <c s="17"/>
      <c s="18"/>
      <c s="16"/>
      <c s="23"/>
      <c s="4" t="str">
        <f>CONCATENATE("3590", " - ", "INTERFUND ACCOUNT-CONTINGENCY")</f>
        <v>3590 - INTERFUND ACCOUNT-CONTINGENCY</v>
      </c>
      <c s="4"/>
      <c s="12">
        <v>167269.59</v>
      </c>
      <c s="10"/>
    </row>
    <row ht="8.25" customHeight="1">
      <c r="B53" s="2"/>
      <c s="9"/>
      <c s="3"/>
      <c s="7"/>
      <c s="7"/>
      <c s="20"/>
      <c s="8"/>
    </row>
    <row collapsed="1" s="5" customFormat="1">
      <c r="B54" s="2"/>
      <c s="9"/>
      <c s="3" t="s">
        <v>17</v>
      </c>
      <c s="3"/>
      <c s="3"/>
      <c s="11">
        <f>SUM(OSRRefG17x_0)</f>
        <v>3509205.6699999999</v>
      </c>
      <c s="2"/>
    </row>
    <row ht="15" hidden="1" outlineLevel="1" s="13" customFormat="1">
      <c s="17"/>
      <c s="18"/>
      <c s="16"/>
      <c s="4"/>
      <c s="4" t="str">
        <f>CONCATENATE("1301", " - ", "INVENTORY @ COST-NEW TEXT")</f>
        <v>1301 - INVENTORY @ COST-NEW TEXT</v>
      </c>
      <c s="4"/>
      <c s="12">
        <v>1409467</v>
      </c>
      <c s="10"/>
    </row>
    <row ht="15" hidden="1" outlineLevel="1" s="13" customFormat="1">
      <c s="17"/>
      <c s="18"/>
      <c s="16"/>
      <c s="4"/>
      <c s="4" t="str">
        <f>CONCATENATE("1302", " - ", "INVENTORY @ COST-USED TEXT")</f>
        <v>1302 - INVENTORY @ COST-USED TEXT</v>
      </c>
      <c s="4"/>
      <c s="12">
        <v>9600</v>
      </c>
      <c s="10"/>
    </row>
    <row ht="15" hidden="1" outlineLevel="1" s="13" customFormat="1">
      <c s="17"/>
      <c s="18"/>
      <c s="16"/>
      <c s="4"/>
      <c s="4" t="str">
        <f>CONCATENATE("1303", " - ", "INVENTORY @ COST-NEXT")</f>
        <v>1303 - INVENTORY @ COST-NEXT</v>
      </c>
      <c s="4"/>
      <c s="12">
        <v>-17161</v>
      </c>
      <c s="10"/>
    </row>
    <row ht="15" hidden="1" outlineLevel="1" s="13" customFormat="1">
      <c s="17"/>
      <c s="18"/>
      <c s="16"/>
      <c s="4"/>
      <c s="4" t="str">
        <f>CONCATENATE("1304", " - ", "INVENTORY @ COST-DIGITAL BOOKS")</f>
        <v>1304 - INVENTORY @ COST-DIGITAL BOOKS</v>
      </c>
      <c s="4"/>
      <c s="12">
        <v>287122</v>
      </c>
      <c s="10"/>
    </row>
    <row ht="15" hidden="1" outlineLevel="1" s="13" customFormat="1">
      <c s="17"/>
      <c s="18"/>
      <c s="16"/>
      <c s="4"/>
      <c s="4" t="str">
        <f>CONCATENATE("1311", " - ", "INVENTORY @ COST-NO VALUE TEXT")</f>
        <v>1311 - INVENTORY @ COST-NO VALUE TEXT</v>
      </c>
      <c s="4"/>
      <c s="12">
        <v>1853</v>
      </c>
      <c s="10"/>
    </row>
    <row ht="15" hidden="1" outlineLevel="1" s="13" customFormat="1">
      <c s="17"/>
      <c s="18"/>
      <c s="16"/>
      <c s="4"/>
      <c s="4" t="str">
        <f>CONCATENATE("1313", " - ", "INVENTORY @ COST-TRADE BOOKS")</f>
        <v>1313 - INVENTORY @ COST-TRADE BOOKS</v>
      </c>
      <c s="4"/>
      <c s="12">
        <v>5040</v>
      </c>
      <c s="10"/>
    </row>
    <row ht="15" hidden="1" outlineLevel="1" s="13" customFormat="1">
      <c s="17"/>
      <c s="18"/>
      <c s="16"/>
      <c s="4"/>
      <c s="4" t="str">
        <f>CONCATENATE("1314", " - ", "INVENTORY @ COST-REMAINDERS")</f>
        <v>1314 - INVENTORY @ COST-REMAINDERS</v>
      </c>
      <c s="4"/>
      <c s="12">
        <v>-90</v>
      </c>
      <c s="10"/>
    </row>
    <row ht="15" hidden="1" outlineLevel="1" s="13" customFormat="1">
      <c s="17"/>
      <c s="18"/>
      <c s="16"/>
      <c s="4"/>
      <c s="4" t="str">
        <f>CONCATENATE("1317", " - ", "INVENTORY @ COST-DORMS/HOUSEWA")</f>
        <v>1317 - INVENTORY @ COST-DORMS/HOUSEWA</v>
      </c>
      <c s="4"/>
      <c s="12">
        <v>-59</v>
      </c>
      <c s="10"/>
    </row>
    <row ht="15" hidden="1" outlineLevel="1" s="13" customFormat="1">
      <c s="17"/>
      <c s="18"/>
      <c s="16"/>
      <c s="4"/>
      <c s="4" t="str">
        <f>CONCATENATE("1318", " - ", "INVENTORY @ COST-STUDY GUIDES")</f>
        <v>1318 - INVENTORY @ COST-STUDY GUIDES</v>
      </c>
      <c s="4"/>
      <c s="12">
        <v>4481.5299999999997</v>
      </c>
      <c s="10"/>
    </row>
    <row ht="15" hidden="1" outlineLevel="1" s="13" customFormat="1">
      <c s="17"/>
      <c s="18"/>
      <c s="16"/>
      <c s="4"/>
      <c s="4" t="str">
        <f>CONCATENATE("1325", " - ", "INVENTORY @ COST-TEST FORMS")</f>
        <v>1325 - INVENTORY @ COST-TEST FORMS</v>
      </c>
      <c s="4"/>
      <c s="12">
        <v>18118</v>
      </c>
      <c s="10"/>
    </row>
    <row ht="15" hidden="1" outlineLevel="1" s="13" customFormat="1">
      <c s="17"/>
      <c s="18"/>
      <c s="16"/>
      <c s="4"/>
      <c s="4" t="str">
        <f>CONCATENATE("1326", " - ", "INVENTORY @ COST-WRITING INSTR")</f>
        <v>1326 - INVENTORY @ COST-WRITING INSTR</v>
      </c>
      <c s="4"/>
      <c s="12">
        <v>44556</v>
      </c>
      <c s="10"/>
    </row>
    <row ht="15" hidden="1" outlineLevel="1" s="13" customFormat="1">
      <c s="17"/>
      <c s="18"/>
      <c s="16"/>
      <c s="4"/>
      <c s="4" t="str">
        <f>CONCATENATE("1327", " - ", "INVENTORY @ COST-SCHOOL SUPPLI")</f>
        <v>1327 - INVENTORY @ COST-SCHOOL SUPPLI</v>
      </c>
      <c s="4"/>
      <c s="12">
        <v>67047</v>
      </c>
      <c s="10"/>
    </row>
    <row ht="15" hidden="1" outlineLevel="1" s="13" customFormat="1">
      <c s="17"/>
      <c s="18"/>
      <c s="16"/>
      <c s="4"/>
      <c s="4" t="str">
        <f>CONCATENATE("1328", " - ", "INVENTORY @ COST-ART/TECH")</f>
        <v>1328 - INVENTORY @ COST-ART/TECH</v>
      </c>
      <c s="4"/>
      <c s="12">
        <v>82349</v>
      </c>
      <c s="10"/>
    </row>
    <row ht="15" hidden="1" outlineLevel="1" s="13" customFormat="1">
      <c s="17"/>
      <c s="18"/>
      <c s="16"/>
      <c s="4"/>
      <c s="4" t="str">
        <f>CONCATENATE("1331", " - ", "INVENTORY @ COST-FOOD")</f>
        <v>1331 - INVENTORY @ COST-FOOD</v>
      </c>
      <c s="4"/>
      <c s="12">
        <v>194886.91</v>
      </c>
      <c s="10"/>
    </row>
    <row ht="15" hidden="1" outlineLevel="1" s="13" customFormat="1">
      <c s="17"/>
      <c s="18"/>
      <c s="16"/>
      <c s="4"/>
      <c s="4" t="str">
        <f>CONCATENATE("1332", " - ", "INVENTORY @ COST-JUICE")</f>
        <v>1332 - INVENTORY @ COST-JUICE</v>
      </c>
      <c s="4"/>
      <c s="12">
        <v>-531</v>
      </c>
      <c s="10"/>
    </row>
    <row ht="15" hidden="1" outlineLevel="1" s="13" customFormat="1">
      <c s="17"/>
      <c s="18"/>
      <c s="16"/>
      <c s="4"/>
      <c s="4" t="str">
        <f>CONCATENATE("1333", " - ", "INVENTORY @ COST-CANDY")</f>
        <v>1333 - INVENTORY @ COST-CANDY</v>
      </c>
      <c s="4"/>
      <c s="12">
        <v>2262</v>
      </c>
      <c s="10"/>
    </row>
    <row ht="15" hidden="1" outlineLevel="1" s="13" customFormat="1">
      <c s="17"/>
      <c s="18"/>
      <c s="16"/>
      <c s="4"/>
      <c s="4" t="str">
        <f>CONCATENATE("1334", " - ", "INVENTORY @ COST-SODA")</f>
        <v>1334 - INVENTORY @ COST-SODA</v>
      </c>
      <c s="4"/>
      <c s="12">
        <v>315</v>
      </c>
      <c s="10"/>
    </row>
    <row ht="15" hidden="1" outlineLevel="1" s="13" customFormat="1">
      <c s="17"/>
      <c s="18"/>
      <c s="16"/>
      <c s="4"/>
      <c s="4" t="str">
        <f>CONCATENATE("1335", " - ", "INVENTORY @ COST-HEALTH &amp; BEAU")</f>
        <v>1335 - INVENTORY @ COST-HEALTH &amp; BEAU</v>
      </c>
      <c s="4"/>
      <c s="12">
        <v>576</v>
      </c>
      <c s="10"/>
    </row>
    <row ht="15" hidden="1" outlineLevel="1" s="13" customFormat="1">
      <c s="17"/>
      <c s="18"/>
      <c s="16"/>
      <c s="4"/>
      <c s="4" t="str">
        <f>CONCATENATE("1337", " - ", "INVENTORY @ COST-WATER")</f>
        <v>1337 - INVENTORY @ COST-WATER</v>
      </c>
      <c s="4"/>
      <c s="12">
        <v>499</v>
      </c>
      <c s="10"/>
    </row>
    <row ht="15" hidden="1" outlineLevel="1" s="13" customFormat="1">
      <c s="17"/>
      <c s="18"/>
      <c s="16"/>
      <c s="4"/>
      <c s="4" t="str">
        <f>CONCATENATE("1340", " - ", "INVENTORY @ COST-LOGO CLOTHING")</f>
        <v>1340 - INVENTORY @ COST-LOGO CLOTHING</v>
      </c>
      <c s="4"/>
      <c s="12">
        <v>518881</v>
      </c>
      <c s="10"/>
    </row>
    <row ht="15" hidden="1" outlineLevel="1" s="13" customFormat="1">
      <c s="17"/>
      <c s="18"/>
      <c s="16"/>
      <c s="4"/>
      <c s="4" t="str">
        <f>CONCATENATE("1341", " - ", "INVENTORY @ COST-LOGO GIFTS")</f>
        <v>1341 - INVENTORY @ COST-LOGO GIFTS</v>
      </c>
      <c s="4"/>
      <c s="12">
        <v>172751</v>
      </c>
      <c s="10"/>
    </row>
    <row ht="15" hidden="1" outlineLevel="1" s="13" customFormat="1">
      <c s="17"/>
      <c s="18"/>
      <c s="16"/>
      <c s="4"/>
      <c s="4" t="str">
        <f>CONCATENATE("1342", " - ", "INVENTORY @ COST-EVERYDAY GIFT")</f>
        <v>1342 - INVENTORY @ COST-EVERYDAY GIFT</v>
      </c>
      <c s="4"/>
      <c s="12">
        <v>78719</v>
      </c>
      <c s="10"/>
    </row>
    <row ht="15" hidden="1" outlineLevel="1" s="13" customFormat="1">
      <c s="17"/>
      <c s="18"/>
      <c s="16"/>
      <c s="4"/>
      <c s="4" t="str">
        <f>CONCATENATE("1343", " - ", "INVENTORY @ COST-CARDS")</f>
        <v>1343 - INVENTORY @ COST-CARDS</v>
      </c>
      <c s="4"/>
      <c s="12">
        <v>-2342</v>
      </c>
      <c s="10"/>
    </row>
    <row ht="15" hidden="1" outlineLevel="1" s="13" customFormat="1">
      <c s="17"/>
      <c s="18"/>
      <c s="16"/>
      <c s="4"/>
      <c s="4" t="str">
        <f>CONCATENATE("1344", " - ", "INVENTORY @ COST-ACCESSORIES")</f>
        <v>1344 - INVENTORY @ COST-ACCESSORIES</v>
      </c>
      <c s="4"/>
      <c s="12">
        <v>17238</v>
      </c>
      <c s="10"/>
    </row>
    <row ht="15" hidden="1" outlineLevel="1" s="13" customFormat="1">
      <c s="17"/>
      <c s="18"/>
      <c s="16"/>
      <c s="4"/>
      <c s="4" t="str">
        <f>CONCATENATE("1345", " - ", "INVENTORY @ COST-SPECIAL ORDER")</f>
        <v>1345 - INVENTORY @ COST-SPECIAL ORDER</v>
      </c>
      <c s="4"/>
      <c s="12">
        <v>4760</v>
      </c>
      <c s="10"/>
    </row>
    <row ht="15" hidden="1" outlineLevel="1" s="13" customFormat="1">
      <c s="17"/>
      <c s="18"/>
      <c s="16"/>
      <c s="4"/>
      <c s="4" t="str">
        <f>CONCATENATE("1350", " - ", "INVENTORY @ COST-CAFETERIA")</f>
        <v>1350 - INVENTORY @ COST-CAFETERIA</v>
      </c>
      <c s="4"/>
      <c s="12">
        <v>155412.23000000001</v>
      </c>
      <c s="10"/>
    </row>
    <row ht="15" hidden="1" outlineLevel="1" s="13" customFormat="1">
      <c s="17"/>
      <c s="18"/>
      <c s="16"/>
      <c s="4"/>
      <c s="4" t="str">
        <f>CONCATENATE("1359", " - ", "INVENTORY @ COST-CARTS")</f>
        <v>1359 - INVENTORY @ COST-CARTS</v>
      </c>
      <c s="4"/>
      <c s="12">
        <v>40673</v>
      </c>
      <c s="10"/>
    </row>
    <row ht="15" hidden="1" outlineLevel="1" s="13" customFormat="1">
      <c s="17"/>
      <c s="18"/>
      <c s="16"/>
      <c s="4"/>
      <c s="4" t="str">
        <f>CONCATENATE("1370", " - ", "INVENTORY @ COST-HILLSIDE")</f>
        <v>1370 - INVENTORY @ COST-HILLSIDE</v>
      </c>
      <c s="4"/>
      <c s="12">
        <v>39137</v>
      </c>
      <c s="10"/>
    </row>
    <row ht="15" hidden="1" outlineLevel="1" s="13" customFormat="1">
      <c s="17"/>
      <c s="18"/>
      <c s="16"/>
      <c s="4"/>
      <c s="4" t="str">
        <f>CONCATENATE("1380", " - ", "INVENTORY @ COST-PARKSIDE COMM")</f>
        <v>1380 - INVENTORY @ COST-PARKSIDE COMM</v>
      </c>
      <c s="4"/>
      <c s="12">
        <v>41742</v>
      </c>
      <c s="10"/>
    </row>
    <row ht="15" hidden="1" outlineLevel="1" s="13" customFormat="1">
      <c s="17"/>
      <c s="18"/>
      <c s="16"/>
      <c s="4"/>
      <c s="4" t="str">
        <f>CONCATENATE("1381", " - ", "INVENTORY @ COST-ELECTRONICS")</f>
        <v>1381 - INVENTORY @ COST-ELECTRONICS</v>
      </c>
      <c s="4"/>
      <c s="12">
        <v>47411</v>
      </c>
      <c s="10"/>
    </row>
    <row ht="15" hidden="1" outlineLevel="1" s="13" customFormat="1">
      <c s="17"/>
      <c s="18"/>
      <c s="16"/>
      <c s="4"/>
      <c s="4" t="str">
        <f>CONCATENATE("1382", " - ", "INVENTORY @ COST-COMPUTER HARD")</f>
        <v>1382 - INVENTORY @ COST-COMPUTER HARD</v>
      </c>
      <c s="4"/>
      <c s="12">
        <v>182367</v>
      </c>
      <c s="10"/>
    </row>
    <row ht="15" hidden="1" outlineLevel="1" s="13" customFormat="1">
      <c s="17"/>
      <c s="18"/>
      <c s="16"/>
      <c s="4"/>
      <c s="4" t="str">
        <f>CONCATENATE("1383", " - ", "INVENTORY @ COST-COMPUTER EQUI")</f>
        <v>1383 - INVENTORY @ COST-COMPUTER EQUI</v>
      </c>
      <c s="4"/>
      <c s="12">
        <v>44036</v>
      </c>
      <c s="10"/>
    </row>
    <row ht="15" hidden="1" outlineLevel="1" s="13" customFormat="1">
      <c s="17"/>
      <c s="18"/>
      <c s="16"/>
      <c s="4"/>
      <c s="4" t="str">
        <f>CONCATENATE("1384", " - ", "INVENTORY @ COST-SOFTWARE LICE")</f>
        <v>1384 - INVENTORY @ COST-SOFTWARE LICE</v>
      </c>
      <c s="4"/>
      <c s="12">
        <v>4910</v>
      </c>
      <c s="10"/>
    </row>
    <row ht="15" hidden="1" outlineLevel="1" s="13" customFormat="1">
      <c s="17"/>
      <c s="18"/>
      <c s="16"/>
      <c s="4"/>
      <c s="4" t="str">
        <f>CONCATENATE("1385", " - ", "INVENTORY @ COST-COMPUTER SOFT")</f>
        <v>1385 - INVENTORY @ COST-COMPUTER SOFT</v>
      </c>
      <c s="4"/>
      <c s="12">
        <v>2603</v>
      </c>
      <c s="10"/>
    </row>
    <row ht="15" hidden="1" outlineLevel="1" s="13" customFormat="1">
      <c s="17"/>
      <c s="18"/>
      <c s="16"/>
      <c s="4"/>
      <c s="4" t="str">
        <f>CONCATENATE("1386", " - ", "INVENTORY @ COST-COMPUTER SUPP")</f>
        <v>1386 - INVENTORY @ COST-COMPUTER SUPP</v>
      </c>
      <c s="4"/>
      <c s="12">
        <v>20536</v>
      </c>
      <c s="10"/>
    </row>
    <row ht="15" hidden="1" outlineLevel="1" s="13" customFormat="1">
      <c s="17"/>
      <c s="18"/>
      <c s="16"/>
      <c s="4"/>
      <c s="4" t="str">
        <f>CONCATENATE("1388", " - ", "INVENTORY @ COST-MUSIC")</f>
        <v>1388 - INVENTORY @ COST-MUSIC</v>
      </c>
      <c s="4"/>
      <c s="12">
        <v>1882</v>
      </c>
      <c s="10"/>
    </row>
    <row ht="15" hidden="1" outlineLevel="1" s="13" customFormat="1">
      <c s="17"/>
      <c s="18"/>
      <c s="16"/>
      <c s="4"/>
      <c s="4" t="str">
        <f>CONCATENATE("1390", " - ", "INVENTORY @ COST- BEACHSIDE")</f>
        <v>1390 - INVENTORY @ COST- BEACHSIDE</v>
      </c>
      <c s="4"/>
      <c s="12">
        <v>23366</v>
      </c>
      <c s="10"/>
    </row>
    <row ht="15" hidden="1" outlineLevel="1" s="13" customFormat="1">
      <c s="17"/>
      <c s="18"/>
      <c s="16"/>
      <c s="4"/>
      <c s="4" t="str">
        <f>CONCATENATE("1392", " - ", "INVENTORY @ COST-GRAD MERCH")</f>
        <v>1392 - INVENTORY @ COST-GRAD MERCH</v>
      </c>
      <c s="4"/>
      <c s="12">
        <v>4775</v>
      </c>
      <c s="10"/>
    </row>
    <row ht="15" hidden="1" outlineLevel="1" s="13" customFormat="1">
      <c s="17"/>
      <c s="18"/>
      <c s="16"/>
      <c s="4"/>
      <c s="4" t="str">
        <f>CONCATENATE("1395", " - ", "INVENTORY @ COST-CUSTOMER SERV")</f>
        <v>1395 - INVENTORY @ COST-CUSTOMER SERV</v>
      </c>
      <c s="4"/>
      <c s="12">
        <v>17</v>
      </c>
      <c s="10"/>
    </row>
    <row ht="15" hidden="1" outlineLevel="1" s="13" customFormat="1">
      <c s="17"/>
      <c s="18"/>
      <c s="16"/>
      <c s="4"/>
      <c s="4" t="str">
        <f>CONCATENATE("7100", " - ", "INVENTORY @ RETAIL-CONTRA")</f>
        <v>7100 - INVENTORY @ RETAIL-CONTRA</v>
      </c>
      <c s="4"/>
      <c s="12">
        <v>-4771493</v>
      </c>
      <c s="10"/>
    </row>
    <row ht="15" hidden="1" outlineLevel="1" s="13" customFormat="1">
      <c s="17"/>
      <c s="18"/>
      <c s="16"/>
      <c s="4"/>
      <c s="4" t="str">
        <f>CONCATENATE("7101", " - ", "INVENTORY @ RETAIL-NEW TEXT")</f>
        <v>7101 - INVENTORY @ RETAIL-NEW TEXT</v>
      </c>
      <c s="4"/>
      <c s="12">
        <v>1835105</v>
      </c>
      <c s="10"/>
    </row>
    <row ht="15" hidden="1" outlineLevel="1" s="13" customFormat="1">
      <c s="17"/>
      <c s="18"/>
      <c s="16"/>
      <c s="4"/>
      <c s="4" t="str">
        <f>CONCATENATE("7102", " - ", "INVENTORY @ RETAIL-USED TEXT")</f>
        <v>7102 - INVENTORY @ RETAIL-USED TEXT</v>
      </c>
      <c s="4"/>
      <c s="12">
        <v>144990</v>
      </c>
      <c s="10"/>
    </row>
    <row ht="15" hidden="1" outlineLevel="1" s="13" customFormat="1">
      <c s="17"/>
      <c s="18"/>
      <c s="16"/>
      <c s="4"/>
      <c s="4" t="str">
        <f>CONCATENATE("7103", " - ", "INVENTORY @ RETAIL-RENTAL TEXT")</f>
        <v>7103 - INVENTORY @ RETAIL-RENTAL TEXT</v>
      </c>
      <c s="4"/>
      <c s="12">
        <v>-31398</v>
      </c>
      <c s="10"/>
    </row>
    <row ht="15" hidden="1" outlineLevel="1" s="13" customFormat="1">
      <c s="17"/>
      <c s="18"/>
      <c s="16"/>
      <c s="4"/>
      <c s="4" t="str">
        <f>CONCATENATE("7104", " - ", "INVENTORY @ RETAIL-DIGITAL TEX")</f>
        <v>7104 - INVENTORY @ RETAIL-DIGITAL TEX</v>
      </c>
      <c s="4"/>
      <c s="12">
        <v>163494</v>
      </c>
      <c s="10"/>
    </row>
    <row ht="15" hidden="1" outlineLevel="1" s="13" customFormat="1">
      <c s="17"/>
      <c s="18"/>
      <c s="16"/>
      <c s="4"/>
      <c s="4" t="str">
        <f>CONCATENATE("7111", " - ", "INVENTORY @ RETAIL-NO VALUE TE")</f>
        <v>7111 - INVENTORY @ RETAIL-NO VALUE TE</v>
      </c>
      <c s="4"/>
      <c s="12">
        <v>77</v>
      </c>
      <c s="10"/>
    </row>
    <row ht="15" hidden="1" outlineLevel="1" s="13" customFormat="1">
      <c s="17"/>
      <c s="18"/>
      <c s="16"/>
      <c s="4"/>
      <c s="4" t="str">
        <f>CONCATENATE("7113", " - ", "INVENTORY @ RETAIL-TRADE BOOKS")</f>
        <v>7113 - INVENTORY @ RETAIL-TRADE BOOKS</v>
      </c>
      <c s="4"/>
      <c s="12">
        <v>8230</v>
      </c>
      <c s="10"/>
    </row>
    <row ht="15" hidden="1" outlineLevel="1" s="13" customFormat="1">
      <c s="17"/>
      <c s="18"/>
      <c s="16"/>
      <c s="4"/>
      <c s="4" t="str">
        <f>CONCATENATE("7114", " - ", "INVENTORY @ RETAIL-REMAINDERS")</f>
        <v>7114 - INVENTORY @ RETAIL-REMAINDERS</v>
      </c>
      <c s="4"/>
      <c s="12">
        <v>-111</v>
      </c>
      <c s="10"/>
    </row>
    <row ht="15" hidden="1" outlineLevel="1" s="13" customFormat="1">
      <c s="17"/>
      <c s="18"/>
      <c s="16"/>
      <c s="4"/>
      <c s="4" t="str">
        <f>CONCATENATE("7117", " - ", "INVENTORY @ RETAIL-DORM/HOUSEW")</f>
        <v>7117 - INVENTORY @ RETAIL-DORM/HOUSEW</v>
      </c>
      <c s="4"/>
      <c s="12">
        <v>-159</v>
      </c>
      <c s="10"/>
    </row>
    <row ht="15" hidden="1" outlineLevel="1" s="13" customFormat="1">
      <c s="17"/>
      <c s="18"/>
      <c s="16"/>
      <c s="4"/>
      <c s="4" t="str">
        <f>CONCATENATE("7118", " - ", "INVENTORY @ RETAIL-STUDY GUIDE")</f>
        <v>7118 - INVENTORY @ RETAIL-STUDY GUIDE</v>
      </c>
      <c s="4"/>
      <c s="12">
        <v>8409</v>
      </c>
      <c s="10"/>
    </row>
    <row ht="15" hidden="1" outlineLevel="1" s="13" customFormat="1">
      <c s="17"/>
      <c s="18"/>
      <c s="16"/>
      <c s="4"/>
      <c s="4" t="str">
        <f>CONCATENATE("7119", " - ", "INVENTORY @ RETAIL-BOOK RELATE")</f>
        <v>7119 - INVENTORY @ RETAIL-BOOK RELATE</v>
      </c>
      <c s="4"/>
      <c s="12">
        <v>-34</v>
      </c>
      <c s="10"/>
    </row>
    <row ht="15" hidden="1" outlineLevel="1" s="13" customFormat="1">
      <c s="17"/>
      <c s="18"/>
      <c s="16"/>
      <c s="4"/>
      <c s="4" t="str">
        <f>CONCATENATE("7125", " - ", "INVENTORY @ RETAIL-TEST FORMS")</f>
        <v>7125 - INVENTORY @ RETAIL-TEST FORMS</v>
      </c>
      <c s="4"/>
      <c s="12">
        <v>55128</v>
      </c>
      <c s="10"/>
    </row>
    <row ht="15" hidden="1" outlineLevel="1" s="13" customFormat="1">
      <c s="17"/>
      <c s="18"/>
      <c s="16"/>
      <c s="4"/>
      <c s="4" t="str">
        <f>CONCATENATE("7126", " - ", "INVENTORY @ RETAIL-WRITING INS")</f>
        <v>7126 - INVENTORY @ RETAIL-WRITING INS</v>
      </c>
      <c s="4"/>
      <c s="12">
        <v>73535</v>
      </c>
      <c s="10"/>
    </row>
    <row ht="15" hidden="1" outlineLevel="1" s="13" customFormat="1">
      <c s="17"/>
      <c s="18"/>
      <c s="16"/>
      <c s="4"/>
      <c s="4" t="str">
        <f>CONCATENATE("7127", " - ", "INVENTORY @ RETAIL-SCHOOL SUPP")</f>
        <v>7127 - INVENTORY @ RETAIL-SCHOOL SUPP</v>
      </c>
      <c s="4"/>
      <c s="12">
        <v>135932</v>
      </c>
      <c s="10"/>
    </row>
    <row ht="15" hidden="1" outlineLevel="1" s="13" customFormat="1">
      <c s="17"/>
      <c s="18"/>
      <c s="16"/>
      <c s="4"/>
      <c s="4" t="str">
        <f>CONCATENATE("7128", " - ", "INVENTORY @ RETAIL-ART/TECH")</f>
        <v>7128 - INVENTORY @ RETAIL-ART/TECH</v>
      </c>
      <c s="4"/>
      <c s="12">
        <v>153296</v>
      </c>
      <c s="10"/>
    </row>
    <row ht="15" hidden="1" outlineLevel="1" s="13" customFormat="1">
      <c s="17"/>
      <c s="18"/>
      <c s="16"/>
      <c s="4"/>
      <c s="4" t="str">
        <f>CONCATENATE("7131", " - ", "INVENTORY @ RETAIL-FOOD")</f>
        <v>7131 - INVENTORY @ RETAIL-FOOD</v>
      </c>
      <c s="4"/>
      <c s="12">
        <v>9615</v>
      </c>
      <c s="10"/>
    </row>
    <row ht="15" hidden="1" outlineLevel="1" s="13" customFormat="1">
      <c s="17"/>
      <c s="18"/>
      <c s="16"/>
      <c s="4"/>
      <c s="4" t="str">
        <f>CONCATENATE("7132", " - ", "INVENTORY @ RETAIL-JUICE")</f>
        <v>7132 - INVENTORY @ RETAIL-JUICE</v>
      </c>
      <c s="4"/>
      <c s="12">
        <v>-1653</v>
      </c>
      <c s="10"/>
    </row>
    <row ht="15" hidden="1" outlineLevel="1" s="13" customFormat="1">
      <c s="17"/>
      <c s="18"/>
      <c s="16"/>
      <c s="4"/>
      <c s="4" t="str">
        <f>CONCATENATE("7133", " - ", "INVENTORY @ RETAIL-CANDY")</f>
        <v>7133 - INVENTORY @ RETAIL-CANDY</v>
      </c>
      <c s="4"/>
      <c s="12">
        <v>4266</v>
      </c>
      <c s="10"/>
    </row>
    <row ht="15" hidden="1" outlineLevel="1" s="13" customFormat="1">
      <c s="17"/>
      <c s="18"/>
      <c s="16"/>
      <c s="4"/>
      <c s="4" t="str">
        <f>CONCATENATE("7134", " - ", "INVENTORY @ RETAIL-SODA")</f>
        <v>7134 - INVENTORY @ RETAIL-SODA</v>
      </c>
      <c s="4"/>
      <c s="12">
        <v>619</v>
      </c>
      <c s="10"/>
    </row>
    <row ht="15" hidden="1" outlineLevel="1" s="13" customFormat="1">
      <c s="17"/>
      <c s="18"/>
      <c s="16"/>
      <c s="4"/>
      <c s="4" t="str">
        <f>CONCATENATE("7135", " - ", "INVENTORY @ RETAIL-HEALTH &amp; BE")</f>
        <v>7135 - INVENTORY @ RETAIL-HEALTH &amp; BE</v>
      </c>
      <c s="4"/>
      <c s="12">
        <v>1210</v>
      </c>
      <c s="10"/>
    </row>
    <row ht="15" hidden="1" outlineLevel="1" s="13" customFormat="1">
      <c s="17"/>
      <c s="18"/>
      <c s="16"/>
      <c s="4"/>
      <c s="4" t="str">
        <f>CONCATENATE("7137", " - ", "INVENTORY @ RETAIL-WATER")</f>
        <v>7137 - INVENTORY @ RETAIL-WATER</v>
      </c>
      <c s="4"/>
      <c s="12">
        <v>992</v>
      </c>
      <c s="10"/>
    </row>
    <row ht="15" hidden="1" outlineLevel="1" s="13" customFormat="1">
      <c s="17"/>
      <c s="18"/>
      <c s="16"/>
      <c s="4"/>
      <c s="4" t="str">
        <f>CONCATENATE("7140", " - ", "INVENTORY @ RETAIL-LOGO CLOTHI")</f>
        <v>7140 - INVENTORY @ RETAIL-LOGO CLOTHI</v>
      </c>
      <c s="4"/>
      <c s="12">
        <v>1172558</v>
      </c>
      <c s="10"/>
    </row>
    <row ht="15" hidden="1" outlineLevel="1" s="13" customFormat="1">
      <c s="17"/>
      <c s="18"/>
      <c s="16"/>
      <c s="4"/>
      <c s="4" t="str">
        <f>CONCATENATE("7141", " - ", "INVENTORY @ RETAIL-LOGO GIFTS")</f>
        <v>7141 - INVENTORY @ RETAIL-LOGO GIFTS</v>
      </c>
      <c s="4"/>
      <c s="12">
        <v>385070</v>
      </c>
      <c s="10"/>
    </row>
    <row ht="15" hidden="1" outlineLevel="1" s="13" customFormat="1">
      <c s="17"/>
      <c s="18"/>
      <c s="16"/>
      <c s="4"/>
      <c s="4" t="str">
        <f>CONCATENATE("7142", " - ", "INVENTORY @ RETAIL-EVERYDAY GI")</f>
        <v>7142 - INVENTORY @ RETAIL-EVERYDAY GI</v>
      </c>
      <c s="4"/>
      <c s="12">
        <v>162958</v>
      </c>
      <c s="10"/>
    </row>
    <row ht="15" hidden="1" outlineLevel="1" s="13" customFormat="1">
      <c s="17"/>
      <c s="18"/>
      <c s="16"/>
      <c s="4"/>
      <c s="4" t="str">
        <f>CONCATENATE("7143", " - ", "INVENTORY @ RETAIL-CARDS")</f>
        <v>7143 - INVENTORY @ RETAIL-CARDS</v>
      </c>
      <c s="4"/>
      <c s="12">
        <v>2072</v>
      </c>
      <c s="10"/>
    </row>
    <row ht="15" hidden="1" outlineLevel="1" s="13" customFormat="1">
      <c s="17"/>
      <c s="18"/>
      <c s="16"/>
      <c s="4"/>
      <c s="4" t="str">
        <f>CONCATENATE("7144", " - ", "INVENTORY @ RETAIL-ACCESSORIES")</f>
        <v>7144 - INVENTORY @ RETAIL-ACCESSORIES</v>
      </c>
      <c s="4"/>
      <c s="12">
        <v>37628</v>
      </c>
      <c s="10"/>
    </row>
    <row ht="15" hidden="1" outlineLevel="1" s="13" customFormat="1">
      <c s="17"/>
      <c s="18"/>
      <c s="16"/>
      <c s="4"/>
      <c s="4" t="str">
        <f>CONCATENATE("7145", " - ", "INVENTORY @ RETAIL-SPECIAL ORD")</f>
        <v>7145 - INVENTORY @ RETAIL-SPECIAL ORD</v>
      </c>
      <c s="4"/>
      <c s="12">
        <v>7360</v>
      </c>
      <c s="10"/>
    </row>
    <row ht="15" hidden="1" outlineLevel="1" s="13" customFormat="1">
      <c s="17"/>
      <c s="18"/>
      <c s="16"/>
      <c s="4"/>
      <c s="4" t="str">
        <f>CONCATENATE("7181", " - ", "PURCHASES @ RETAIL-ELECTRONICS")</f>
        <v>7181 - PURCHASES @ RETAIL-ELECTRONICS</v>
      </c>
      <c s="4"/>
      <c s="12">
        <v>49653</v>
      </c>
      <c s="10"/>
    </row>
    <row ht="15" hidden="1" outlineLevel="1" s="13" customFormat="1">
      <c s="17"/>
      <c s="18"/>
      <c s="16"/>
      <c s="4"/>
      <c s="4" t="str">
        <f>CONCATENATE("7182", " - ", "INVENTORY @ RETAIL-COMPUTER HA")</f>
        <v>7182 - INVENTORY @ RETAIL-COMPUTER HA</v>
      </c>
      <c s="4"/>
      <c s="12">
        <v>277123</v>
      </c>
      <c s="10"/>
    </row>
    <row ht="15" hidden="1" outlineLevel="1" s="13" customFormat="1">
      <c s="17"/>
      <c s="18"/>
      <c s="16"/>
      <c s="4"/>
      <c s="4" t="str">
        <f>CONCATENATE("7183", " - ", "INVENTORY @ RETAIL-COMPUTER EQ")</f>
        <v>7183 - INVENTORY @ RETAIL-COMPUTER EQ</v>
      </c>
      <c s="4"/>
      <c s="12">
        <v>62336.999999999993</v>
      </c>
      <c s="10"/>
    </row>
    <row ht="15" hidden="1" outlineLevel="1" s="13" customFormat="1">
      <c s="17"/>
      <c s="18"/>
      <c s="16"/>
      <c s="4"/>
      <c s="4" t="str">
        <f>CONCATENATE("7184", " - ", "INVENTORY @ RETAIL-SOFTWARE LI")</f>
        <v>7184 - INVENTORY @ RETAIL-SOFTWARE LI</v>
      </c>
      <c s="4"/>
      <c s="12">
        <v>5697</v>
      </c>
      <c s="10"/>
    </row>
    <row ht="15" hidden="1" outlineLevel="1" s="13" customFormat="1">
      <c s="17"/>
      <c s="18"/>
      <c s="16"/>
      <c s="4"/>
      <c s="4" t="str">
        <f>CONCATENATE("7185", " - ", "INVENTORY @ RETAIL-SOFTWARE")</f>
        <v>7185 - INVENTORY @ RETAIL-SOFTWARE</v>
      </c>
      <c s="4"/>
      <c s="12">
        <v>3008</v>
      </c>
      <c s="10"/>
    </row>
    <row ht="15" hidden="1" outlineLevel="1" s="13" customFormat="1">
      <c s="17"/>
      <c s="18"/>
      <c s="16"/>
      <c s="4"/>
      <c s="4" t="str">
        <f>CONCATENATE("7186", " - ", "INVENTORY @ RETAIL-COMPUTER SU")</f>
        <v>7186 - INVENTORY @ RETAIL-COMPUTER SU</v>
      </c>
      <c s="4"/>
      <c s="12">
        <v>32343</v>
      </c>
      <c s="10"/>
    </row>
    <row ht="15" hidden="1" outlineLevel="1" s="13" customFormat="1">
      <c s="17"/>
      <c s="18"/>
      <c s="16"/>
      <c s="4"/>
      <c s="4" t="str">
        <f>CONCATENATE("7188", " - ", "INVENTORY @ RETAIL-MUSIC")</f>
        <v>7188 - INVENTORY @ RETAIL-MUSIC</v>
      </c>
      <c s="4"/>
      <c s="12">
        <v>2444</v>
      </c>
      <c s="10"/>
    </row>
    <row ht="15" hidden="1" outlineLevel="1" s="13" customFormat="1">
      <c s="17"/>
      <c s="18"/>
      <c s="16"/>
      <c s="4"/>
      <c s="4" t="str">
        <f>CONCATENATE("7192", " - ", "INVENTORY @ RETAIL-GRAD MERCH")</f>
        <v>7192 - INVENTORY @ RETAIL-GRAD MERCH</v>
      </c>
      <c s="4"/>
      <c s="12">
        <v>9831</v>
      </c>
      <c s="10"/>
    </row>
    <row ht="15" hidden="1" outlineLevel="1" s="13" customFormat="1">
      <c s="17"/>
      <c s="18"/>
      <c s="16"/>
      <c s="4"/>
      <c s="4" t="str">
        <f>CONCATENATE("7195", " - ", "INVENTORY @ RETAIL-CUSTOMER SE")</f>
        <v>7195 - INVENTORY @ RETAIL-CUSTOMER SE</v>
      </c>
      <c s="4"/>
      <c s="12">
        <v>-132</v>
      </c>
      <c s="10"/>
    </row>
    <row ht="8.25" customHeight="1">
      <c r="B130" s="2"/>
      <c s="9"/>
      <c s="3"/>
      <c s="7"/>
      <c s="7"/>
      <c s="20"/>
      <c s="8"/>
    </row>
    <row collapsed="1" s="5" customFormat="1">
      <c r="B131" s="2"/>
      <c s="9"/>
      <c s="3" t="s">
        <v>18</v>
      </c>
      <c s="3"/>
      <c s="3"/>
      <c s="11">
        <f>SUM(OSRRefG20x_0)</f>
        <v>119283.12</v>
      </c>
      <c s="2"/>
    </row>
    <row ht="15" hidden="1" outlineLevel="1" s="13" customFormat="1">
      <c s="17"/>
      <c s="18"/>
      <c s="16"/>
      <c s="23"/>
      <c s="4" t="str">
        <f>CONCATENATE("1410", " - ", "PREPAID-GENERAL INSURANCE")</f>
        <v>1410 - PREPAID-GENERAL INSURANCE</v>
      </c>
      <c s="4"/>
      <c s="12">
        <v>44784.950000000004</v>
      </c>
      <c s="10"/>
    </row>
    <row ht="15" hidden="1" outlineLevel="1" s="13" customFormat="1">
      <c s="17"/>
      <c s="18"/>
      <c s="16"/>
      <c s="23"/>
      <c s="4" t="str">
        <f>CONCATENATE("1418", " - ", "PREPAID-WORKERS COMP. INSURANC")</f>
        <v>1418 - PREPAID-WORKERS COMP. INSURANC</v>
      </c>
      <c s="4"/>
      <c s="12">
        <v>45526.239999999998</v>
      </c>
      <c s="10"/>
    </row>
    <row ht="15" hidden="1" outlineLevel="1" s="13" customFormat="1">
      <c s="17"/>
      <c s="18"/>
      <c s="16"/>
      <c s="23"/>
      <c s="4" t="str">
        <f>CONCATENATE("1432", " - ", "PREPAID EXPENSES")</f>
        <v>1432 - PREPAID EXPENSES</v>
      </c>
      <c s="4"/>
      <c s="12">
        <v>3844.4499999999998</v>
      </c>
      <c s="10"/>
    </row>
    <row ht="15" hidden="1" outlineLevel="1" s="13" customFormat="1">
      <c s="17"/>
      <c s="18"/>
      <c s="16"/>
      <c s="23"/>
      <c s="4" t="str">
        <f>CONCATENATE("1435", " - ", "PREP.PURCHASES-WHOLESALE BOOKS")</f>
        <v>1435 - PREP.PURCHASES-WHOLESALE BOOKS</v>
      </c>
      <c s="4"/>
      <c s="12">
        <v>25127.48</v>
      </c>
      <c s="10"/>
    </row>
    <row ht="8.25" customHeight="1">
      <c r="B136" s="2"/>
      <c s="9"/>
      <c s="3"/>
      <c s="7"/>
      <c s="7"/>
      <c s="20"/>
      <c s="8"/>
    </row>
    <row thickBot="1" s="5" customFormat="1">
      <c r="B137" s="2"/>
      <c s="24" t="s">
        <v>7</v>
      </c>
      <c s="6"/>
      <c s="6"/>
      <c s="6"/>
      <c s="26">
        <f>+G9+G31+G54+G131</f>
        <v>19664418.440000001</v>
      </c>
      <c s="2"/>
    </row>
    <row ht="8.25" customHeight="1" thickBot="1"/>
    <row>
      <c r="B139" s="2"/>
      <c s="25" t="s">
        <v>2</v>
      </c>
      <c s="15"/>
      <c s="21"/>
      <c s="21"/>
      <c s="37"/>
      <c s="8"/>
    </row>
    <row collapsed="1" s="5" customFormat="1">
      <c r="B140" s="2"/>
      <c s="9"/>
      <c s="3" t="s">
        <v>3</v>
      </c>
      <c s="3"/>
      <c s="3"/>
      <c s="11">
        <f>SUM(OSRRefG26x_0)</f>
        <v>27373074.550000001</v>
      </c>
      <c s="2"/>
    </row>
    <row ht="15" hidden="1" outlineLevel="1" s="13" customFormat="1">
      <c s="17"/>
      <c s="18"/>
      <c s="16"/>
      <c s="4"/>
      <c s="4" t="str">
        <f>CONCATENATE("1620", " - ", "CAPITAL IMPROVEMENTS-BOOKSTORE")</f>
        <v>1620 - CAPITAL IMPROVEMENTS-BOOKSTORE</v>
      </c>
      <c s="4"/>
      <c s="12">
        <v>24205.889999999999</v>
      </c>
      <c s="10"/>
    </row>
    <row ht="15" hidden="1" outlineLevel="1" s="13" customFormat="1">
      <c s="17"/>
      <c s="18"/>
      <c s="16"/>
      <c s="4"/>
      <c s="4" t="str">
        <f>CONCATENATE("1630", " - ", "CAPITAL IMPROVEMENTS-FOOD SVC.")</f>
        <v>1630 - CAPITAL IMPROVEMENTS-FOOD SVC.</v>
      </c>
      <c s="4"/>
      <c s="12">
        <v>224587.54000000001</v>
      </c>
      <c s="10"/>
    </row>
    <row ht="15" hidden="1" outlineLevel="1" s="13" customFormat="1">
      <c s="17"/>
      <c s="18"/>
      <c s="16"/>
      <c s="4"/>
      <c s="4" t="str">
        <f>CONCATENATE("1710", " - ", "FIXED ASSETS-BKSTR BLDG")</f>
        <v>1710 - FIXED ASSETS-BKSTR BLDG</v>
      </c>
      <c s="4"/>
      <c s="12">
        <v>7154220</v>
      </c>
      <c s="10"/>
    </row>
    <row ht="15" hidden="1" outlineLevel="1" s="13" customFormat="1">
      <c s="17"/>
      <c s="18"/>
      <c s="16"/>
      <c s="4"/>
      <c s="4" t="str">
        <f>CONCATENATE("1715", " - ", "FIXED ASSETS-VENDOR PARKING RE")</f>
        <v>1715 - FIXED ASSETS-VENDOR PARKING RE</v>
      </c>
      <c s="4"/>
      <c s="12">
        <v>37663.740000000005</v>
      </c>
      <c s="10"/>
    </row>
    <row ht="15" hidden="1" outlineLevel="1" s="13" customFormat="1">
      <c s="17"/>
      <c s="18"/>
      <c s="16"/>
      <c s="4"/>
      <c s="4" t="str">
        <f>CONCATENATE("1720", " - ", "FIXED ASSETS-FOOD SVC LEASEHOL")</f>
        <v>1720 - FIXED ASSETS-FOOD SVC LEASEHOL</v>
      </c>
      <c s="4"/>
      <c s="12">
        <v>12763092.469999999</v>
      </c>
      <c s="10"/>
    </row>
    <row ht="15" hidden="1" outlineLevel="1" s="13" customFormat="1">
      <c s="17"/>
      <c s="18"/>
      <c s="16"/>
      <c s="4"/>
      <c s="4" t="str">
        <f>CONCATENATE("1725", " - ", "FIXED ASSETS-ADMIN EQUIPMENT")</f>
        <v>1725 - FIXED ASSETS-ADMIN EQUIPMENT</v>
      </c>
      <c s="4"/>
      <c s="12">
        <v>916867.65000000002</v>
      </c>
      <c s="10"/>
    </row>
    <row ht="15" hidden="1" outlineLevel="1" s="13" customFormat="1">
      <c s="17"/>
      <c s="18"/>
      <c s="16"/>
      <c s="4"/>
      <c s="4" t="str">
        <f>CONCATENATE("1730", " - ", "FIXED ASSETS-BKSTR EQUIPMENT")</f>
        <v>1730 - FIXED ASSETS-BKSTR EQUIPMENT</v>
      </c>
      <c s="4"/>
      <c s="12">
        <v>2727429.27</v>
      </c>
      <c s="10"/>
    </row>
    <row ht="15" hidden="1" outlineLevel="1" s="13" customFormat="1">
      <c s="17"/>
      <c s="18"/>
      <c s="16"/>
      <c s="4"/>
      <c s="4" t="str">
        <f>CONCATENATE("1740", " - ", "FIXED ASSETS-FOOD SERVICE EQUI")</f>
        <v>1740 - FIXED ASSETS-FOOD SERVICE EQUI</v>
      </c>
      <c s="4"/>
      <c s="12">
        <v>3228676.0300000003</v>
      </c>
      <c s="10"/>
    </row>
    <row ht="15" hidden="1" outlineLevel="1" s="13" customFormat="1">
      <c s="17"/>
      <c s="18"/>
      <c s="16"/>
      <c s="4"/>
      <c s="4" t="str">
        <f>CONCATENATE("1750", " - ", "FIXED ASSETS-ADMIN FURN+FIXTUR")</f>
        <v>1750 - FIXED ASSETS-ADMIN FURN+FIXTUR</v>
      </c>
      <c s="4"/>
      <c s="12">
        <v>108112.53</v>
      </c>
      <c s="10"/>
    </row>
    <row ht="15" hidden="1" outlineLevel="1" s="13" customFormat="1">
      <c s="17"/>
      <c s="18"/>
      <c s="16"/>
      <c s="4"/>
      <c s="4" t="str">
        <f>CONCATENATE("1755", " - ", "FIXED ASSETS-BKSTR FURN+FIXTUR")</f>
        <v>1755 - FIXED ASSETS-BKSTR FURN+FIXTUR</v>
      </c>
      <c s="4"/>
      <c s="12">
        <v>123574.20000000001</v>
      </c>
      <c s="10"/>
    </row>
    <row ht="15" hidden="1" outlineLevel="1" s="13" customFormat="1">
      <c s="17"/>
      <c s="18"/>
      <c s="16"/>
      <c s="4"/>
      <c s="4" t="str">
        <f>CONCATENATE("1760", " - ", "FIXED ASSETS-FOOD SVC OFFICE E")</f>
        <v>1760 - FIXED ASSETS-FOOD SVC OFFICE E</v>
      </c>
      <c s="4"/>
      <c s="12">
        <v>17910.529999999999</v>
      </c>
      <c s="10"/>
    </row>
    <row ht="15" hidden="1" outlineLevel="1" s="13" customFormat="1">
      <c s="17"/>
      <c s="18"/>
      <c s="16"/>
      <c s="4"/>
      <c s="4" t="str">
        <f>CONCATENATE("1785", " - ", "FIXED ASSETS-BKSTR VEHICLES")</f>
        <v>1785 - FIXED ASSETS-BKSTR VEHICLES</v>
      </c>
      <c s="4"/>
      <c s="12">
        <v>10879.74</v>
      </c>
      <c s="10"/>
    </row>
    <row ht="15" hidden="1" outlineLevel="1" s="13" customFormat="1">
      <c s="17"/>
      <c s="18"/>
      <c s="16"/>
      <c s="4"/>
      <c s="4" t="str">
        <f>CONCATENATE("1790", " - ", "FIXED ASSETS-FOOD SVC VEHICLES")</f>
        <v>1790 - FIXED ASSETS-FOOD SVC VEHICLES</v>
      </c>
      <c s="4"/>
      <c s="12">
        <v>35854.959999999999</v>
      </c>
      <c s="10"/>
    </row>
    <row s="5" customFormat="1">
      <c r="B154" s="2"/>
      <c s="9"/>
      <c s="3" t="s">
        <v>4</v>
      </c>
      <c s="3"/>
      <c s="3"/>
      <c s="11">
        <v>-19936873</v>
      </c>
      <c s="2"/>
    </row>
    <row thickBot="1" s="5" customFormat="1">
      <c r="B155" s="2"/>
      <c s="24" t="s">
        <v>19</v>
      </c>
      <c s="6"/>
      <c s="6"/>
      <c s="6"/>
      <c s="26">
        <f>+G140+G154</f>
        <v>7436201.5500000007</v>
      </c>
      <c s="2"/>
    </row>
    <row ht="8.25" customHeight="1"/>
    <row thickBot="1" s="5" customFormat="1">
      <c r="B157" s="14" t="s">
        <v>5</v>
      </c>
      <c s="19"/>
      <c s="19"/>
      <c s="19"/>
      <c s="19"/>
      <c s="40">
        <f>+G137+G155</f>
        <v>27100619.990000002</v>
      </c>
      <c s="2"/>
    </row>
    <row thickTop="1" s="5" customFormat="1">
      <c r="G158" s="38"/>
    </row>
    <row thickBot="1" s="5" customFormat="1">
      <c r="B159" s="14" t="s">
        <v>296</v>
      </c>
      <c s="14"/>
      <c s="14"/>
      <c s="14"/>
      <c s="14"/>
      <c s="14"/>
      <c s="2"/>
    </row>
    <row s="5" customFormat="1">
      <c r="B160" s="2"/>
      <c s="25" t="s">
        <v>8</v>
      </c>
      <c s="15"/>
      <c s="15"/>
      <c s="15"/>
      <c s="31"/>
      <c s="2"/>
    </row>
    <row collapsed="1" s="5" customFormat="1">
      <c r="B161" s="2"/>
      <c s="9"/>
      <c s="3" t="s">
        <v>303</v>
      </c>
      <c s="3"/>
      <c s="3"/>
      <c s="11">
        <f>--1443309.28</f>
        <v>1443309.28</v>
      </c>
      <c s="2"/>
    </row>
    <row ht="15" hidden="1" outlineLevel="2" s="13" customFormat="1">
      <c s="17"/>
      <c s="18"/>
      <c s="16"/>
      <c s="23"/>
      <c s="4" t="str">
        <f>CONCATENATE("2000", " - ", "A/P - CLEARING")</f>
        <v>2000 - A/P - CLEARING</v>
      </c>
      <c r="G162" s="12">
        <f>0</f>
        <v>0</v>
      </c>
      <c s="10"/>
    </row>
    <row ht="15" hidden="1" outlineLevel="2" s="13" customFormat="1">
      <c s="17"/>
      <c s="18"/>
      <c s="16"/>
      <c s="23"/>
      <c s="4" t="str">
        <f>CONCATENATE("2001", " - ", "A/P - MERCHANDISE")</f>
        <v>2001 - A/P - MERCHANDISE</v>
      </c>
      <c r="G163" s="12">
        <f>--740237.58</f>
        <v>740237.57999999996</v>
      </c>
      <c s="10"/>
    </row>
    <row ht="15" hidden="1" outlineLevel="2" s="13" customFormat="1">
      <c s="17"/>
      <c s="18"/>
      <c s="16"/>
      <c s="23"/>
      <c s="4" t="str">
        <f>CONCATENATE("2003", " - ", "A/P - FOOD SVC.")</f>
        <v>2003 - A/P - FOOD SVC.</v>
      </c>
      <c r="G164" s="12">
        <f>--369872.16</f>
        <v>369872.15999999997</v>
      </c>
      <c s="10"/>
    </row>
    <row ht="15" hidden="1" outlineLevel="2" s="13" customFormat="1">
      <c s="17"/>
      <c s="18"/>
      <c s="16"/>
      <c s="23"/>
      <c s="4" t="str">
        <f>CONCATENATE("2004", " - ", "A/P - GENERAL")</f>
        <v>2004 - A/P - GENERAL</v>
      </c>
      <c r="G165" s="12">
        <f>--347242.69</f>
        <v>347242.69</v>
      </c>
      <c s="10"/>
    </row>
    <row ht="15" hidden="1" outlineLevel="2" s="13" customFormat="1">
      <c s="17"/>
      <c s="18"/>
      <c s="16"/>
      <c s="23"/>
      <c s="4" t="str">
        <f>CONCATENATE("2013", " - ", "A/P - UNIVERSITY")</f>
        <v>2013 - A/P - UNIVERSITY</v>
      </c>
      <c r="G166" s="12">
        <f>-14189.75</f>
        <v>-14189.75</v>
      </c>
      <c s="10"/>
    </row>
    <row ht="15" hidden="1" outlineLevel="2" s="13" customFormat="1">
      <c s="17"/>
      <c s="18"/>
      <c s="16"/>
      <c s="23"/>
      <c s="4" t="str">
        <f>CONCATENATE("2015", " - ", "A/P - CUST.REFUNDS")</f>
        <v>2015 - A/P - CUST.REFUNDS</v>
      </c>
      <c r="G167" s="12">
        <f>--146.6</f>
        <v>146.59999999999999</v>
      </c>
      <c s="10"/>
    </row>
    <row collapsed="1" s="5" customFormat="1">
      <c r="B168" s="2"/>
      <c s="9"/>
      <c s="3" t="s">
        <v>304</v>
      </c>
      <c s="3"/>
      <c s="3"/>
      <c s="11">
        <f>--1963956.07</f>
        <v>1963956.0700000001</v>
      </c>
      <c s="2"/>
    </row>
    <row ht="15" hidden="1" outlineLevel="2" s="13" customFormat="1">
      <c s="17"/>
      <c s="18"/>
      <c s="16"/>
      <c s="23"/>
      <c s="4" t="str">
        <f>CONCATENATE("2231", " - ", "ACCRUED PAYROLL")</f>
        <v>2231 - ACCRUED PAYROLL</v>
      </c>
      <c r="G169" s="12">
        <f>--240858</f>
        <v>240858</v>
      </c>
      <c s="10"/>
    </row>
    <row ht="15" hidden="1" outlineLevel="2" s="13" customFormat="1">
      <c s="17"/>
      <c s="18"/>
      <c s="16"/>
      <c s="23"/>
      <c s="4" t="str">
        <f>CONCATENATE("2232", " - ", "ACCRUED VACATION")</f>
        <v>2232 - ACCRUED VACATION</v>
      </c>
      <c r="G170" s="12">
        <f>--513991.72</f>
        <v>513991.71999999997</v>
      </c>
      <c s="10"/>
    </row>
    <row ht="15" hidden="1" outlineLevel="2" s="13" customFormat="1">
      <c s="17"/>
      <c s="18"/>
      <c s="16"/>
      <c s="23"/>
      <c s="4" t="str">
        <f>CONCATENATE("2233", " - ", "ACCRUED SICK LEAVE")</f>
        <v>2233 - ACCRUED SICK LEAVE</v>
      </c>
      <c r="G171" s="12">
        <f>--727205.7</f>
        <v>727205.69999999995</v>
      </c>
      <c s="10"/>
    </row>
    <row ht="15" hidden="1" outlineLevel="2" s="13" customFormat="1">
      <c s="17"/>
      <c s="18"/>
      <c s="16"/>
      <c s="23"/>
      <c s="4" t="str">
        <f>CONCATENATE("2300", " - ", "SICK LEAVE PAYABLE")</f>
        <v>2300 - SICK LEAVE PAYABLE</v>
      </c>
      <c r="G172" s="12">
        <f>--481900.65</f>
        <v>481900.65000000002</v>
      </c>
      <c s="10"/>
    </row>
    <row collapsed="1" s="5" customFormat="1">
      <c r="B173" s="2"/>
      <c s="9"/>
      <c s="3" t="s">
        <v>305</v>
      </c>
      <c s="3"/>
      <c s="3"/>
      <c s="11">
        <f>--68921.28</f>
        <v>68921.279999999999</v>
      </c>
      <c s="2"/>
    </row>
    <row ht="15" hidden="1" outlineLevel="2" s="13" customFormat="1">
      <c s="17"/>
      <c s="18"/>
      <c s="16"/>
      <c s="23"/>
      <c s="4" t="str">
        <f>CONCATENATE("2219", " - ", "UNEMPLOYMENT INSURANCE")</f>
        <v>2219 - UNEMPLOYMENT INSURANCE</v>
      </c>
      <c r="G174" s="12">
        <f>--21701.58</f>
        <v>21701.580000000002</v>
      </c>
      <c s="10"/>
    </row>
    <row ht="15" hidden="1" outlineLevel="2" s="13" customFormat="1">
      <c s="17"/>
      <c s="18"/>
      <c s="16"/>
      <c s="23"/>
      <c s="4" t="str">
        <f>CONCATENATE("2221", " - ", "ACCRUED GROUP INSURANCE")</f>
        <v>2221 - ACCRUED GROUP INSURANCE</v>
      </c>
      <c r="G175" s="12">
        <f>-5331.41</f>
        <v>-5331.4099999999999</v>
      </c>
      <c s="10"/>
    </row>
    <row ht="15" hidden="1" outlineLevel="2" s="13" customFormat="1">
      <c s="17"/>
      <c s="18"/>
      <c s="16"/>
      <c s="23"/>
      <c s="4" t="str">
        <f>CONCATENATE("2222", " - ", "LIFE INSURANCE")</f>
        <v>2222 - LIFE INSURANCE</v>
      </c>
      <c r="G176" s="12">
        <f>--355.48</f>
        <v>355.48000000000002</v>
      </c>
      <c s="10"/>
    </row>
    <row ht="15" hidden="1" outlineLevel="2" s="13" customFormat="1">
      <c s="17"/>
      <c s="18"/>
      <c s="16"/>
      <c s="23"/>
      <c s="4" t="str">
        <f>CONCATENATE("2224", " - ", "MISCELLANEOUS INSURANCE")</f>
        <v>2224 - MISCELLANEOUS INSURANCE</v>
      </c>
      <c r="G177" s="12">
        <f>--3168</f>
        <v>3168</v>
      </c>
      <c s="10"/>
    </row>
    <row ht="15" hidden="1" outlineLevel="2" s="13" customFormat="1">
      <c s="17"/>
      <c s="18"/>
      <c s="16"/>
      <c s="23"/>
      <c s="4" t="str">
        <f>CONCATENATE("2225", " - ", "ACCRUED P.E.R.S.")</f>
        <v>2225 - ACCRUED P.E.R.S.</v>
      </c>
      <c r="G178" s="12">
        <f>--43554.47</f>
        <v>43554.470000000001</v>
      </c>
      <c s="10"/>
    </row>
    <row ht="15" hidden="1" outlineLevel="2" s="13" customFormat="1">
      <c s="17"/>
      <c s="18"/>
      <c s="16"/>
      <c s="23"/>
      <c s="4" t="str">
        <f>CONCATENATE("2229", " - ", "ACCRUED RETIREMENT STAFF HOURL")</f>
        <v>2229 - ACCRUED RETIREMENT STAFF HOURL</v>
      </c>
      <c r="G179" s="12">
        <f>--2170</f>
        <v>2170</v>
      </c>
      <c s="10"/>
    </row>
    <row ht="15" hidden="1" outlineLevel="2" s="13" customFormat="1">
      <c s="17"/>
      <c s="18"/>
      <c s="16"/>
      <c s="23"/>
      <c s="4" t="str">
        <f>CONCATENATE("2230", " - ", "P/R DEDUCTIONS-PARKING")</f>
        <v>2230 - P/R DEDUCTIONS-PARKING</v>
      </c>
      <c r="G180" s="12">
        <f>-4822.7</f>
        <v>-4822.6999999999998</v>
      </c>
      <c s="10"/>
    </row>
    <row ht="15" hidden="1" outlineLevel="2" s="13" customFormat="1">
      <c s="17"/>
      <c s="18"/>
      <c s="16"/>
      <c s="23"/>
      <c s="4" t="str">
        <f>CONCATENATE("2234", " - ", "ACCRUED FLEXIBLE BENEFITS")</f>
        <v>2234 - ACCRUED FLEXIBLE BENEFITS</v>
      </c>
      <c r="G181" s="12">
        <f>--8125.86</f>
        <v>8125.8599999999997</v>
      </c>
      <c s="10"/>
    </row>
    <row ht="15" hidden="1" outlineLevel="2" s="13" customFormat="1">
      <c s="17"/>
      <c s="18"/>
      <c s="16"/>
      <c s="23"/>
      <c s="4" t="str">
        <f>CONCATENATE("2235", " - ", "UNITED WAY-EMPL.CONTIBUTION")</f>
        <v>2235 - UNITED WAY-EMPL.CONTIBUTION</v>
      </c>
      <c r="G182" s="12">
        <f>0</f>
        <v>0</v>
      </c>
      <c s="10"/>
    </row>
    <row collapsed="1" s="5" customFormat="1">
      <c r="B183" s="2"/>
      <c s="9"/>
      <c s="3" t="s">
        <v>306</v>
      </c>
      <c s="3"/>
      <c s="3"/>
      <c s="11">
        <f>--215004.13</f>
        <v>215004.13</v>
      </c>
      <c s="2"/>
    </row>
    <row ht="15" hidden="1" outlineLevel="2" s="13" customFormat="1">
      <c s="17"/>
      <c s="18"/>
      <c s="16"/>
      <c s="23"/>
      <c s="4" t="str">
        <f>CONCATENATE("2111", " - ", "SALES TAX-BOOKSTORE")</f>
        <v>2111 - SALES TAX-BOOKSTORE</v>
      </c>
      <c r="G184" s="12">
        <f>--193630.59</f>
        <v>193630.59</v>
      </c>
      <c s="10"/>
    </row>
    <row ht="15" hidden="1" outlineLevel="2" s="13" customFormat="1">
      <c s="17"/>
      <c s="18"/>
      <c s="16"/>
      <c s="23"/>
      <c s="4" t="str">
        <f>CONCATENATE("2112", " - ", "SALES TAX-FOOD SERVICE")</f>
        <v>2112 - SALES TAX-FOOD SERVICE</v>
      </c>
      <c r="G185" s="12">
        <f>--20929.36</f>
        <v>20929.360000000001</v>
      </c>
      <c s="10"/>
    </row>
    <row ht="15" hidden="1" outlineLevel="2" s="13" customFormat="1">
      <c s="17"/>
      <c s="18"/>
      <c s="16"/>
      <c s="23"/>
      <c s="4" t="str">
        <f>CONCATENATE("2113", " - ", "USE TAX")</f>
        <v>2113 - USE TAX</v>
      </c>
      <c r="G186" s="12">
        <f>--50.18</f>
        <v>50.18</v>
      </c>
      <c s="10"/>
    </row>
    <row ht="15" hidden="1" outlineLevel="2" s="13" customFormat="1">
      <c s="17"/>
      <c s="18"/>
      <c s="16"/>
      <c s="23"/>
      <c s="4" t="str">
        <f>CONCATENATE("2114", " - ", "CA ELECT.WASTE RECYL.4-14 IN")</f>
        <v>2114 - CA ELECT.WASTE RECYL.4-14 IN</v>
      </c>
      <c r="G187" s="12">
        <f>--264</f>
        <v>264</v>
      </c>
      <c s="10"/>
    </row>
    <row ht="15" hidden="1" outlineLevel="2" s="13" customFormat="1">
      <c s="17"/>
      <c s="18"/>
      <c s="16"/>
      <c s="23"/>
      <c s="4" t="str">
        <f>CONCATENATE("2115", " - ", "CA ELECT.WASTE RECYL 15-34 IN")</f>
        <v>2115 - CA ELECT.WASTE RECYL 15-34 IN</v>
      </c>
      <c r="G188" s="12">
        <f>--130</f>
        <v>130</v>
      </c>
      <c s="10"/>
    </row>
    <row ht="15" hidden="1" outlineLevel="2" s="13" customFormat="1">
      <c s="17"/>
      <c s="18"/>
      <c s="16"/>
      <c s="23"/>
      <c s="4" t="str">
        <f>CONCATENATE("2116", " - ", "CA ELECT.WASTE RECYCL.35 IN+")</f>
        <v>2116 - CA ELECT.WASTE RECYCL.35 IN+</v>
      </c>
      <c r="G189" s="12">
        <f t="shared" si="0" ref="G189:G193">0</f>
        <v>0</v>
      </c>
      <c s="10"/>
    </row>
    <row ht="15" hidden="1" outlineLevel="2" s="13" customFormat="1">
      <c s="17"/>
      <c s="18"/>
      <c s="16"/>
      <c s="23"/>
      <c s="4" t="str">
        <f>CONCATENATE("2215", " - ", "ACCRUED FEDERAL WITHHOLDING TA")</f>
        <v>2215 - ACCRUED FEDERAL WITHHOLDING TA</v>
      </c>
      <c r="G190" s="12">
        <f t="shared" si="0"/>
        <v>0</v>
      </c>
      <c s="10"/>
    </row>
    <row ht="15" hidden="1" outlineLevel="2" s="13" customFormat="1">
      <c s="17"/>
      <c s="18"/>
      <c s="16"/>
      <c s="23"/>
      <c s="4" t="str">
        <f>CONCATENATE("2216", " - ", "ACCRUED F.I.C.A.")</f>
        <v>2216 - ACCRUED F.I.C.A.</v>
      </c>
      <c r="G191" s="12">
        <f t="shared" si="0"/>
        <v>0</v>
      </c>
      <c s="10"/>
    </row>
    <row ht="15" hidden="1" outlineLevel="2" s="13" customFormat="1">
      <c s="17"/>
      <c s="18"/>
      <c s="16"/>
      <c s="23"/>
      <c s="4" t="str">
        <f>CONCATENATE("2217", " - ", "STATE WITHHOLDING TAXES")</f>
        <v>2217 - STATE WITHHOLDING TAXES</v>
      </c>
      <c r="G192" s="12">
        <f t="shared" si="0"/>
        <v>0</v>
      </c>
      <c s="10"/>
    </row>
    <row ht="15" hidden="1" outlineLevel="2" s="13" customFormat="1">
      <c s="17"/>
      <c s="18"/>
      <c s="16"/>
      <c s="23"/>
      <c s="4" t="str">
        <f>CONCATENATE("2218", " - ", "STATE DISABILITY PAYABLE")</f>
        <v>2218 - STATE DISABILITY PAYABLE</v>
      </c>
      <c r="G193" s="12">
        <f t="shared" si="0"/>
        <v>0</v>
      </c>
      <c s="10"/>
    </row>
    <row collapsed="1" s="5" customFormat="1">
      <c r="B194" s="2"/>
      <c s="9"/>
      <c s="3" t="s">
        <v>307</v>
      </c>
      <c s="3"/>
      <c s="3"/>
      <c s="11">
        <f>--339940.99</f>
        <v>339940.98999999999</v>
      </c>
      <c s="2"/>
    </row>
    <row ht="15" hidden="1" outlineLevel="2" s="13" customFormat="1">
      <c s="17"/>
      <c s="18"/>
      <c s="16"/>
      <c s="23"/>
      <c s="4" t="str">
        <f>CONCATENATE("2422", " - ", """I DECLARE"" CAMPUS FUNDRAISING")</f>
        <v>2422 - "I DECLARE" CAMPUS FUNDRAISING</v>
      </c>
      <c r="G195" s="12">
        <f>--5</f>
        <v>5</v>
      </c>
      <c s="10"/>
    </row>
    <row ht="15" hidden="1" outlineLevel="2" s="13" customFormat="1">
      <c s="17"/>
      <c s="18"/>
      <c s="16"/>
      <c s="23"/>
      <c s="4" t="str">
        <f>CONCATENATE("2424", " - ", "CLEARING-ATHLETIC PROGRAM SALE")</f>
        <v>2424 - CLEARING-ATHLETIC PROGRAM SALE</v>
      </c>
      <c r="G196" s="12">
        <f>--100</f>
        <v>100</v>
      </c>
      <c s="10"/>
    </row>
    <row ht="15" hidden="1" outlineLevel="2" s="13" customFormat="1">
      <c s="17"/>
      <c s="18"/>
      <c s="16"/>
      <c s="23"/>
      <c s="4" t="str">
        <f>CONCATENATE("2425", " - ", "NBC REWARDS")</f>
        <v>2425 - NBC REWARDS</v>
      </c>
      <c r="G197" s="12">
        <f>--2663.85</f>
        <v>2663.8499999999999</v>
      </c>
      <c s="10"/>
    </row>
    <row ht="15" hidden="1" outlineLevel="2" s="13" customFormat="1">
      <c s="17"/>
      <c s="18"/>
      <c s="16"/>
      <c s="23"/>
      <c s="4" t="str">
        <f>CONCATENATE("2426", " - ", "UNCLEARED CKS/UNCLAIMED MONIES")</f>
        <v>2426 - UNCLEARED CKS/UNCLAIMED MONIES</v>
      </c>
      <c r="G198" s="12">
        <f>-3388.84</f>
        <v>-3388.8400000000001</v>
      </c>
      <c s="10"/>
    </row>
    <row ht="15" hidden="1" outlineLevel="2" s="13" customFormat="1">
      <c s="17"/>
      <c s="18"/>
      <c s="16"/>
      <c s="23"/>
      <c s="4" t="str">
        <f>CONCATENATE("2430", " - ", "CLEARING-REGAL ENT.MOVIE TKT.")</f>
        <v>2430 - CLEARING-REGAL ENT.MOVIE TKT.</v>
      </c>
      <c r="G199" s="12">
        <f>-292</f>
        <v>-292</v>
      </c>
      <c s="10"/>
    </row>
    <row ht="15" hidden="1" outlineLevel="2" s="13" customFormat="1">
      <c s="17"/>
      <c s="18"/>
      <c s="16"/>
      <c s="23"/>
      <c s="4" t="str">
        <f>CONCATENATE("2432", " - ", "CLEARING-AMC THEATRE TICKETS")</f>
        <v>2432 - CLEARING-AMC THEATRE TICKETS</v>
      </c>
      <c r="G200" s="12">
        <f>-2.5</f>
        <v>-2.5</v>
      </c>
      <c s="10"/>
    </row>
    <row ht="15" hidden="1" outlineLevel="2" s="13" customFormat="1">
      <c s="17"/>
      <c s="18"/>
      <c s="16"/>
      <c s="23"/>
      <c s="4" t="str">
        <f>CONCATENATE("2437", " - ", "CLEARING-CINEMARK MOVIE")</f>
        <v>2437 - CLEARING-CINEMARK MOVIE</v>
      </c>
      <c r="G201" s="12">
        <f>-1485</f>
        <v>-1485</v>
      </c>
      <c s="10"/>
    </row>
    <row ht="15" hidden="1" outlineLevel="2" s="13" customFormat="1">
      <c s="17"/>
      <c s="18"/>
      <c s="16"/>
      <c s="23"/>
      <c s="4" t="str">
        <f>CONCATENATE("2440", " - ", "CLEARING-A/R")</f>
        <v>2440 - CLEARING-A/R</v>
      </c>
      <c r="G202" s="12">
        <f>-62.49</f>
        <v>-62.490000000000002</v>
      </c>
      <c s="10"/>
    </row>
    <row ht="15" hidden="1" outlineLevel="2" s="13" customFormat="1">
      <c s="17"/>
      <c s="18"/>
      <c s="16"/>
      <c s="23"/>
      <c s="4" t="str">
        <f>CONCATENATE("2441", " - ", "DEPOSIT-BEACH CLUB")</f>
        <v>2441 - DEPOSIT-BEACH CLUB</v>
      </c>
      <c r="G203" s="12">
        <f>--371533.06</f>
        <v>371533.06</v>
      </c>
      <c s="10"/>
    </row>
    <row ht="15" hidden="1" outlineLevel="2" s="13" customFormat="1">
      <c s="17"/>
      <c s="18"/>
      <c s="16"/>
      <c s="23"/>
      <c s="4" t="str">
        <f>CONCATENATE("2447", " - ", "PROMO A/C DEPOSIT")</f>
        <v>2447 - PROMO A/C DEPOSIT</v>
      </c>
      <c r="G204" s="12">
        <f>--10960.89</f>
        <v>10960.889999999999</v>
      </c>
      <c s="10"/>
    </row>
    <row ht="15" hidden="1" outlineLevel="2" s="13" customFormat="1">
      <c s="17"/>
      <c s="18"/>
      <c s="16"/>
      <c s="23"/>
      <c s="4" t="str">
        <f>CONCATENATE("2448", " - ", "ACCRUED OVERPAYMENTS")</f>
        <v>2448 - ACCRUED OVERPAYMENTS</v>
      </c>
      <c r="G205" s="12">
        <f>0</f>
        <v>0</v>
      </c>
      <c s="10"/>
    </row>
    <row ht="15" hidden="1" outlineLevel="2" s="13" customFormat="1">
      <c s="17"/>
      <c s="18"/>
      <c s="16"/>
      <c s="23"/>
      <c s="4" t="str">
        <f>CONCATENATE("2449", " - ", "MISCELLANEOUS DEFERRED INCOME")</f>
        <v>2449 - MISCELLANEOUS DEFERRED INCOME</v>
      </c>
      <c r="G206" s="12">
        <f>-22003.52</f>
        <v>-22003.52</v>
      </c>
      <c s="10"/>
    </row>
    <row ht="15" hidden="1" outlineLevel="2" s="13" customFormat="1">
      <c s="17"/>
      <c s="18"/>
      <c s="16"/>
      <c s="23"/>
      <c s="4" t="str">
        <f>CONCATENATE("2450", " - ", "CLEARING-DESIGN DEPT-ACTIVITY")</f>
        <v>2450 - CLEARING-DESIGN DEPT-ACTIVITY</v>
      </c>
      <c r="G207" s="12">
        <f>-3</f>
        <v>-3</v>
      </c>
      <c s="10"/>
    </row>
    <row ht="15" hidden="1" outlineLevel="2" s="13" customFormat="1">
      <c s="17"/>
      <c s="18"/>
      <c s="16"/>
      <c s="23"/>
      <c s="4" t="str">
        <f>CONCATENATE("2454", " - ", "CLEARING-CARLS/EL POLLO/PANDA")</f>
        <v>2454 - CLEARING-CARLS/EL POLLO/PANDA</v>
      </c>
      <c r="G208" s="12">
        <f>-18.53</f>
        <v>-18.530000000000001</v>
      </c>
      <c s="10"/>
    </row>
    <row ht="15" hidden="1" outlineLevel="2" s="13" customFormat="1">
      <c s="17"/>
      <c s="18"/>
      <c s="16"/>
      <c s="23"/>
      <c s="4" t="str">
        <f>CONCATENATE("2455", " - ", "CLEARING-LIBRARY MICROFILMS")</f>
        <v>2455 - CLEARING-LIBRARY MICROFILMS</v>
      </c>
      <c r="G209" s="12">
        <f>-71</f>
        <v>-71</v>
      </c>
      <c s="10"/>
    </row>
    <row ht="15" hidden="1" outlineLevel="2" s="13" customFormat="1">
      <c s="17"/>
      <c s="18"/>
      <c s="16"/>
      <c s="23"/>
      <c s="4" t="str">
        <f>CONCATENATE("2456", " - ", "CLEARING-ART LAB")</f>
        <v>2456 - CLEARING-ART LAB</v>
      </c>
      <c r="G210" s="12">
        <f>-24</f>
        <v>-24</v>
      </c>
      <c s="10"/>
    </row>
    <row ht="15" hidden="1" outlineLevel="2" s="13" customFormat="1">
      <c s="17"/>
      <c s="18"/>
      <c s="16"/>
      <c s="23"/>
      <c s="4" t="str">
        <f>CONCATENATE("2460", " - ", "CLEARING-BOARD INCOME")</f>
        <v>2460 - CLEARING-BOARD INCOME</v>
      </c>
      <c r="G211" s="12">
        <f>-787605.43</f>
        <v>-787605.43000000005</v>
      </c>
      <c s="10"/>
    </row>
    <row ht="15" hidden="1" outlineLevel="2" s="13" customFormat="1">
      <c s="17"/>
      <c s="18"/>
      <c s="16"/>
      <c s="23"/>
      <c s="4" t="str">
        <f>CONCATENATE("2461", " - ", "CLEARING-PARKING FOR B/C")</f>
        <v>2461 - CLEARING-PARKING FOR B/C</v>
      </c>
      <c r="G212" s="12">
        <f>--187.54</f>
        <v>187.53999999999999</v>
      </c>
      <c s="10"/>
    </row>
    <row ht="15" hidden="1" outlineLevel="2" s="13" customFormat="1">
      <c s="17"/>
      <c s="18"/>
      <c s="16"/>
      <c s="23"/>
      <c s="4" t="str">
        <f>CONCATENATE("2462", " - ", "CLEARING-TEXTBOOK SCHOLARSHIP")</f>
        <v>2462 - CLEARING-TEXTBOOK SCHOLARSHIP</v>
      </c>
      <c r="G213" s="12">
        <f>--1365</f>
        <v>1365</v>
      </c>
      <c s="10"/>
    </row>
    <row ht="15" hidden="1" outlineLevel="2" s="13" customFormat="1">
      <c s="17"/>
      <c s="18"/>
      <c s="16"/>
      <c s="23"/>
      <c s="4" t="str">
        <f>CONCATENATE("2464", " - ", "CLEARING-SAS COMPUTER LAB")</f>
        <v>2464 - CLEARING-SAS COMPUTER LAB</v>
      </c>
      <c r="G214" s="12">
        <f>0</f>
        <v>0</v>
      </c>
      <c s="10"/>
    </row>
    <row ht="15" hidden="1" outlineLevel="2" s="13" customFormat="1">
      <c s="17"/>
      <c s="18"/>
      <c s="16"/>
      <c s="23"/>
      <c s="4" t="str">
        <f>CONCATENATE("2465", " - ", "CLEARING-LEARNING ASSISTANCE C")</f>
        <v>2465 - CLEARING-LEARNING ASSISTANCE C</v>
      </c>
      <c r="G215" s="12">
        <f>--3.2</f>
        <v>3.2000000000000002</v>
      </c>
      <c s="10"/>
    </row>
    <row ht="15" hidden="1" outlineLevel="2" s="13" customFormat="1">
      <c s="17"/>
      <c s="18"/>
      <c s="16"/>
      <c s="23"/>
      <c s="4" t="str">
        <f>CONCATENATE("2532", " - ", "ACCRUED LIAB.-THESIS BINDING/M")</f>
        <v>2532 - ACCRUED LIAB.-THESIS BINDING/M</v>
      </c>
      <c r="G216" s="12">
        <f>--107.21</f>
        <v>107.20999999999999</v>
      </c>
      <c s="10"/>
    </row>
    <row ht="15" hidden="1" outlineLevel="2" s="13" customFormat="1">
      <c s="17"/>
      <c s="18"/>
      <c s="16"/>
      <c s="23"/>
      <c s="4" t="str">
        <f>CONCATENATE("2537", " - ", "OTHER ACCRUED LIABILITIES")</f>
        <v>2537 - OTHER ACCRUED LIABILITIES</v>
      </c>
      <c r="G217" s="12">
        <f>--732521.55</f>
        <v>732521.55000000005</v>
      </c>
      <c s="10"/>
    </row>
    <row ht="15" hidden="1" outlineLevel="2" s="13" customFormat="1">
      <c s="17"/>
      <c s="18"/>
      <c s="16"/>
      <c s="23"/>
      <c s="4" t="str">
        <f>CONCATENATE("2538", " - ", "ACCRUED INVENTORY ADJUSTMENT")</f>
        <v>2538 - ACCRUED INVENTORY ADJUSTMENT</v>
      </c>
      <c r="G218" s="12">
        <f>--35450</f>
        <v>35450</v>
      </c>
      <c s="10"/>
    </row>
    <row ht="15" hidden="1" outlineLevel="2" s="13" customFormat="1">
      <c s="17"/>
      <c s="18"/>
      <c s="16"/>
      <c s="23"/>
      <c s="4" t="str">
        <f>CONCATENATE("3800", " - ", "RETAINED EARNINGS-OPERATIONS")</f>
        <v>3800 - RETAINED EARNINGS-OPERATIONS</v>
      </c>
      <c r="G219" s="12">
        <f>0</f>
        <v>0</v>
      </c>
      <c s="10"/>
    </row>
    <row thickBot="1" s="5" customFormat="1">
      <c r="B220" s="2"/>
      <c s="24" t="s">
        <v>9</v>
      </c>
      <c s="6"/>
      <c s="6"/>
      <c s="6"/>
      <c s="26">
        <f>SUM(OSRRefG34x_0)</f>
        <v>4031131.75</v>
      </c>
      <c s="2"/>
    </row>
    <row ht="8.25" customHeight="1" thickBot="1"/>
    <row>
      <c r="B222" s="2"/>
      <c s="25" t="s">
        <v>10</v>
      </c>
      <c s="15"/>
      <c s="21"/>
      <c s="21"/>
      <c s="37"/>
      <c s="8"/>
    </row>
    <row collapsed="1" s="5" customFormat="1">
      <c r="B223" s="2"/>
      <c s="9"/>
      <c s="3" t="s">
        <v>308</v>
      </c>
      <c s="3"/>
      <c s="3"/>
      <c s="11">
        <f>SUM(OSRRefG40_0x_0)</f>
        <v>829664.33999999997</v>
      </c>
      <c s="2"/>
    </row>
    <row ht="15" hidden="1" outlineLevel="1" s="13" customFormat="1">
      <c r="B224" s="10"/>
      <c s="41"/>
      <c s="4"/>
      <c s="4" t="str">
        <f>CONCATENATE("2739", " - ", "ACCRUED POST RETIREMENT BENEFI")</f>
        <v>2739 - ACCRUED POST RETIREMENT BENEFI</v>
      </c>
      <c s="4"/>
      <c s="12">
        <f>--829664.34</f>
        <v>829664.33999999997</v>
      </c>
      <c s="10"/>
    </row>
    <row collapsed="1" s="5" customFormat="1">
      <c r="B225" s="2"/>
      <c s="9"/>
      <c s="3" t="s">
        <v>309</v>
      </c>
      <c s="3"/>
      <c s="3"/>
      <c s="11">
        <f>SUM(OSRRefG40_1x_0)</f>
        <v>3178148.1000000001</v>
      </c>
      <c s="2"/>
    </row>
    <row ht="15" hidden="1" outlineLevel="1" s="13" customFormat="1">
      <c r="B226" s="10"/>
      <c s="41"/>
      <c s="4"/>
      <c s="4" t="str">
        <f>CONCATENATE("2303", " - ", "NOTES PAYABLE-CHANCELLORS OFFI")</f>
        <v>2303 - NOTES PAYABLE-CHANCELLORS OFFI</v>
      </c>
      <c s="4"/>
      <c s="12">
        <f>--3178148.1</f>
        <v>3178148.1000000001</v>
      </c>
      <c s="10"/>
    </row>
    <row collapsed="1" s="5" customFormat="1">
      <c r="B227" s="2"/>
      <c s="9"/>
      <c s="3" t="s">
        <v>310</v>
      </c>
      <c s="3"/>
      <c s="3"/>
      <c s="11">
        <f>SUM(OSRRefG40_2x_0)</f>
        <v>3539063.6200000001</v>
      </c>
      <c s="2"/>
    </row>
    <row ht="15" hidden="1" outlineLevel="1" s="13" customFormat="1">
      <c r="B228" s="10"/>
      <c s="41"/>
      <c s="4"/>
      <c s="4" t="str">
        <f>CONCATENATE("2226", " - ", "ACCRUED PERS/PEPRA UNFUNDED LI")</f>
        <v>2226 - ACCRUED PERS/PEPRA UNFUNDED LI</v>
      </c>
      <c s="4"/>
      <c s="12">
        <f>--3539063.62</f>
        <v>3539063.6200000001</v>
      </c>
      <c s="10"/>
    </row>
    <row thickBot="1" s="5" customFormat="1">
      <c r="B229" s="2"/>
      <c s="24" t="s">
        <v>11</v>
      </c>
      <c s="6"/>
      <c s="6"/>
      <c s="6"/>
      <c s="26">
        <f>SUM(OSRRefG40x_0)</f>
        <v>7546876.0600000005</v>
      </c>
      <c s="2"/>
    </row>
    <row ht="8.25" customHeight="1"/>
    <row s="5" customFormat="1">
      <c r="B231" s="36" t="s">
        <v>12</v>
      </c>
      <c s="22"/>
      <c s="22"/>
      <c s="22"/>
      <c s="22"/>
      <c s="32">
        <f>+G220+G229</f>
        <v>11578007.810000001</v>
      </c>
      <c s="2"/>
    </row>
    <row ht="8.25" customHeight="1" thickBot="1" s="5" customFormat="1">
      <c r="G232" s="38"/>
    </row>
    <row s="5" customFormat="1">
      <c r="B233" s="2"/>
      <c s="25" t="s">
        <v>298</v>
      </c>
      <c s="15"/>
      <c s="15"/>
      <c s="15"/>
      <c s="31"/>
      <c s="2"/>
    </row>
    <row>
      <c s="29"/>
      <c s="8"/>
      <c s="44"/>
      <c s="7" t="s">
        <v>13</v>
      </c>
      <c s="7"/>
      <c s="7"/>
      <c s="20">
        <f>--961667.47</f>
        <v>961667.46999999997</v>
      </c>
      <c s="8"/>
    </row>
    <row>
      <c s="29"/>
      <c s="8"/>
      <c s="44"/>
      <c s="7" t="s">
        <v>311</v>
      </c>
      <c s="7"/>
      <c s="7"/>
      <c s="20">
        <f>--14157144.47</f>
        <v>14157144.470000001</v>
      </c>
      <c s="8"/>
    </row>
    <row>
      <c s="29"/>
      <c s="8"/>
      <c s="44"/>
      <c s="7" t="s">
        <v>312</v>
      </c>
      <c s="7"/>
      <c s="7"/>
      <c s="20">
        <f>--403800.24</f>
        <v>403800.23999999999</v>
      </c>
      <c s="8"/>
    </row>
    <row thickBot="1" s="5" customFormat="1">
      <c r="B237" s="2"/>
      <c s="24" t="s">
        <v>299</v>
      </c>
      <c s="6"/>
      <c s="6"/>
      <c s="6"/>
      <c s="26">
        <f>SUM(G233:G236)</f>
        <v>15522612.180000002</v>
      </c>
      <c s="2"/>
    </row>
    <row ht="8.25" customHeight="1"/>
    <row>
      <c r="B239" s="36" t="s">
        <v>297</v>
      </c>
      <c s="22"/>
      <c s="22"/>
      <c s="35"/>
      <c s="35"/>
      <c s="32">
        <f>+G237</f>
        <v>15522612.180000002</v>
      </c>
      <c s="8"/>
    </row>
    <row ht="8.25" customHeight="1"/>
    <row thickBot="1">
      <c r="B241" s="14" t="s">
        <v>301</v>
      </c>
      <c s="19"/>
      <c s="19"/>
      <c s="28"/>
      <c s="28"/>
      <c s="40">
        <f>+G231+G239</f>
        <v>27100619.990000002</v>
      </c>
      <c s="8"/>
    </row>
    <row ht="8.25" customHeight="1" thickTop="1"/>
    <row ht="11.3" s="52" customFormat="1">
      <c s="42"/>
      <c s="27">
        <v>43879.543695636574</v>
      </c>
      <c s="27"/>
      <c s="27"/>
      <c s="27"/>
      <c s="27"/>
      <c s="46">
        <f>ROUND(G157-G241, 0)</f>
        <v>0</v>
      </c>
    </row>
    <row ht="11.3" s="52" customFormat="1">
      <c s="42"/>
      <c s="50" t="s">
        <v>302</v>
      </c>
      <c s="39"/>
      <c s="39"/>
      <c s="33"/>
      <c s="33"/>
      <c s="48"/>
    </row>
  </sheetData>
  <mergeCells count="1">
    <mergeCell ref="B243:F243"/>
  </mergeCells>
  <conditionalFormatting sqref="G243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43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4"/>
      <c s="34"/>
      <c s="47"/>
      <c s="51" t="s">
        <v>15</v>
      </c>
      <c s="49"/>
      <c s="45"/>
    </row>
    <row>
      <c r="C3" s="34"/>
      <c s="34"/>
      <c s="47"/>
      <c s="51" t="s">
        <v>14</v>
      </c>
      <c s="49"/>
      <c s="45"/>
    </row>
    <row>
      <c r="C4" s="30"/>
      <c s="30"/>
      <c s="30"/>
      <c s="51" t="s">
        <v>300</v>
      </c>
      <c s="49"/>
      <c s="45"/>
    </row>
    <row>
      <c r="C5" s="30"/>
      <c s="30"/>
      <c s="30"/>
      <c s="51" t="e">
        <f>_xll.OneStop.ReportPlayer.OSRFunctions.OSRGet("Period","PeriodEnd")</f>
        <v>#NAME?</v>
      </c>
      <c s="49"/>
      <c s="45"/>
    </row>
    <row r="7" thickBot="1">
      <c r="B7" s="14" t="s">
        <v>0</v>
      </c>
      <c s="19"/>
      <c s="19"/>
      <c s="28"/>
      <c s="28"/>
      <c s="53"/>
      <c s="8"/>
    </row>
    <row>
      <c r="B8" s="2"/>
      <c s="25" t="s">
        <v>6</v>
      </c>
      <c s="15"/>
      <c s="21"/>
      <c s="21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7"/>
      <c s="18"/>
      <c s="16"/>
      <c s="23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7"/>
      <c s="18"/>
      <c s="16"/>
      <c s="23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7"/>
      <c s="18"/>
      <c s="16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7"/>
      <c s="18"/>
      <c s="16"/>
      <c s="23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4" t="s">
        <v>7</v>
      </c>
      <c s="6"/>
      <c s="6"/>
      <c s="6"/>
      <c s="26" t="e">
        <f>+G9+G13+G16+G19</f>
        <v>#NAME?</v>
      </c>
      <c s="2"/>
    </row>
    <row ht="8.25" customHeight="1" thickBot="1"/>
    <row>
      <c r="B24" s="2"/>
      <c s="25" t="s">
        <v>2</v>
      </c>
      <c s="15"/>
      <c s="21"/>
      <c s="21"/>
      <c s="37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7"/>
      <c s="18"/>
      <c s="16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4" t="s">
        <v>19</v>
      </c>
      <c s="6"/>
      <c s="6"/>
      <c s="6"/>
      <c s="26" t="e">
        <f>+G25+G27</f>
        <v>#NAME?</v>
      </c>
      <c s="2"/>
    </row>
    <row ht="8.25" customHeight="1"/>
    <row thickBot="1" s="5" customFormat="1">
      <c r="B30" s="14" t="s">
        <v>5</v>
      </c>
      <c s="19"/>
      <c s="19"/>
      <c s="19"/>
      <c s="19"/>
      <c s="40" t="e">
        <f>+G22+G28</f>
        <v>#NAME?</v>
      </c>
      <c s="2"/>
    </row>
    <row thickTop="1" s="5" customFormat="1">
      <c r="G31" s="38"/>
    </row>
    <row thickBot="1" s="5" customFormat="1">
      <c r="B32" s="14" t="s">
        <v>296</v>
      </c>
      <c s="14"/>
      <c s="14"/>
      <c s="14"/>
      <c s="14"/>
      <c s="14"/>
      <c s="2"/>
    </row>
    <row s="5" customFormat="1">
      <c r="B33" s="2"/>
      <c s="25" t="s">
        <v>8</v>
      </c>
      <c s="15"/>
      <c s="15"/>
      <c s="15"/>
      <c s="31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7"/>
      <c s="18"/>
      <c s="16"/>
      <c s="23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4" t="s">
        <v>9</v>
      </c>
      <c s="6"/>
      <c s="6"/>
      <c s="6"/>
      <c s="26" t="e">
        <f>SUM(_xll.OneStop.ReportPlayer.OSRFunctions.OSRRef(G34))</f>
        <v>#NAME?</v>
      </c>
      <c s="2"/>
    </row>
    <row ht="8.25" customHeight="1" thickBot="1"/>
    <row>
      <c r="B38" s="2"/>
      <c s="25" t="s">
        <v>10</v>
      </c>
      <c s="15"/>
      <c s="21"/>
      <c s="21"/>
      <c s="37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4" t="s">
        <v>11</v>
      </c>
      <c s="6"/>
      <c s="6"/>
      <c s="6"/>
      <c s="26" t="e">
        <f>SUM(_xll.OneStop.ReportPlayer.OSRFunctions.OSRRef(G40))</f>
        <v>#NAME?</v>
      </c>
      <c s="2"/>
    </row>
    <row ht="8.25" customHeight="1"/>
    <row s="5" customFormat="1">
      <c r="B43" s="36" t="s">
        <v>12</v>
      </c>
      <c s="22"/>
      <c s="22"/>
      <c s="22"/>
      <c s="22"/>
      <c s="32" t="e">
        <f>+G36+G41</f>
        <v>#NAME?</v>
      </c>
      <c s="2"/>
    </row>
    <row ht="8.25" customHeight="1" thickBot="1" s="5" customFormat="1">
      <c r="G44" s="38"/>
    </row>
    <row s="5" customFormat="1">
      <c r="B45" s="2"/>
      <c s="25" t="s">
        <v>298</v>
      </c>
      <c s="15"/>
      <c s="15"/>
      <c s="15"/>
      <c s="31"/>
      <c s="2"/>
    </row>
    <row>
      <c s="29"/>
      <c s="8"/>
      <c s="44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44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44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4" t="s">
        <v>299</v>
      </c>
      <c s="6"/>
      <c s="6"/>
      <c s="6"/>
      <c s="26" t="e">
        <f>SUM(G45:G48)</f>
        <v>#NAME?</v>
      </c>
      <c s="2"/>
    </row>
    <row ht="8.25" customHeight="1"/>
    <row>
      <c r="B51" s="36" t="s">
        <v>297</v>
      </c>
      <c s="22"/>
      <c s="22"/>
      <c s="35"/>
      <c s="35"/>
      <c s="32" t="e">
        <f>+G49</f>
        <v>#NAME?</v>
      </c>
      <c s="8"/>
    </row>
    <row ht="8.25" customHeight="1"/>
    <row thickBot="1">
      <c r="B53" s="14" t="s">
        <v>301</v>
      </c>
      <c s="19"/>
      <c s="19"/>
      <c s="28"/>
      <c s="28"/>
      <c s="40" t="e">
        <f>+G43+G51</f>
        <v>#NAME?</v>
      </c>
      <c s="8"/>
    </row>
    <row ht="8.25" customHeight="1" thickTop="1"/>
    <row ht="11.3" s="52" customFormat="1">
      <c s="42"/>
      <c s="27" t="e">
        <f>_xll.OneStop.ReportPlayer.OSRFunctions.OSRGet("CurrentDate","Date")</f>
        <v>#NAME?</v>
      </c>
      <c s="27"/>
      <c s="27"/>
      <c s="27"/>
      <c s="27"/>
      <c s="46" t="e">
        <f>ROUND(G30-G53, 0)</f>
        <v>#NAME?</v>
      </c>
    </row>
    <row ht="11.3" s="52" customFormat="1">
      <c s="42"/>
      <c s="50" t="e">
        <f>_xll.OneStop.ReportPlayer.OSRFunctions.OSRGet("User","UserId")</f>
        <v>#NAME?</v>
      </c>
      <c s="39"/>
      <c s="39"/>
      <c s="33"/>
      <c s="33"/>
      <c s="48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0"/>
  </sheetPr>
  <dimension ref="A2:H56"/>
  <sheetViews>
    <sheetView zoomScale="90" workbookViewId="0"/>
  </sheetViews>
  <sheetFormatPr defaultRowHeight="14.95" outlineLevelRow="2"/>
  <cols>
    <col min="1" max="1" width="8.28515625" style="5" customWidth="1"/>
    <col min="2" max="2" width="2.7109375" style="5" customWidth="1"/>
    <col min="3" max="4" width="3.140625" style="5" customWidth="1"/>
    <col min="5" max="5" width="3.140625" style="29" customWidth="1"/>
    <col min="6" max="6" width="43.42578125" style="29" customWidth="1"/>
    <col min="7" max="7" width="17.28515625" style="43" customWidth="1"/>
    <col min="8" max="8" width="2.7109375" style="29" customWidth="1"/>
    <col min="9" max="9" width="8.7109375" style="29" customWidth="1"/>
    <col min="10" max="16384" width="8.8984375" style="29"/>
  </cols>
  <sheetData>
    <row r="2">
      <c r="C2" s="34"/>
      <c s="34"/>
      <c s="47"/>
      <c s="51" t="s">
        <v>15</v>
      </c>
      <c s="49"/>
      <c s="45"/>
    </row>
    <row>
      <c r="C3" s="34"/>
      <c s="34"/>
      <c s="47"/>
      <c s="51" t="s">
        <v>14</v>
      </c>
      <c s="49"/>
      <c s="45"/>
    </row>
    <row>
      <c r="C4" s="30"/>
      <c s="30"/>
      <c s="30"/>
      <c s="51" t="s">
        <v>300</v>
      </c>
      <c s="49"/>
      <c s="45"/>
    </row>
    <row>
      <c r="C5" s="30"/>
      <c s="30"/>
      <c s="30"/>
      <c s="51" t="e">
        <f>_xll.OneStop.ReportPlayer.OSRFunctions.OSRGet("Period","PeriodEnd")</f>
        <v>#NAME?</v>
      </c>
      <c s="49"/>
      <c s="45"/>
    </row>
    <row r="7" thickBot="1">
      <c r="B7" s="14" t="s">
        <v>0</v>
      </c>
      <c s="19"/>
      <c s="19"/>
      <c s="28"/>
      <c s="28"/>
      <c s="53"/>
      <c s="8"/>
    </row>
    <row>
      <c r="B8" s="2"/>
      <c s="25" t="s">
        <v>6</v>
      </c>
      <c s="15"/>
      <c s="21"/>
      <c s="21"/>
      <c s="20"/>
      <c s="8"/>
    </row>
    <row s="5" customFormat="1">
      <c r="B9" s="2"/>
      <c s="9"/>
      <c s="3" t="s">
        <v>1</v>
      </c>
      <c s="3"/>
      <c s="3"/>
      <c s="11" t="e">
        <f>SUM(_xll.OneStop.ReportPlayer.OSRFunctions.OSRRef(G10))</f>
        <v>#NAME?</v>
      </c>
      <c s="2"/>
    </row>
    <row outlineLevel="1" collapsed="1">
      <c r="B10" s="2"/>
      <c s="9"/>
      <c s="3"/>
      <c s="7" t="e">
        <f>_xll.OneStop.ReportPlayer.OSRFunctions.OSRGet("d_Account","AccountCategory")</f>
        <v>#NAME?</v>
      </c>
      <c s="7"/>
      <c s="20" t="e">
        <f>SUM(_xll.OneStop.ReportPlayer.OSRFunctions.OSRRef(G11))</f>
        <v>#NAME?</v>
      </c>
      <c s="8"/>
    </row>
    <row ht="15" hidden="1" outlineLevel="2" s="13" customFormat="1">
      <c s="17"/>
      <c s="18"/>
      <c s="16"/>
      <c s="23"/>
      <c r="F11" s="4" t="e">
        <f>CONCATENATE(_xll.OneStop.ReportPlayer.OSRFunctions.OSRGet("d_Account","Code"), " - ", _xll.OneStop.ReportPlayer.OSRFunctions.OSRGet("d_Account","Description"))</f>
        <v>#NAME?</v>
      </c>
      <c s="12" t="e">
        <f>_xll.OneStop.ReportPlayer.OSRFunctions.OSRGet("GL_F_Trans","Value1")</f>
        <v>#NAME?</v>
      </c>
      <c s="10"/>
    </row>
    <row ht="8.25" customHeight="1">
      <c r="B12" s="2"/>
      <c s="9"/>
      <c s="3"/>
      <c s="7"/>
      <c s="7"/>
      <c s="20"/>
      <c s="8"/>
    </row>
    <row collapsed="1" s="5" customFormat="1">
      <c r="B13" s="2"/>
      <c s="9"/>
      <c s="3" t="s">
        <v>16</v>
      </c>
      <c s="3"/>
      <c s="3"/>
      <c s="11" t="e">
        <f>SUM(_xll.OneStop.ReportPlayer.OSRFunctions.OSRRef(G14))</f>
        <v>#NAME?</v>
      </c>
      <c s="2"/>
    </row>
    <row ht="15" hidden="1" outlineLevel="1" s="13" customFormat="1">
      <c s="17"/>
      <c s="18"/>
      <c s="16"/>
      <c s="23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5" s="2"/>
      <c s="9"/>
      <c s="3"/>
      <c s="7"/>
      <c s="7"/>
      <c s="20"/>
      <c s="8"/>
    </row>
    <row collapsed="1" s="5" customFormat="1">
      <c r="B16" s="2"/>
      <c s="9"/>
      <c s="3" t="s">
        <v>17</v>
      </c>
      <c s="3"/>
      <c s="3"/>
      <c s="11" t="e">
        <f>SUM(_xll.OneStop.ReportPlayer.OSRFunctions.OSRRef(G17))</f>
        <v>#NAME?</v>
      </c>
      <c s="2"/>
    </row>
    <row ht="15" hidden="1" outlineLevel="1" s="13" customFormat="1">
      <c s="17"/>
      <c s="18"/>
      <c s="16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18" s="2"/>
      <c s="9"/>
      <c s="3"/>
      <c s="7"/>
      <c s="7"/>
      <c s="20"/>
      <c s="8"/>
    </row>
    <row collapsed="1" s="5" customFormat="1">
      <c r="B19" s="2"/>
      <c s="9"/>
      <c s="3" t="s">
        <v>18</v>
      </c>
      <c s="3"/>
      <c s="3"/>
      <c s="11" t="e">
        <f>SUM(_xll.OneStop.ReportPlayer.OSRFunctions.OSRRef(G20))</f>
        <v>#NAME?</v>
      </c>
      <c s="2"/>
    </row>
    <row ht="15" hidden="1" outlineLevel="1" s="13" customFormat="1">
      <c s="17"/>
      <c s="18"/>
      <c s="16"/>
      <c s="23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ht="8.25" customHeight="1">
      <c r="B21" s="2"/>
      <c s="9"/>
      <c s="3"/>
      <c s="7"/>
      <c s="7"/>
      <c s="20"/>
      <c s="8"/>
    </row>
    <row thickBot="1" s="5" customFormat="1">
      <c r="B22" s="2"/>
      <c s="24" t="s">
        <v>7</v>
      </c>
      <c s="6"/>
      <c s="6"/>
      <c s="6"/>
      <c s="26" t="e">
        <f>+G9+G13+G16+G19</f>
        <v>#NAME?</v>
      </c>
      <c s="2"/>
    </row>
    <row ht="8.25" customHeight="1" thickBot="1"/>
    <row>
      <c r="B24" s="2"/>
      <c s="25" t="s">
        <v>2</v>
      </c>
      <c s="15"/>
      <c s="21"/>
      <c s="21"/>
      <c s="37"/>
      <c s="8"/>
    </row>
    <row collapsed="1" s="5" customFormat="1">
      <c r="B25" s="2"/>
      <c s="9"/>
      <c s="3" t="s">
        <v>3</v>
      </c>
      <c s="3"/>
      <c s="3"/>
      <c s="11" t="e">
        <f>SUM(_xll.OneStop.ReportPlayer.OSRFunctions.OSRRef(G26))</f>
        <v>#NAME?</v>
      </c>
      <c s="2"/>
    </row>
    <row ht="15" hidden="1" outlineLevel="1" s="13" customFormat="1">
      <c s="17"/>
      <c s="18"/>
      <c s="16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_xll.OneStop.ReportPlayer.OSRFunctions.OSRGet("GL_F_Trans","Value1")</f>
        <v>#NAME?</v>
      </c>
      <c s="10"/>
    </row>
    <row s="5" customFormat="1">
      <c r="B27" s="2"/>
      <c s="9"/>
      <c s="3" t="s">
        <v>4</v>
      </c>
      <c s="3"/>
      <c s="3"/>
      <c s="11" t="e">
        <f>_xll.OneStop.ReportPlayer.OSRFunctions.OSRGet("GL_F_Trans","Value1")</f>
        <v>#NAME?</v>
      </c>
      <c s="2"/>
    </row>
    <row thickBot="1" s="5" customFormat="1">
      <c r="B28" s="2"/>
      <c s="24" t="s">
        <v>19</v>
      </c>
      <c s="6"/>
      <c s="6"/>
      <c s="6"/>
      <c s="26" t="e">
        <f>+G25+G27</f>
        <v>#NAME?</v>
      </c>
      <c s="2"/>
    </row>
    <row ht="8.25" customHeight="1"/>
    <row thickBot="1" s="5" customFormat="1">
      <c r="B30" s="14" t="s">
        <v>5</v>
      </c>
      <c s="19"/>
      <c s="19"/>
      <c s="19"/>
      <c s="19"/>
      <c s="40" t="e">
        <f>+G22+G28</f>
        <v>#NAME?</v>
      </c>
      <c s="2"/>
    </row>
    <row thickTop="1" s="5" customFormat="1">
      <c r="G31" s="38"/>
    </row>
    <row thickBot="1" s="5" customFormat="1">
      <c r="B32" s="14" t="s">
        <v>296</v>
      </c>
      <c s="14"/>
      <c s="14"/>
      <c s="14"/>
      <c s="14"/>
      <c s="14"/>
      <c s="2"/>
    </row>
    <row s="5" customFormat="1">
      <c r="B33" s="2"/>
      <c s="25" t="s">
        <v>8</v>
      </c>
      <c s="15"/>
      <c s="15"/>
      <c s="15"/>
      <c s="31"/>
      <c s="2"/>
    </row>
    <row collapsed="1" s="5" customFormat="1">
      <c r="B34" s="2"/>
      <c s="9"/>
      <c s="3" t="e">
        <f>_xll.OneStop.ReportPlayer.OSRFunctions.OSRGet("d_Account","AccountCategory")</f>
        <v>#NAME?</v>
      </c>
      <c s="3"/>
      <c s="3"/>
      <c s="11" t="e">
        <f>-_xll.OneStop.ReportPlayer.OSRFunctions.OSRGet("GL_F_Trans","Value1")</f>
        <v>#NAME?</v>
      </c>
      <c s="2"/>
    </row>
    <row ht="15" hidden="1" outlineLevel="2" s="13" customFormat="1">
      <c s="17"/>
      <c s="18"/>
      <c s="16"/>
      <c s="23"/>
      <c s="4" t="e">
        <f>CONCATENATE(_xll.OneStop.ReportPlayer.OSRFunctions.OSRGet("d_Account","Code"), " - ", _xll.OneStop.ReportPlayer.OSRFunctions.OSRGet("d_Account","Description"))</f>
        <v>#NAME?</v>
      </c>
      <c r="G35" s="12" t="e">
        <f>-_xll.OneStop.ReportPlayer.OSRFunctions.OSRGet("GL_F_Trans","Value1")</f>
        <v>#NAME?</v>
      </c>
      <c s="10"/>
    </row>
    <row thickBot="1" s="5" customFormat="1">
      <c r="B36" s="2"/>
      <c s="24" t="s">
        <v>9</v>
      </c>
      <c s="6"/>
      <c s="6"/>
      <c s="6"/>
      <c s="26" t="e">
        <f>SUM(_xll.OneStop.ReportPlayer.OSRFunctions.OSRRef(G34))</f>
        <v>#NAME?</v>
      </c>
      <c s="2"/>
    </row>
    <row ht="8.25" customHeight="1" thickBot="1"/>
    <row>
      <c r="B38" s="2"/>
      <c s="25" t="s">
        <v>10</v>
      </c>
      <c s="15"/>
      <c s="21"/>
      <c s="21"/>
      <c s="37"/>
      <c s="8"/>
    </row>
    <row collapsed="1" s="5" customFormat="1">
      <c r="B39" s="2"/>
      <c s="9"/>
      <c s="3" t="e">
        <f>_xll.OneStop.ReportPlayer.OSRFunctions.OSRGet("d_Account","AccountCategory")</f>
        <v>#NAME?</v>
      </c>
      <c s="3"/>
      <c s="3"/>
      <c s="11" t="e">
        <f>SUM(_xll.OneStop.ReportPlayer.OSRFunctions.OSRRef(G40))</f>
        <v>#NAME?</v>
      </c>
      <c s="2"/>
    </row>
    <row ht="15" hidden="1" outlineLevel="1" s="13" customFormat="1">
      <c r="B40" s="10"/>
      <c s="41"/>
      <c s="4"/>
      <c s="4" t="e">
        <f>CONCATENATE(_xll.OneStop.ReportPlayer.OSRFunctions.OSRGet("d_Account","Code"), " - ", _xll.OneStop.ReportPlayer.OSRFunctions.OSRGet("d_Account","Description"))</f>
        <v>#NAME?</v>
      </c>
      <c s="4"/>
      <c s="12" t="e">
        <f>-_xll.OneStop.ReportPlayer.OSRFunctions.OSRGet("GL_F_Trans","Value1")</f>
        <v>#NAME?</v>
      </c>
      <c s="10"/>
    </row>
    <row thickBot="1" s="5" customFormat="1">
      <c r="B41" s="2"/>
      <c s="24" t="s">
        <v>11</v>
      </c>
      <c s="6"/>
      <c s="6"/>
      <c s="6"/>
      <c s="26" t="e">
        <f>SUM(_xll.OneStop.ReportPlayer.OSRFunctions.OSRRef(G40))</f>
        <v>#NAME?</v>
      </c>
      <c s="2"/>
    </row>
    <row ht="8.25" customHeight="1"/>
    <row s="5" customFormat="1">
      <c r="B43" s="36" t="s">
        <v>12</v>
      </c>
      <c s="22"/>
      <c s="22"/>
      <c s="22"/>
      <c s="22"/>
      <c s="32" t="e">
        <f>+G36+G41</f>
        <v>#NAME?</v>
      </c>
      <c s="2"/>
    </row>
    <row ht="8.25" customHeight="1" thickBot="1" s="5" customFormat="1">
      <c r="G44" s="38"/>
    </row>
    <row s="5" customFormat="1">
      <c r="B45" s="2"/>
      <c s="25" t="s">
        <v>298</v>
      </c>
      <c s="15"/>
      <c s="15"/>
      <c s="15"/>
      <c s="31"/>
      <c s="2"/>
    </row>
    <row>
      <c s="29"/>
      <c s="8"/>
      <c s="44"/>
      <c s="7" t="s">
        <v>13</v>
      </c>
      <c s="7"/>
      <c s="7"/>
      <c s="20" t="e">
        <f>-_xll.OneStop.ReportPlayer.OSRFunctions.OSRGet("GL_F_Trans","Value1")</f>
        <v>#NAME?</v>
      </c>
      <c s="8"/>
    </row>
    <row>
      <c s="29"/>
      <c s="8"/>
      <c s="44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>
      <c s="29"/>
      <c s="8"/>
      <c s="44"/>
      <c s="7" t="e">
        <f>_xll.OneStop.ReportPlayer.OSRFunctions.OSRGet("d_Account","AccountCategory")</f>
        <v>#NAME?</v>
      </c>
      <c s="7"/>
      <c s="7"/>
      <c s="20" t="e">
        <f>-_xll.OneStop.ReportPlayer.OSRFunctions.OSRGet("GL_F_Trans","Value1")</f>
        <v>#NAME?</v>
      </c>
      <c s="8"/>
    </row>
    <row thickBot="1" s="5" customFormat="1">
      <c r="B49" s="2"/>
      <c s="24" t="s">
        <v>299</v>
      </c>
      <c s="6"/>
      <c s="6"/>
      <c s="6"/>
      <c s="26" t="e">
        <f>SUM(G45:G48)</f>
        <v>#NAME?</v>
      </c>
      <c s="2"/>
    </row>
    <row ht="8.25" customHeight="1"/>
    <row>
      <c r="B51" s="36" t="s">
        <v>297</v>
      </c>
      <c s="22"/>
      <c s="22"/>
      <c s="35"/>
      <c s="35"/>
      <c s="32" t="e">
        <f>+G49</f>
        <v>#NAME?</v>
      </c>
      <c s="8"/>
    </row>
    <row ht="8.25" customHeight="1"/>
    <row thickBot="1">
      <c r="B53" s="14" t="s">
        <v>301</v>
      </c>
      <c s="19"/>
      <c s="19"/>
      <c s="28"/>
      <c s="28"/>
      <c s="40" t="e">
        <f>+G43+G51</f>
        <v>#NAME?</v>
      </c>
      <c s="8"/>
    </row>
    <row ht="8.25" customHeight="1" thickTop="1"/>
    <row ht="11.3" s="52" customFormat="1">
      <c s="42"/>
      <c s="27" t="e">
        <f>_xll.OneStop.ReportPlayer.OSRFunctions.OSRGet("CurrentDate","Date")</f>
        <v>#NAME?</v>
      </c>
      <c s="27"/>
      <c s="27"/>
      <c s="27"/>
      <c s="27"/>
      <c s="46" t="e">
        <f>ROUND(G30-G53, 0)</f>
        <v>#NAME?</v>
      </c>
    </row>
    <row ht="11.3" s="52" customFormat="1">
      <c s="42"/>
      <c s="50" t="e">
        <f>_xll.OneStop.ReportPlayer.OSRFunctions.OSRGet("User","UserId")</f>
        <v>#NAME?</v>
      </c>
      <c s="39"/>
      <c s="39"/>
      <c s="33"/>
      <c s="33"/>
      <c s="48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