
<file path=[Content_Types].xml><?xml version="1.0" encoding="utf-8"?>
<Types xmlns="http://schemas.openxmlformats.org/package/2006/content-types">
  <Default Extension="rels" ContentType="application/vnd.openxmlformats-package.relationships+xml"/>
  <Override PartName="/xl/media/image1.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75.102"/>
  <workbookPr defaultThemeVersion="124226"/>
  <bookViews>
    <workbookView xWindow="240" yWindow="105" windowWidth="14805" windowHeight="801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Sheet'!$B$243:$F$243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Sheet'!$G$224</definedName>
    <definedName name="OSRRefG40_1x_0" localSheetId="2">'Balance Sheet'!$G$226</definedName>
    <definedName name="OSRRefG40_2x_0" localSheetId="2">'Balance Sheet'!$G$228</definedName>
    <definedName name="OSRRefG40x_0" localSheetId="2">'Balance Sheet'!$G$224,'Balance Sheet'!$G$226,'Balance Sheet'!$G$228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40001"/>
</workbook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<sst xmlns="http://schemas.openxmlformats.org/spreadsheetml/2006/main" count="372" uniqueCount="316">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</sst>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  <numFmt numFmtId="168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69482421875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69482421875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/>
    <xf numFmtId="0" fontId="3" fillId="3" borderId="0" xfId="0" applyFont="1" applyFill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1" fillId="0" borderId="6" xfId="0" applyFont="1" applyFill="1" applyBorder="1"/>
    <xf numFmtId="167" fontId="5" fillId="0" borderId="0" xfId="0" applyNumberFormat="1" applyFont="1" applyAlignment="1">
      <alignment horizontal="left"/>
    </xf>
    <xf numFmtId="0" fontId="1" fillId="0" borderId="7" xfId="0" applyFont="1" applyFill="1" applyBorder="1"/>
    <xf numFmtId="165" fontId="1" fillId="0" borderId="8" xfId="1" applyNumberFormat="1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0" fontId="5" fillId="0" borderId="0" xfId="0" applyFont="1"/>
    <xf numFmtId="165" fontId="3" fillId="4" borderId="9" xfId="1" applyNumberFormat="1" applyFont="1" applyFill="1" applyBorder="1"/>
    <xf numFmtId="0" fontId="3" fillId="4" borderId="0" xfId="0" applyFont="1" applyFill="1" applyAlignment="1">
      <alignment horizontal="left"/>
    </xf>
    <xf numFmtId="0" fontId="7" fillId="0" borderId="0" xfId="0" applyFont="1"/>
    <xf numFmtId="165" fontId="1" fillId="0" borderId="0" xfId="1" applyNumberFormat="1" applyFont="1"/>
    <xf numFmtId="165" fontId="1" fillId="0" borderId="10" xfId="1" applyNumberFormat="1" applyFont="1" applyFill="1" applyBorder="1"/>
    <xf numFmtId="165" fontId="0" fillId="0" borderId="10" xfId="1" applyNumberFormat="1" applyFont="1" applyFill="1" applyBorder="1"/>
    <xf numFmtId="0" fontId="6" fillId="4" borderId="0" xfId="0" applyFont="1" applyFill="1"/>
    <xf numFmtId="166" fontId="3" fillId="3" borderId="11" xfId="2" applyNumberFormat="1" applyFont="1" applyFill="1" applyBorder="1"/>
    <xf numFmtId="0" fontId="1" fillId="0" borderId="0" xfId="0" applyFont="1" applyAlignment="1">
      <alignment horizontal="center"/>
    </xf>
    <xf numFmtId="0" fontId="2" fillId="0" borderId="3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0" fillId="0" borderId="3" xfId="0" applyFont="1" applyFill="1" applyBorder="1"/>
    <xf numFmtId="0" fontId="9" fillId="0" borderId="0" xfId="0" applyFont="1"/>
    <xf numFmtId="0" fontId="0" fillId="0" borderId="0" xfId="0" applyFont="1" applyAlignment="1">
      <alignment horizontal="centerContinuous"/>
    </xf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165" fontId="9" fillId="0" borderId="0" xfId="1" applyNumberFormat="1" applyFont="1"/>
    <xf numFmtId="0" fontId="0" fillId="0" borderId="0" xfId="0" applyFont="1" applyAlignment="1">
      <alignment horizontal="center"/>
    </xf>
    <xf numFmtId="165" fontId="10" fillId="0" borderId="0" xfId="1" applyNumberFormat="1" applyFont="1" applyFill="1"/>
    <xf numFmtId="166" fontId="3" fillId="3" borderId="2" xfId="2" applyNumberFormat="1" applyFont="1" applyFill="1" applyBorder="1"/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4" fontId="1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</styleSheet>
</file>

<file path=xl/_rels/workbook.xml.rels>&#65279;<?xml version="1.0" encoding="utf-8"?><Relationships xmlns="http://schemas.openxmlformats.org/package/2006/relationships"><Relationship Id="rId6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Z3"/>
  <sheetViews>
    <sheetView workbookViewId="0"/>
  </sheetViews>
  <sheetFormatPr defaultRowHeight="15"/>
  <cols>
    <col min="1" max="130" width="20.7109375" customWidth="1"/>
  </cols>
  <sheetData>
    <row>
      <c r="B1">
        <v>4</v>
      </c>
    </row>
    <row r="3" ht="30">
      <c s="1" t="s">
        <v>246</v>
      </c>
      <c s="1" t="s">
        <v>247</v>
      </c>
      <c s="1" t="s">
        <v>20</v>
      </c>
      <c s="1" t="s">
        <v>248</v>
      </c>
      <c s="1" t="s">
        <v>249</v>
      </c>
      <c s="1" t="s">
        <v>22</v>
      </c>
      <c s="1" t="s">
        <v>250</v>
      </c>
      <c s="1" t="s">
        <v>251</v>
      </c>
      <c s="1" t="s">
        <v>252</v>
      </c>
      <c s="1" t="s">
        <v>253</v>
      </c>
      <c s="1" t="s">
        <v>254</v>
      </c>
      <c s="1" t="s">
        <v>255</v>
      </c>
      <c s="1" t="s">
        <v>256</v>
      </c>
      <c s="1" t="s">
        <v>257</v>
      </c>
      <c s="1" t="s">
        <v>258</v>
      </c>
      <c s="1" t="s">
        <v>259</v>
      </c>
      <c s="1" t="s">
        <v>260</v>
      </c>
      <c s="1" t="s">
        <v>261</v>
      </c>
      <c s="1" t="s">
        <v>262</v>
      </c>
      <c s="1" t="s">
        <v>263</v>
      </c>
      <c s="1" t="s">
        <v>266</v>
      </c>
      <c s="1" t="s">
        <v>267</v>
      </c>
      <c s="1" t="s">
        <v>268</v>
      </c>
      <c s="1" t="s">
        <v>269</v>
      </c>
      <c s="1" t="s">
        <v>270</v>
      </c>
      <c s="1" t="s">
        <v>271</v>
      </c>
      <c s="1" t="s">
        <v>272</v>
      </c>
      <c s="1" t="s">
        <v>273</v>
      </c>
      <c s="1" t="s">
        <v>274</v>
      </c>
      <c s="1" t="s">
        <v>275</v>
      </c>
      <c s="1" t="s">
        <v>276</v>
      </c>
      <c s="1" t="s">
        <v>277</v>
      </c>
      <c s="1" t="s">
        <v>278</v>
      </c>
      <c s="1" t="s">
        <v>279</v>
      </c>
      <c s="1" t="s">
        <v>280</v>
      </c>
      <c s="1" t="s">
        <v>281</v>
      </c>
      <c s="1" t="s">
        <v>282</v>
      </c>
      <c s="1" t="s">
        <v>283</v>
      </c>
      <c s="1" t="s">
        <v>284</v>
      </c>
      <c s="1" t="s">
        <v>285</v>
      </c>
      <c s="1" t="s">
        <v>286</v>
      </c>
      <c s="1" t="s">
        <v>287</v>
      </c>
      <c s="1" t="s">
        <v>288</v>
      </c>
      <c s="1" t="s">
        <v>289</v>
      </c>
      <c s="1" t="s">
        <v>290</v>
      </c>
      <c s="1" t="s">
        <v>291</v>
      </c>
      <c s="1" t="s">
        <v>292</v>
      </c>
      <c s="1" t="s">
        <v>264</v>
      </c>
      <c s="1" t="s">
        <v>265</v>
      </c>
      <c s="1" t="s">
        <v>293</v>
      </c>
      <c s="1" t="s">
        <v>294</v>
      </c>
      <c s="1" t="s">
        <v>295</v>
      </c>
      <c s="1" t="s">
        <v>47</v>
      </c>
      <c s="1" t="s">
        <v>48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JL10002"/>
  <sheetViews>
    <sheetView workbookViewId="0"/>
  </sheetViews>
  <sheetFormatPr defaultRowHeight="15"/>
  <cols>
    <col min="1" max="220" width="20.7109375" customWidth="1"/>
    <col min="221" max="221" width="20.7109375" style="54" customWidth="1"/>
    <col min="222" max="223" width="20.7109375" customWidth="1"/>
  </cols>
  <sheetData>
    <row>
      <c r="D1">
        <v>4</v>
      </c>
    </row>
    <row>
      <c r="JK2">
        <v>271</v>
      </c>
      <c>
        <v>4</v>
      </c>
    </row>
    <row ht="30">
      <c s="1" t="s">
        <v>20</v>
      </c>
      <c s="1" t="s">
        <v>21</v>
      </c>
      <c s="1" t="s">
        <v>22</v>
      </c>
      <c s="1" t="s">
        <v>23</v>
      </c>
      <c s="1" t="s">
        <v>24</v>
      </c>
      <c s="1" t="s">
        <v>25</v>
      </c>
      <c s="1" t="s">
        <v>26</v>
      </c>
      <c s="1" t="s">
        <v>27</v>
      </c>
      <c s="1" t="s">
        <v>28</v>
      </c>
      <c s="1" t="s">
        <v>29</v>
      </c>
      <c s="1" t="s">
        <v>30</v>
      </c>
      <c s="1" t="s">
        <v>31</v>
      </c>
      <c s="1" t="s">
        <v>32</v>
      </c>
      <c s="1" t="s">
        <v>33</v>
      </c>
      <c s="1" t="s">
        <v>34</v>
      </c>
      <c s="1" t="s">
        <v>35</v>
      </c>
      <c s="1" t="s">
        <v>36</v>
      </c>
      <c s="1" t="s">
        <v>37</v>
      </c>
      <c s="1" t="s">
        <v>38</v>
      </c>
      <c s="1" t="s">
        <v>39</v>
      </c>
      <c s="1" t="s">
        <v>40</v>
      </c>
      <c s="1" t="s">
        <v>41</v>
      </c>
      <c s="1" t="s">
        <v>42</v>
      </c>
      <c s="1" t="s">
        <v>43</v>
      </c>
      <c s="1" t="s">
        <v>44</v>
      </c>
      <c s="1" t="s">
        <v>45</v>
      </c>
      <c s="1" t="s">
        <v>50</v>
      </c>
      <c s="1" t="s">
        <v>51</v>
      </c>
      <c s="1" t="s">
        <v>52</v>
      </c>
      <c s="1" t="s">
        <v>53</v>
      </c>
      <c s="1" t="s">
        <v>54</v>
      </c>
      <c s="1" t="s">
        <v>55</v>
      </c>
      <c s="1" t="s">
        <v>56</v>
      </c>
      <c s="1" t="s">
        <v>57</v>
      </c>
      <c s="1" t="s">
        <v>58</v>
      </c>
      <c s="1" t="s">
        <v>59</v>
      </c>
      <c s="1" t="s">
        <v>60</v>
      </c>
      <c s="1" t="s">
        <v>61</v>
      </c>
      <c s="1" t="s">
        <v>62</v>
      </c>
      <c s="1" t="s">
        <v>63</v>
      </c>
      <c s="1" t="s">
        <v>64</v>
      </c>
      <c s="1" t="s">
        <v>65</v>
      </c>
      <c s="1" t="s">
        <v>66</v>
      </c>
      <c s="1" t="s">
        <v>67</v>
      </c>
      <c s="1" t="s">
        <v>68</v>
      </c>
      <c s="1" t="s">
        <v>69</v>
      </c>
      <c s="1" t="s">
        <v>70</v>
      </c>
      <c s="1" t="s">
        <v>71</v>
      </c>
      <c s="1" t="s">
        <v>72</v>
      </c>
      <c s="1" t="s">
        <v>73</v>
      </c>
      <c s="1" t="s">
        <v>74</v>
      </c>
      <c s="1" t="s">
        <v>75</v>
      </c>
      <c s="1" t="s">
        <v>76</v>
      </c>
      <c s="1" t="s">
        <v>77</v>
      </c>
      <c s="1" t="s">
        <v>78</v>
      </c>
      <c s="1" t="s">
        <v>79</v>
      </c>
      <c s="1" t="s">
        <v>80</v>
      </c>
      <c s="1" t="s">
        <v>81</v>
      </c>
      <c s="1" t="s">
        <v>82</v>
      </c>
      <c s="1" t="s">
        <v>83</v>
      </c>
      <c s="1" t="s">
        <v>84</v>
      </c>
      <c s="1" t="s">
        <v>85</v>
      </c>
      <c s="1" t="s">
        <v>86</v>
      </c>
      <c s="1" t="s">
        <v>87</v>
      </c>
      <c s="1" t="s">
        <v>88</v>
      </c>
      <c s="1" t="s">
        <v>89</v>
      </c>
      <c s="1" t="s">
        <v>90</v>
      </c>
      <c s="1" t="s">
        <v>91</v>
      </c>
      <c s="1" t="s">
        <v>92</v>
      </c>
      <c s="1" t="s">
        <v>93</v>
      </c>
      <c s="1" t="s">
        <v>94</v>
      </c>
      <c s="1" t="s">
        <v>95</v>
      </c>
      <c s="1" t="s">
        <v>96</v>
      </c>
      <c s="1" t="s">
        <v>97</v>
      </c>
      <c s="1" t="s">
        <v>98</v>
      </c>
      <c s="1" t="s">
        <v>99</v>
      </c>
      <c s="1" t="s">
        <v>100</v>
      </c>
      <c s="1" t="s">
        <v>101</v>
      </c>
      <c s="1" t="s">
        <v>102</v>
      </c>
      <c s="1" t="s">
        <v>103</v>
      </c>
      <c s="1" t="s">
        <v>104</v>
      </c>
      <c s="1" t="s">
        <v>105</v>
      </c>
      <c s="1" t="s">
        <v>106</v>
      </c>
      <c s="1" t="s">
        <v>107</v>
      </c>
      <c s="1" t="s">
        <v>108</v>
      </c>
      <c s="1" t="s">
        <v>109</v>
      </c>
      <c s="1" t="s">
        <v>110</v>
      </c>
      <c s="1" t="s">
        <v>111</v>
      </c>
      <c s="1" t="s">
        <v>112</v>
      </c>
      <c s="1" t="s">
        <v>113</v>
      </c>
      <c s="1" t="s">
        <v>114</v>
      </c>
      <c s="1" t="s">
        <v>115</v>
      </c>
      <c s="1" t="s">
        <v>116</v>
      </c>
      <c s="1" t="s">
        <v>117</v>
      </c>
      <c s="1" t="s">
        <v>118</v>
      </c>
      <c s="1" t="s">
        <v>119</v>
      </c>
      <c s="1" t="s">
        <v>120</v>
      </c>
      <c s="1" t="s">
        <v>121</v>
      </c>
      <c s="1" t="s">
        <v>122</v>
      </c>
      <c s="1" t="s">
        <v>123</v>
      </c>
      <c s="1" t="s">
        <v>124</v>
      </c>
      <c s="1" t="s">
        <v>125</v>
      </c>
      <c s="1" t="s">
        <v>126</v>
      </c>
      <c s="1" t="s">
        <v>127</v>
      </c>
      <c s="1" t="s">
        <v>128</v>
      </c>
      <c s="1" t="s">
        <v>129</v>
      </c>
      <c s="1" t="s">
        <v>130</v>
      </c>
      <c s="1" t="s">
        <v>131</v>
      </c>
      <c s="1" t="s">
        <v>132</v>
      </c>
      <c s="1" t="s">
        <v>133</v>
      </c>
      <c s="1" t="s">
        <v>134</v>
      </c>
      <c s="1" t="s">
        <v>135</v>
      </c>
      <c s="1" t="s">
        <v>136</v>
      </c>
      <c s="1" t="s">
        <v>137</v>
      </c>
      <c s="1" t="s">
        <v>138</v>
      </c>
      <c s="1" t="s">
        <v>139</v>
      </c>
      <c s="1" t="s">
        <v>140</v>
      </c>
      <c s="1" t="s">
        <v>141</v>
      </c>
      <c s="1" t="s">
        <v>142</v>
      </c>
      <c s="1" t="s">
        <v>143</v>
      </c>
      <c s="1" t="s">
        <v>144</v>
      </c>
      <c s="1" t="s">
        <v>145</v>
      </c>
      <c s="1" t="s">
        <v>146</v>
      </c>
      <c s="1" t="s">
        <v>147</v>
      </c>
      <c s="1" t="s">
        <v>148</v>
      </c>
      <c s="1" t="s">
        <v>149</v>
      </c>
      <c s="1" t="s">
        <v>150</v>
      </c>
      <c s="1" t="s">
        <v>151</v>
      </c>
      <c s="1" t="s">
        <v>152</v>
      </c>
      <c s="1" t="s">
        <v>153</v>
      </c>
      <c s="1" t="s">
        <v>154</v>
      </c>
      <c s="1" t="s">
        <v>155</v>
      </c>
      <c s="1" t="s">
        <v>156</v>
      </c>
      <c s="1" t="s">
        <v>157</v>
      </c>
      <c s="1" t="s">
        <v>158</v>
      </c>
      <c s="1" t="s">
        <v>159</v>
      </c>
      <c s="1" t="s">
        <v>160</v>
      </c>
      <c s="1" t="s">
        <v>161</v>
      </c>
      <c s="1" t="s">
        <v>162</v>
      </c>
      <c s="1" t="s">
        <v>163</v>
      </c>
      <c s="1" t="s">
        <v>164</v>
      </c>
      <c s="1" t="s">
        <v>165</v>
      </c>
      <c s="1" t="s">
        <v>166</v>
      </c>
      <c s="1" t="s">
        <v>167</v>
      </c>
      <c s="1" t="s">
        <v>168</v>
      </c>
      <c s="1" t="s">
        <v>169</v>
      </c>
      <c s="1" t="s">
        <v>170</v>
      </c>
      <c s="1" t="s">
        <v>171</v>
      </c>
      <c s="1" t="s">
        <v>172</v>
      </c>
      <c s="1" t="s">
        <v>173</v>
      </c>
      <c s="1" t="s">
        <v>174</v>
      </c>
      <c s="1" t="s">
        <v>175</v>
      </c>
      <c s="1" t="s">
        <v>176</v>
      </c>
      <c s="1" t="s">
        <v>177</v>
      </c>
      <c s="1" t="s">
        <v>178</v>
      </c>
      <c s="1" t="s">
        <v>179</v>
      </c>
      <c s="1" t="s">
        <v>180</v>
      </c>
      <c s="1" t="s">
        <v>181</v>
      </c>
      <c s="1" t="s">
        <v>182</v>
      </c>
      <c s="1" t="s">
        <v>183</v>
      </c>
      <c s="1" t="s">
        <v>184</v>
      </c>
      <c s="1" t="s">
        <v>185</v>
      </c>
      <c s="1" t="s">
        <v>186</v>
      </c>
      <c s="1" t="s">
        <v>187</v>
      </c>
      <c s="1" t="s">
        <v>188</v>
      </c>
      <c s="1" t="s">
        <v>189</v>
      </c>
      <c s="1" t="s">
        <v>190</v>
      </c>
      <c s="1" t="s">
        <v>191</v>
      </c>
      <c s="1" t="s">
        <v>192</v>
      </c>
      <c s="1" t="s">
        <v>193</v>
      </c>
      <c s="1" t="s">
        <v>194</v>
      </c>
      <c s="1" t="s">
        <v>195</v>
      </c>
      <c s="1" t="s">
        <v>196</v>
      </c>
      <c s="1" t="s">
        <v>197</v>
      </c>
      <c s="1" t="s">
        <v>198</v>
      </c>
      <c s="1" t="s">
        <v>199</v>
      </c>
      <c s="1" t="s">
        <v>200</v>
      </c>
      <c s="1" t="s">
        <v>201</v>
      </c>
      <c s="1" t="s">
        <v>202</v>
      </c>
      <c s="1" t="s">
        <v>203</v>
      </c>
      <c s="1" t="s">
        <v>204</v>
      </c>
      <c s="1" t="s">
        <v>205</v>
      </c>
      <c s="1" t="s">
        <v>206</v>
      </c>
      <c s="1" t="s">
        <v>207</v>
      </c>
      <c s="1" t="s">
        <v>208</v>
      </c>
      <c s="1" t="s">
        <v>209</v>
      </c>
      <c s="1" t="s">
        <v>210</v>
      </c>
      <c s="1" t="s">
        <v>211</v>
      </c>
      <c s="1" t="s">
        <v>212</v>
      </c>
      <c s="1" t="s">
        <v>213</v>
      </c>
      <c s="1" t="s">
        <v>214</v>
      </c>
      <c s="1" t="s">
        <v>215</v>
      </c>
      <c s="1" t="s">
        <v>216</v>
      </c>
      <c s="1" t="s">
        <v>217</v>
      </c>
      <c s="1" t="s">
        <v>218</v>
      </c>
      <c s="1" t="s">
        <v>219</v>
      </c>
      <c s="1" t="s">
        <v>220</v>
      </c>
      <c s="1" t="s">
        <v>221</v>
      </c>
      <c s="1" t="s">
        <v>222</v>
      </c>
      <c s="1" t="s">
        <v>223</v>
      </c>
      <c s="1" t="s">
        <v>224</v>
      </c>
      <c s="1" t="s">
        <v>225</v>
      </c>
      <c s="1" t="s">
        <v>226</v>
      </c>
      <c s="1" t="s">
        <v>227</v>
      </c>
      <c s="1" t="s">
        <v>228</v>
      </c>
      <c s="1" t="s">
        <v>229</v>
      </c>
      <c s="1" t="s">
        <v>230</v>
      </c>
      <c s="1" t="s">
        <v>231</v>
      </c>
      <c s="1" t="s">
        <v>232</v>
      </c>
      <c s="1" t="s">
        <v>233</v>
      </c>
      <c s="1" t="s">
        <v>234</v>
      </c>
      <c s="1" t="s">
        <v>235</v>
      </c>
      <c s="1" t="s">
        <v>236</v>
      </c>
      <c s="1" t="s">
        <v>237</v>
      </c>
      <c s="1" t="s">
        <v>238</v>
      </c>
      <c s="1" t="s">
        <v>239</v>
      </c>
      <c s="1" t="s">
        <v>244</v>
      </c>
      <c s="1" t="s">
        <v>245</v>
      </c>
      <c s="1"/>
      <c s="1" t="s">
        <v>46</v>
      </c>
      <c s="55"/>
      <c s="1" t="s">
        <v>47</v>
      </c>
      <c s="1" t="s">
        <v>48</v>
      </c>
      <c t="s">
        <v>49</v>
      </c>
      <c r="JK3" s="1" t="s">
        <v>240</v>
      </c>
      <c s="1" t="s">
        <v>241</v>
      </c>
    </row>
    <row r="10001">
      <c r="JK10001">
        <v>271</v>
      </c>
      <c>
        <v>10003</v>
      </c>
    </row>
    <row ht="45">
      <c r="JK10002" s="1" t="s">
        <v>242</v>
      </c>
      <c s="1" t="s">
        <v>243</v>
      </c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244"/>
  <sheetViews>
    <sheetView tabSelected="1"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7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40"/>
      <c s="40"/>
      <c s="51"/>
      <c s="49" t="s">
        <v>15</v>
      </c>
      <c s="48"/>
      <c s="46"/>
    </row>
    <row>
      <c r="C3" s="40"/>
      <c s="40"/>
      <c s="51"/>
      <c s="49" t="s">
        <v>14</v>
      </c>
      <c s="48"/>
      <c s="46"/>
    </row>
    <row>
      <c r="C4" s="30"/>
      <c s="30"/>
      <c s="30"/>
      <c s="49" t="s">
        <v>300</v>
      </c>
      <c s="48"/>
      <c s="46"/>
    </row>
    <row>
      <c r="C5" s="30"/>
      <c s="30"/>
      <c s="30"/>
      <c s="56">
        <v>43827</v>
      </c>
      <c s="48"/>
      <c s="46"/>
    </row>
    <row r="7" thickBot="1">
      <c r="B7" s="14" t="s">
        <v>0</v>
      </c>
      <c s="19"/>
      <c s="19"/>
      <c s="28"/>
      <c s="28"/>
      <c s="53"/>
      <c s="8"/>
    </row>
    <row>
      <c r="B8" s="2"/>
      <c s="26" t="s">
        <v>6</v>
      </c>
      <c s="15"/>
      <c s="21"/>
      <c s="21"/>
      <c s="20"/>
      <c s="8"/>
    </row>
    <row s="5" customFormat="1">
      <c r="B9" s="2"/>
      <c s="9"/>
      <c s="3" t="s">
        <v>1</v>
      </c>
      <c s="3"/>
      <c s="3"/>
      <c s="11">
        <f>SUM(OSRRefG10x_0)</f>
        <v>13759418.350000001</v>
      </c>
      <c s="2"/>
    </row>
    <row outlineLevel="1" collapsed="1">
      <c r="B10" s="2"/>
      <c s="9"/>
      <c s="3"/>
      <c s="7" t="s">
        <v>313</v>
      </c>
      <c s="7"/>
      <c s="20">
        <f>SUM(OSRRefG11_0x_0)</f>
        <v>2605277.6200000001</v>
      </c>
      <c s="8"/>
    </row>
    <row ht="15" hidden="1" outlineLevel="2" s="13" customFormat="1">
      <c s="18"/>
      <c s="16"/>
      <c s="17"/>
      <c s="22"/>
      <c r="F11" s="4" t="str">
        <f>CONCATENATE("1101", " - ", "VAULT FUND")</f>
        <v>1101 - VAULT FUND</v>
      </c>
      <c s="12">
        <v>73988.850000000006</v>
      </c>
      <c s="10"/>
    </row>
    <row ht="15" hidden="1" outlineLevel="2" s="13" customFormat="1">
      <c s="18"/>
      <c s="16"/>
      <c s="17"/>
      <c s="22"/>
      <c r="F12" s="4" t="str">
        <f>CONCATENATE("1102", " - ", "IMPREST FUND-FOOD SVC")</f>
        <v>1102 - IMPREST FUND-FOOD SVC</v>
      </c>
      <c s="12">
        <v>150</v>
      </c>
      <c s="10"/>
    </row>
    <row ht="15" hidden="1" outlineLevel="2" s="13" customFormat="1">
      <c s="18"/>
      <c s="16"/>
      <c s="17"/>
      <c s="22"/>
      <c r="F13" s="4" t="str">
        <f>CONCATENATE("1103", " - ", "IMPREST FUND-BOOKSTORE")</f>
        <v>1103 - IMPREST FUND-BOOKSTORE</v>
      </c>
      <c s="12">
        <v>1336</v>
      </c>
      <c s="10"/>
    </row>
    <row ht="15" hidden="1" outlineLevel="2" s="13" customFormat="1">
      <c s="18"/>
      <c s="16"/>
      <c s="17"/>
      <c s="22"/>
      <c r="F14" s="4" t="str">
        <f>CONCATENATE("1104", " - ", "PETTY CASH FUND")</f>
        <v>1104 - PETTY CASH FUND</v>
      </c>
      <c s="12">
        <v>2500</v>
      </c>
      <c s="10"/>
    </row>
    <row ht="15" hidden="1" outlineLevel="2" s="13" customFormat="1">
      <c s="18"/>
      <c s="16"/>
      <c s="17"/>
      <c s="22"/>
      <c r="F15" s="4" t="str">
        <f>CONCATENATE("1106", " - ", "CITY NATIONAL BANK-GEN. CKG.")</f>
        <v>1106 - CITY NATIONAL BANK-GEN. CKG.</v>
      </c>
      <c s="12">
        <v>129193.15000000001</v>
      </c>
      <c s="10"/>
    </row>
    <row ht="15" hidden="1" outlineLevel="2" s="13" customFormat="1">
      <c s="18"/>
      <c s="16"/>
      <c s="17"/>
      <c s="22"/>
      <c r="F16" s="4" t="str">
        <f>CONCATENATE("1110", " - ", "CITY NATIONAL BANK-P/R ACCOUNT")</f>
        <v>1110 - CITY NATIONAL BANK-P/R ACCOUNT</v>
      </c>
      <c s="12">
        <v>-8632.0900000000001</v>
      </c>
      <c s="10"/>
    </row>
    <row ht="15" hidden="1" outlineLevel="2" s="13" customFormat="1">
      <c s="18"/>
      <c s="16"/>
      <c s="17"/>
      <c s="22"/>
      <c r="F17" s="4" t="str">
        <f>CONCATENATE("1111", " - ", "CITY NATIONAL BANK- LADDER ACC")</f>
        <v>1111 - CITY NATIONAL BANK- LADDER ACC</v>
      </c>
      <c s="12">
        <v>2406741.71</v>
      </c>
      <c s="10"/>
    </row>
    <row outlineLevel="1" collapsed="1" s="29" customFormat="1">
      <c s="5"/>
      <c s="2"/>
      <c s="9"/>
      <c s="3"/>
      <c s="7" t="s">
        <v>314</v>
      </c>
      <c s="7"/>
      <c s="20">
        <f>SUM(OSRRefG11_1x_0)</f>
        <v>9819408.5899999999</v>
      </c>
      <c s="8"/>
    </row>
    <row ht="15" hidden="1" outlineLevel="2" s="13" customFormat="1">
      <c s="18"/>
      <c s="16"/>
      <c s="17"/>
      <c s="22"/>
      <c r="F19" s="4" t="str">
        <f>CONCATENATE("1112", " - ", "WELLS FARGO BANK-AC#04723-3500")</f>
        <v>1112 - WELLS FARGO BANK-AC#04723-3500</v>
      </c>
      <c s="12">
        <v>533765.32999999996</v>
      </c>
      <c s="10"/>
    </row>
    <row ht="15" hidden="1" outlineLevel="2" s="13" customFormat="1">
      <c s="18"/>
      <c s="16"/>
      <c s="17"/>
      <c s="22"/>
      <c r="F20" s="4" t="str">
        <f>CONCATENATE("1122", " - ", "SICK LEAVE RESERVES")</f>
        <v>1122 - SICK LEAVE RESERVES</v>
      </c>
      <c s="12">
        <v>768431.67000000004</v>
      </c>
      <c s="10"/>
    </row>
    <row ht="15" hidden="1" outlineLevel="2" s="13" customFormat="1">
      <c s="18"/>
      <c s="16"/>
      <c s="17"/>
      <c s="22"/>
      <c r="F21" s="4" t="str">
        <f>CONCATENATE("1125", " - ", "BEACH CLUB DEPOSITS")</f>
        <v>1125 - BEACH CLUB DEPOSITS</v>
      </c>
      <c s="12">
        <v>400000</v>
      </c>
      <c s="10"/>
    </row>
    <row ht="15" hidden="1" outlineLevel="2" s="13" customFormat="1">
      <c s="18"/>
      <c s="16"/>
      <c s="17"/>
      <c s="22"/>
      <c r="F22" s="4" t="str">
        <f>CONCATENATE("1126", " - ", "PERS UNFUNDED LIABILITY")</f>
        <v>1126 - PERS UNFUNDED LIABILITY</v>
      </c>
      <c s="12">
        <v>3539063.6199999996</v>
      </c>
      <c s="10"/>
    </row>
    <row ht="15" hidden="1" outlineLevel="2" s="13" customFormat="1">
      <c s="18"/>
      <c s="16"/>
      <c s="17"/>
      <c s="22"/>
      <c r="F23" s="4" t="str">
        <f>CONCATENATE("1128", " - ", "SRB FUNDING- OUTPOST")</f>
        <v>1128 - SRB FUNDING- OUTPOST</v>
      </c>
      <c s="12">
        <v>3178147.9700000002</v>
      </c>
      <c s="10"/>
    </row>
    <row ht="15" hidden="1" outlineLevel="2" s="13" customFormat="1">
      <c s="18"/>
      <c s="16"/>
      <c s="17"/>
      <c s="22"/>
      <c r="F24" s="4" t="str">
        <f>CONCATENATE("1129", " - ", "VEBA/POST RETIREMENT MEDICAL")</f>
        <v>1129 - VEBA/POST RETIREMENT MEDICAL</v>
      </c>
      <c s="12">
        <v>400000</v>
      </c>
      <c s="10"/>
    </row>
    <row ht="15" hidden="1" outlineLevel="2" s="13" customFormat="1">
      <c s="18"/>
      <c s="16"/>
      <c s="17"/>
      <c s="22"/>
      <c r="F25" s="4" t="str">
        <f>CONCATENATE("1130", " - ", "UDP REPAIR/REPLACEMENT")</f>
        <v>1130 - UDP REPAIR/REPLACEMENT</v>
      </c>
      <c s="12">
        <v>1000000</v>
      </c>
      <c s="10"/>
    </row>
    <row outlineLevel="1" collapsed="1" s="29" customFormat="1">
      <c s="5"/>
      <c s="2"/>
      <c s="9"/>
      <c s="3"/>
      <c s="7" t="s">
        <v>315</v>
      </c>
      <c s="7"/>
      <c s="20">
        <f>SUM(OSRRefG11_2x_0)</f>
        <v>1334732.1399999997</v>
      </c>
      <c s="8"/>
    </row>
    <row ht="15" hidden="1" outlineLevel="2" s="13" customFormat="1">
      <c s="18"/>
      <c s="16"/>
      <c s="17"/>
      <c s="22"/>
      <c r="F27" s="4" t="str">
        <f>CONCATENATE("1108", " - ", "INVESTMENTS - BROKERS")</f>
        <v>1108 - INVESTMENTS - BROKERS</v>
      </c>
      <c s="12">
        <v>144069.35000000001</v>
      </c>
      <c s="10"/>
    </row>
    <row ht="15" hidden="1" outlineLevel="2" s="13" customFormat="1">
      <c s="18"/>
      <c s="16"/>
      <c s="17"/>
      <c s="22"/>
      <c r="F28" s="4" t="str">
        <f>CONCATENATE("1109", " - ", "INVESTMENTS - BANKS")</f>
        <v>1109 - INVESTMENTS - BANKS</v>
      </c>
      <c s="12">
        <v>-855863.04000000004</v>
      </c>
      <c s="10"/>
    </row>
    <row ht="15" hidden="1" outlineLevel="2" s="13" customFormat="1">
      <c s="18"/>
      <c s="16"/>
      <c s="17"/>
      <c s="22"/>
      <c r="F29" s="4" t="str">
        <f>CONCATENATE("1118", " - ", "ALLOWANCE FOR FMV OF INVESTMEN")</f>
        <v>1118 - ALLOWANCE FOR FMV OF INVESTMEN</v>
      </c>
      <c s="12">
        <v>2046525.8299999998</v>
      </c>
      <c s="10"/>
    </row>
    <row ht="8.25" customHeight="1">
      <c r="B30" s="2"/>
      <c s="9"/>
      <c s="3"/>
      <c s="7"/>
      <c s="7"/>
      <c s="20"/>
      <c s="8"/>
    </row>
    <row collapsed="1" s="5" customFormat="1">
      <c r="B31" s="2"/>
      <c s="9"/>
      <c s="3" t="s">
        <v>16</v>
      </c>
      <c s="3"/>
      <c s="3"/>
      <c s="11">
        <f>SUM(OSRRefG14x_0)</f>
        <v>1179526.7700000003</v>
      </c>
      <c s="2"/>
    </row>
    <row ht="15" hidden="1" outlineLevel="1" s="13" customFormat="1">
      <c s="18"/>
      <c s="16"/>
      <c s="17"/>
      <c s="22"/>
      <c s="4" t="str">
        <f>CONCATENATE("1210", " - ", "A/R - BOOKSTORE")</f>
        <v>1210 - A/R - BOOKSTORE</v>
      </c>
      <c s="4"/>
      <c s="12">
        <v>401332.5</v>
      </c>
      <c s="10"/>
    </row>
    <row ht="15" hidden="1" outlineLevel="1" s="13" customFormat="1">
      <c s="18"/>
      <c s="16"/>
      <c s="17"/>
      <c s="22"/>
      <c s="4" t="str">
        <f>CONCATENATE("1211", " - ", "A/R - REBATE RECEIVABLE")</f>
        <v>1211 - A/R - REBATE RECEIVABLE</v>
      </c>
      <c s="4"/>
      <c s="12">
        <v>334350.28000000003</v>
      </c>
      <c s="10"/>
    </row>
    <row ht="15" hidden="1" outlineLevel="1" s="13" customFormat="1">
      <c s="18"/>
      <c s="16"/>
      <c s="17"/>
      <c s="22"/>
      <c s="4" t="str">
        <f>CONCATENATE("1212", " - ", "A/R - TAPINGO SALES")</f>
        <v>1212 - A/R - TAPINGO SALES</v>
      </c>
      <c s="4"/>
      <c s="12">
        <v>142237.62</v>
      </c>
      <c s="10"/>
    </row>
    <row ht="15" hidden="1" outlineLevel="1" s="13" customFormat="1">
      <c s="18"/>
      <c s="16"/>
      <c s="17"/>
      <c s="22"/>
      <c s="4" t="str">
        <f>CONCATENATE("1215", " - ", "A/R - OFFSET BOOKSTORE")</f>
        <v>1215 - A/R - OFFSET BOOKSTORE</v>
      </c>
      <c s="4"/>
      <c s="12">
        <v>2511.9299999999998</v>
      </c>
      <c s="10"/>
    </row>
    <row ht="15" hidden="1" outlineLevel="1" s="13" customFormat="1">
      <c s="18"/>
      <c s="16"/>
      <c s="17"/>
      <c s="22"/>
      <c s="4" t="str">
        <f>CONCATENATE("1220", " - ", "A/R - FOOD SERVICE")</f>
        <v>1220 - A/R - FOOD SERVICE</v>
      </c>
      <c s="4"/>
      <c s="12">
        <v>0</v>
      </c>
      <c s="10"/>
    </row>
    <row ht="15" hidden="1" outlineLevel="1" s="13" customFormat="1">
      <c s="18"/>
      <c s="16"/>
      <c s="17"/>
      <c s="22"/>
      <c s="4" t="str">
        <f>CONCATENATE("1222", " - ", "A/R - VENDOR/LEASEE")</f>
        <v>1222 - A/R - VENDOR/LEASEE</v>
      </c>
      <c s="4"/>
      <c s="12">
        <v>1020.63</v>
      </c>
      <c s="10"/>
    </row>
    <row ht="15" hidden="1" outlineLevel="1" s="13" customFormat="1">
      <c s="18"/>
      <c s="16"/>
      <c s="17"/>
      <c s="22"/>
      <c s="4" t="str">
        <f>CONCATENATE("1225", " - ", "A/R - OFFSET FOOD SERVICE")</f>
        <v>1225 - A/R - OFFSET FOOD SERVICE</v>
      </c>
      <c s="4"/>
      <c s="12">
        <v>-15440.32</v>
      </c>
      <c s="10"/>
    </row>
    <row ht="15" hidden="1" outlineLevel="1" s="13" customFormat="1">
      <c s="18"/>
      <c s="16"/>
      <c s="17"/>
      <c s="22"/>
      <c s="4" t="str">
        <f>CONCATENATE("1240", " - ", "A/R - NSF CHECKS")</f>
        <v>1240 - A/R - NSF CHECKS</v>
      </c>
      <c s="4"/>
      <c s="12">
        <v>422.49000000000001</v>
      </c>
      <c s="10"/>
    </row>
    <row ht="15" hidden="1" outlineLevel="1" s="13" customFormat="1">
      <c s="18"/>
      <c s="16"/>
      <c s="17"/>
      <c s="22"/>
      <c s="4" t="str">
        <f>CONCATENATE("1250", " - ", "A/R - DORMS")</f>
        <v>1250 - A/R - DORMS</v>
      </c>
      <c s="4"/>
      <c s="12">
        <v>226274.10000000001</v>
      </c>
      <c s="10"/>
    </row>
    <row ht="15" hidden="1" outlineLevel="1" s="13" customFormat="1">
      <c s="18"/>
      <c s="16"/>
      <c s="17"/>
      <c s="22"/>
      <c s="4" t="str">
        <f>CONCATENATE("1254", " - ", "A/R - ONE CARD SYSTEM")</f>
        <v>1254 - A/R - ONE CARD SYSTEM</v>
      </c>
      <c s="4"/>
      <c s="12">
        <v>68830</v>
      </c>
      <c s="10"/>
    </row>
    <row ht="15" hidden="1" outlineLevel="1" s="13" customFormat="1">
      <c s="18"/>
      <c s="16"/>
      <c s="17"/>
      <c s="22"/>
      <c s="4" t="str">
        <f>CONCATENATE("1255", " - ", "A/R - UNIV STUDENT UNION")</f>
        <v>1255 - A/R - UNIV STUDENT UNION</v>
      </c>
      <c s="4"/>
      <c s="12">
        <v>-1.01</v>
      </c>
      <c s="10"/>
    </row>
    <row ht="15" hidden="1" outlineLevel="1" s="13" customFormat="1">
      <c s="18"/>
      <c s="16"/>
      <c s="17"/>
      <c s="22"/>
      <c s="4" t="str">
        <f>CONCATENATE("1260", " - ", "A/R - M/C - VISA DRAFTS")</f>
        <v>1260 - A/R - M/C - VISA DRAFTS</v>
      </c>
      <c s="4"/>
      <c s="12">
        <v>-27008.619999999999</v>
      </c>
      <c s="10"/>
    </row>
    <row ht="15" hidden="1" outlineLevel="1" s="13" customFormat="1">
      <c s="18"/>
      <c s="16"/>
      <c s="17"/>
      <c s="22"/>
      <c s="4" t="str">
        <f>CONCATENATE("1261", " - ", "A/R - WEBSITE CREDIT CARDS")</f>
        <v>1261 - A/R - WEBSITE CREDIT CARDS</v>
      </c>
      <c s="4"/>
      <c s="12">
        <v>43266.099999999999</v>
      </c>
      <c s="10"/>
    </row>
    <row ht="15" hidden="1" outlineLevel="1" s="13" customFormat="1">
      <c s="18"/>
      <c s="16"/>
      <c s="17"/>
      <c s="22"/>
      <c s="4" t="str">
        <f>CONCATENATE("1262", " - ", "A/R - STARBUCKS GIFT CARD")</f>
        <v>1262 - A/R - STARBUCKS GIFT CARD</v>
      </c>
      <c s="4"/>
      <c s="12">
        <v>-1650.5899999999999</v>
      </c>
      <c s="10"/>
    </row>
    <row ht="15" hidden="1" outlineLevel="1" s="13" customFormat="1">
      <c s="18"/>
      <c s="16"/>
      <c s="17"/>
      <c s="22"/>
      <c s="4" t="str">
        <f>CONCATENATE("1271", " - ", "A/R - C.S.C.")</f>
        <v>1271 - A/R - C.S.C.</v>
      </c>
      <c s="4"/>
      <c s="12">
        <v>104.19</v>
      </c>
      <c s="10"/>
    </row>
    <row ht="15" hidden="1" outlineLevel="1" s="13" customFormat="1">
      <c s="18"/>
      <c s="16"/>
      <c s="17"/>
      <c s="22"/>
      <c s="4" t="str">
        <f>CONCATENATE("1275", " - ", "A/R - BEACH BUCKS")</f>
        <v>1275 - A/R - BEACH BUCKS</v>
      </c>
      <c s="4"/>
      <c s="12">
        <v>0</v>
      </c>
      <c s="10"/>
    </row>
    <row ht="15" hidden="1" outlineLevel="1" s="13" customFormat="1">
      <c s="18"/>
      <c s="16"/>
      <c s="17"/>
      <c s="22"/>
      <c s="4" t="str">
        <f>CONCATENATE("1285", " - ", "A/R - ADVANCES")</f>
        <v>1285 - A/R - ADVANCES</v>
      </c>
      <c s="4"/>
      <c s="12">
        <v>0</v>
      </c>
      <c s="10"/>
    </row>
    <row ht="15" hidden="1" outlineLevel="1" s="13" customFormat="1">
      <c s="18"/>
      <c s="16"/>
      <c s="17"/>
      <c s="22"/>
      <c s="4" t="str">
        <f>CONCATENATE("1286", " - ", "A/R - EMPLOYEES")</f>
        <v>1286 - A/R - EMPLOYEES</v>
      </c>
      <c s="4"/>
      <c s="12">
        <v>2547.8600000000001</v>
      </c>
      <c s="10"/>
    </row>
    <row ht="15" hidden="1" outlineLevel="1" s="13" customFormat="1">
      <c s="18"/>
      <c s="16"/>
      <c s="17"/>
      <c s="22"/>
      <c s="4" t="str">
        <f>CONCATENATE("1287", " - ", "A/R - EMPLOYEES SAFETY SHOES")</f>
        <v>1287 - A/R - EMPLOYEES SAFETY SHOES</v>
      </c>
      <c s="4"/>
      <c s="12">
        <v>729.61000000000001</v>
      </c>
      <c s="10"/>
    </row>
    <row ht="15" hidden="1" outlineLevel="1" s="13" customFormat="1">
      <c s="18"/>
      <c s="16"/>
      <c s="17"/>
      <c s="22"/>
      <c s="4" t="str">
        <f>CONCATENATE("3296", " - ", "A/R - INTERFUND - CONTINGENCY")</f>
        <v>3296 - A/R - INTERFUND - CONTINGENCY</v>
      </c>
      <c s="4"/>
      <c s="12">
        <v>-167269.59</v>
      </c>
      <c s="10"/>
    </row>
    <row ht="15" hidden="1" outlineLevel="1" s="13" customFormat="1">
      <c s="18"/>
      <c s="16"/>
      <c s="17"/>
      <c s="22"/>
      <c s="4" t="str">
        <f>CONCATENATE("3590", " - ", "INTERFUND ACCOUNT-CONTINGENCY")</f>
        <v>3590 - INTERFUND ACCOUNT-CONTINGENCY</v>
      </c>
      <c s="4"/>
      <c s="12">
        <v>167269.59</v>
      </c>
      <c s="10"/>
    </row>
    <row ht="8.25" customHeight="1">
      <c r="B53" s="2"/>
      <c s="9"/>
      <c s="3"/>
      <c s="7"/>
      <c s="7"/>
      <c s="20"/>
      <c s="8"/>
    </row>
    <row collapsed="1" s="5" customFormat="1">
      <c r="B54" s="2"/>
      <c s="9"/>
      <c s="3" t="s">
        <v>17</v>
      </c>
      <c s="3"/>
      <c s="3"/>
      <c s="11">
        <f>SUM(OSRRefG17x_0)</f>
        <v>3094903.6699999999</v>
      </c>
      <c s="2"/>
    </row>
    <row ht="15" hidden="1" outlineLevel="1" s="13" customFormat="1">
      <c s="18"/>
      <c s="16"/>
      <c s="17"/>
      <c s="4"/>
      <c s="4" t="str">
        <f>CONCATENATE("1301", " - ", "INVENTORY @ COST-NEW TEXT")</f>
        <v>1301 - INVENTORY @ COST-NEW TEXT</v>
      </c>
      <c s="4"/>
      <c s="12">
        <v>1142036</v>
      </c>
      <c s="10"/>
    </row>
    <row ht="15" hidden="1" outlineLevel="1" s="13" customFormat="1">
      <c s="18"/>
      <c s="16"/>
      <c s="17"/>
      <c s="4"/>
      <c s="4" t="str">
        <f>CONCATENATE("1302", " - ", "INVENTORY @ COST-USED TEXT")</f>
        <v>1302 - INVENTORY @ COST-USED TEXT</v>
      </c>
      <c s="4"/>
      <c s="12">
        <v>112404</v>
      </c>
      <c s="10"/>
    </row>
    <row ht="15" hidden="1" outlineLevel="1" s="13" customFormat="1">
      <c s="18"/>
      <c s="16"/>
      <c s="17"/>
      <c s="4"/>
      <c s="4" t="str">
        <f>CONCATENATE("1303", " - ", "INVENTORY @ COST-NEXT")</f>
        <v>1303 - INVENTORY @ COST-NEXT</v>
      </c>
      <c s="4"/>
      <c s="12">
        <v>-8830</v>
      </c>
      <c s="10"/>
    </row>
    <row ht="15" hidden="1" outlineLevel="1" s="13" customFormat="1">
      <c s="18"/>
      <c s="16"/>
      <c s="17"/>
      <c s="4"/>
      <c s="4" t="str">
        <f>CONCATENATE("1304", " - ", "INVENTORY @ COST-DIGITAL BOOKS")</f>
        <v>1304 - INVENTORY @ COST-DIGITAL BOOKS</v>
      </c>
      <c s="4"/>
      <c s="12">
        <v>167580</v>
      </c>
      <c s="10"/>
    </row>
    <row ht="15" hidden="1" outlineLevel="1" s="13" customFormat="1">
      <c s="18"/>
      <c s="16"/>
      <c s="17"/>
      <c s="4"/>
      <c s="4" t="str">
        <f>CONCATENATE("1311", " - ", "INVENTORY @ COST-NO VALUE TEXT")</f>
        <v>1311 - INVENTORY @ COST-NO VALUE TEXT</v>
      </c>
      <c s="4"/>
      <c s="12">
        <v>3280</v>
      </c>
      <c s="10"/>
    </row>
    <row ht="15" hidden="1" outlineLevel="1" s="13" customFormat="1">
      <c s="18"/>
      <c s="16"/>
      <c s="17"/>
      <c s="4"/>
      <c s="4" t="str">
        <f>CONCATENATE("1313", " - ", "INVENTORY @ COST-TRADE BOOKS")</f>
        <v>1313 - INVENTORY @ COST-TRADE BOOKS</v>
      </c>
      <c s="4"/>
      <c s="12">
        <v>5450</v>
      </c>
      <c s="10"/>
    </row>
    <row ht="15" hidden="1" outlineLevel="1" s="13" customFormat="1">
      <c s="18"/>
      <c s="16"/>
      <c s="17"/>
      <c s="4"/>
      <c s="4" t="str">
        <f>CONCATENATE("1314", " - ", "INVENTORY @ COST-REMAINDERS")</f>
        <v>1314 - INVENTORY @ COST-REMAINDERS</v>
      </c>
      <c s="4"/>
      <c s="12">
        <v>-95</v>
      </c>
      <c s="10"/>
    </row>
    <row ht="15" hidden="1" outlineLevel="1" s="13" customFormat="1">
      <c s="18"/>
      <c s="16"/>
      <c s="17"/>
      <c s="4"/>
      <c s="4" t="str">
        <f>CONCATENATE("1317", " - ", "INVENTORY @ COST-DORMS/HOUSEWA")</f>
        <v>1317 - INVENTORY @ COST-DORMS/HOUSEWA</v>
      </c>
      <c s="4"/>
      <c s="12">
        <v>-58</v>
      </c>
      <c s="10"/>
    </row>
    <row ht="15" hidden="1" outlineLevel="1" s="13" customFormat="1">
      <c s="18"/>
      <c s="16"/>
      <c s="17"/>
      <c s="4"/>
      <c s="4" t="str">
        <f>CONCATENATE("1318", " - ", "INVENTORY @ COST-STUDY GUIDES")</f>
        <v>1318 - INVENTORY @ COST-STUDY GUIDES</v>
      </c>
      <c s="4"/>
      <c s="12">
        <v>3838.5300000000002</v>
      </c>
      <c s="10"/>
    </row>
    <row ht="15" hidden="1" outlineLevel="1" s="13" customFormat="1">
      <c s="18"/>
      <c s="16"/>
      <c s="17"/>
      <c s="4"/>
      <c s="4" t="str">
        <f>CONCATENATE("1325", " - ", "INVENTORY @ COST-TEST FORMS")</f>
        <v>1325 - INVENTORY @ COST-TEST FORMS</v>
      </c>
      <c s="4"/>
      <c s="12">
        <v>25814</v>
      </c>
      <c s="10"/>
    </row>
    <row ht="15" hidden="1" outlineLevel="1" s="13" customFormat="1">
      <c s="18"/>
      <c s="16"/>
      <c s="17"/>
      <c s="4"/>
      <c s="4" t="str">
        <f>CONCATENATE("1326", " - ", "INVENTORY @ COST-WRITING INSTR")</f>
        <v>1326 - INVENTORY @ COST-WRITING INSTR</v>
      </c>
      <c s="4"/>
      <c s="12">
        <v>37134</v>
      </c>
      <c s="10"/>
    </row>
    <row ht="15" hidden="1" outlineLevel="1" s="13" customFormat="1">
      <c s="18"/>
      <c s="16"/>
      <c s="17"/>
      <c s="4"/>
      <c s="4" t="str">
        <f>CONCATENATE("1327", " - ", "INVENTORY @ COST-SCHOOL SUPPLI")</f>
        <v>1327 - INVENTORY @ COST-SCHOOL SUPPLI</v>
      </c>
      <c s="4"/>
      <c s="12">
        <v>58272</v>
      </c>
      <c s="10"/>
    </row>
    <row ht="15" hidden="1" outlineLevel="1" s="13" customFormat="1">
      <c s="18"/>
      <c s="16"/>
      <c s="17"/>
      <c s="4"/>
      <c s="4" t="str">
        <f>CONCATENATE("1328", " - ", "INVENTORY @ COST-ART/TECH")</f>
        <v>1328 - INVENTORY @ COST-ART/TECH</v>
      </c>
      <c s="4"/>
      <c s="12">
        <v>72638</v>
      </c>
      <c s="10"/>
    </row>
    <row ht="15" hidden="1" outlineLevel="1" s="13" customFormat="1">
      <c s="18"/>
      <c s="16"/>
      <c s="17"/>
      <c s="4"/>
      <c s="4" t="str">
        <f>CONCATENATE("1331", " - ", "INVENTORY @ COST-FOOD")</f>
        <v>1331 - INVENTORY @ COST-FOOD</v>
      </c>
      <c s="4"/>
      <c s="12">
        <v>162984.91</v>
      </c>
      <c s="10"/>
    </row>
    <row ht="15" hidden="1" outlineLevel="1" s="13" customFormat="1">
      <c s="18"/>
      <c s="16"/>
      <c s="17"/>
      <c s="4"/>
      <c s="4" t="str">
        <f>CONCATENATE("1332", " - ", "INVENTORY @ COST-JUICE")</f>
        <v>1332 - INVENTORY @ COST-JUICE</v>
      </c>
      <c s="4"/>
      <c s="12">
        <v>-249</v>
      </c>
      <c s="10"/>
    </row>
    <row ht="15" hidden="1" outlineLevel="1" s="13" customFormat="1">
      <c s="18"/>
      <c s="16"/>
      <c s="17"/>
      <c s="4"/>
      <c s="4" t="str">
        <f>CONCATENATE("1333", " - ", "INVENTORY @ COST-CANDY")</f>
        <v>1333 - INVENTORY @ COST-CANDY</v>
      </c>
      <c s="4"/>
      <c s="12">
        <v>2149</v>
      </c>
      <c s="10"/>
    </row>
    <row ht="15" hidden="1" outlineLevel="1" s="13" customFormat="1">
      <c s="18"/>
      <c s="16"/>
      <c s="17"/>
      <c s="4"/>
      <c s="4" t="str">
        <f>CONCATENATE("1334", " - ", "INVENTORY @ COST-SODA")</f>
        <v>1334 - INVENTORY @ COST-SODA</v>
      </c>
      <c s="4"/>
      <c s="12">
        <v>537</v>
      </c>
      <c s="10"/>
    </row>
    <row ht="15" hidden="1" outlineLevel="1" s="13" customFormat="1">
      <c s="18"/>
      <c s="16"/>
      <c s="17"/>
      <c s="4"/>
      <c s="4" t="str">
        <f>CONCATENATE("1335", " - ", "INVENTORY @ COST-HEALTH &amp; BEAU")</f>
        <v>1335 - INVENTORY @ COST-HEALTH &amp; BEAU</v>
      </c>
      <c s="4"/>
      <c s="12">
        <v>638</v>
      </c>
      <c s="10"/>
    </row>
    <row ht="15" hidden="1" outlineLevel="1" s="13" customFormat="1">
      <c s="18"/>
      <c s="16"/>
      <c s="17"/>
      <c s="4"/>
      <c s="4" t="str">
        <f>CONCATENATE("1337", " - ", "INVENTORY @ COST-WATER")</f>
        <v>1337 - INVENTORY @ COST-WATER</v>
      </c>
      <c s="4"/>
      <c s="12">
        <v>841</v>
      </c>
      <c s="10"/>
    </row>
    <row ht="15" hidden="1" outlineLevel="1" s="13" customFormat="1">
      <c s="18"/>
      <c s="16"/>
      <c s="17"/>
      <c s="4"/>
      <c s="4" t="str">
        <f>CONCATENATE("1340", " - ", "INVENTORY @ COST-LOGO CLOTHING")</f>
        <v>1340 - INVENTORY @ COST-LOGO CLOTHING</v>
      </c>
      <c s="4"/>
      <c s="12">
        <v>497880.00000000006</v>
      </c>
      <c s="10"/>
    </row>
    <row ht="15" hidden="1" outlineLevel="1" s="13" customFormat="1">
      <c s="18"/>
      <c s="16"/>
      <c s="17"/>
      <c s="4"/>
      <c s="4" t="str">
        <f>CONCATENATE("1341", " - ", "INVENTORY @ COST-LOGO GIFTS")</f>
        <v>1341 - INVENTORY @ COST-LOGO GIFTS</v>
      </c>
      <c s="4"/>
      <c s="12">
        <v>172244</v>
      </c>
      <c s="10"/>
    </row>
    <row ht="15" hidden="1" outlineLevel="1" s="13" customFormat="1">
      <c s="18"/>
      <c s="16"/>
      <c s="17"/>
      <c s="4"/>
      <c s="4" t="str">
        <f>CONCATENATE("1342", " - ", "INVENTORY @ COST-EVERYDAY GIFT")</f>
        <v>1342 - INVENTORY @ COST-EVERYDAY GIFT</v>
      </c>
      <c s="4"/>
      <c s="12">
        <v>86940</v>
      </c>
      <c s="10"/>
    </row>
    <row ht="15" hidden="1" outlineLevel="1" s="13" customFormat="1">
      <c s="18"/>
      <c s="16"/>
      <c s="17"/>
      <c s="4"/>
      <c s="4" t="str">
        <f>CONCATENATE("1343", " - ", "INVENTORY @ COST-CARDS")</f>
        <v>1343 - INVENTORY @ COST-CARDS</v>
      </c>
      <c s="4"/>
      <c s="12">
        <v>-2279</v>
      </c>
      <c s="10"/>
    </row>
    <row ht="15" hidden="1" outlineLevel="1" s="13" customFormat="1">
      <c s="18"/>
      <c s="16"/>
      <c s="17"/>
      <c s="4"/>
      <c s="4" t="str">
        <f>CONCATENATE("1344", " - ", "INVENTORY @ COST-ACCESSORIES")</f>
        <v>1344 - INVENTORY @ COST-ACCESSORIES</v>
      </c>
      <c s="4"/>
      <c s="12">
        <v>18119</v>
      </c>
      <c s="10"/>
    </row>
    <row ht="15" hidden="1" outlineLevel="1" s="13" customFormat="1">
      <c s="18"/>
      <c s="16"/>
      <c s="17"/>
      <c s="4"/>
      <c s="4" t="str">
        <f>CONCATENATE("1345", " - ", "INVENTORY @ COST-SPECIAL ORDER")</f>
        <v>1345 - INVENTORY @ COST-SPECIAL ORDER</v>
      </c>
      <c s="4"/>
      <c s="12">
        <v>3273</v>
      </c>
      <c s="10"/>
    </row>
    <row ht="15" hidden="1" outlineLevel="1" s="13" customFormat="1">
      <c s="18"/>
      <c s="16"/>
      <c s="17"/>
      <c s="4"/>
      <c s="4" t="str">
        <f>CONCATENATE("1350", " - ", "INVENTORY @ COST-CAFETERIA")</f>
        <v>1350 - INVENTORY @ COST-CAFETERIA</v>
      </c>
      <c s="4"/>
      <c s="12">
        <v>157223.23000000001</v>
      </c>
      <c s="10"/>
    </row>
    <row ht="15" hidden="1" outlineLevel="1" s="13" customFormat="1">
      <c s="18"/>
      <c s="16"/>
      <c s="17"/>
      <c s="4"/>
      <c s="4" t="str">
        <f>CONCATENATE("1359", " - ", "INVENTORY @ COST-CARTS")</f>
        <v>1359 - INVENTORY @ COST-CARTS</v>
      </c>
      <c s="4"/>
      <c s="12">
        <v>32059</v>
      </c>
      <c s="10"/>
    </row>
    <row ht="15" hidden="1" outlineLevel="1" s="13" customFormat="1">
      <c s="18"/>
      <c s="16"/>
      <c s="17"/>
      <c s="4"/>
      <c s="4" t="str">
        <f>CONCATENATE("1370", " - ", "INVENTORY @ COST-HILLSIDE")</f>
        <v>1370 - INVENTORY @ COST-HILLSIDE</v>
      </c>
      <c s="4"/>
      <c s="12">
        <v>13060</v>
      </c>
      <c s="10"/>
    </row>
    <row ht="15" hidden="1" outlineLevel="1" s="13" customFormat="1">
      <c s="18"/>
      <c s="16"/>
      <c s="17"/>
      <c s="4"/>
      <c s="4" t="str">
        <f>CONCATENATE("1380", " - ", "INVENTORY @ COST-PARKSIDE COMM")</f>
        <v>1380 - INVENTORY @ COST-PARKSIDE COMM</v>
      </c>
      <c s="4"/>
      <c s="12">
        <v>25159</v>
      </c>
      <c s="10"/>
    </row>
    <row ht="15" hidden="1" outlineLevel="1" s="13" customFormat="1">
      <c s="18"/>
      <c s="16"/>
      <c s="17"/>
      <c s="4"/>
      <c s="4" t="str">
        <f>CONCATENATE("1381", " - ", "INVENTORY @ COST-ELECTRONICS")</f>
        <v>1381 - INVENTORY @ COST-ELECTRONICS</v>
      </c>
      <c s="4"/>
      <c s="12">
        <v>39264</v>
      </c>
      <c s="10"/>
    </row>
    <row ht="15" hidden="1" outlineLevel="1" s="13" customFormat="1">
      <c s="18"/>
      <c s="16"/>
      <c s="17"/>
      <c s="4"/>
      <c s="4" t="str">
        <f>CONCATENATE("1382", " - ", "INVENTORY @ COST-COMPUTER HARD")</f>
        <v>1382 - INVENTORY @ COST-COMPUTER HARD</v>
      </c>
      <c s="4"/>
      <c s="12">
        <v>164861</v>
      </c>
      <c s="10"/>
    </row>
    <row ht="15" hidden="1" outlineLevel="1" s="13" customFormat="1">
      <c s="18"/>
      <c s="16"/>
      <c s="17"/>
      <c s="4"/>
      <c s="4" t="str">
        <f>CONCATENATE("1383", " - ", "INVENTORY @ COST-COMPUTER EQUI")</f>
        <v>1383 - INVENTORY @ COST-COMPUTER EQUI</v>
      </c>
      <c s="4"/>
      <c s="12">
        <v>43003</v>
      </c>
      <c s="10"/>
    </row>
    <row ht="15" hidden="1" outlineLevel="1" s="13" customFormat="1">
      <c s="18"/>
      <c s="16"/>
      <c s="17"/>
      <c s="4"/>
      <c s="4" t="str">
        <f>CONCATENATE("1384", " - ", "INVENTORY @ COST-SOFTWARE LICE")</f>
        <v>1384 - INVENTORY @ COST-SOFTWARE LICE</v>
      </c>
      <c s="4"/>
      <c s="12">
        <v>4910</v>
      </c>
      <c s="10"/>
    </row>
    <row ht="15" hidden="1" outlineLevel="1" s="13" customFormat="1">
      <c s="18"/>
      <c s="16"/>
      <c s="17"/>
      <c s="4"/>
      <c s="4" t="str">
        <f>CONCATENATE("1385", " - ", "INVENTORY @ COST-COMPUTER SOFT")</f>
        <v>1385 - INVENTORY @ COST-COMPUTER SOFT</v>
      </c>
      <c s="4"/>
      <c s="12">
        <v>4113</v>
      </c>
      <c s="10"/>
    </row>
    <row ht="15" hidden="1" outlineLevel="1" s="13" customFormat="1">
      <c s="18"/>
      <c s="16"/>
      <c s="17"/>
      <c s="4"/>
      <c s="4" t="str">
        <f>CONCATENATE("1386", " - ", "INVENTORY @ COST-COMPUTER SUPP")</f>
        <v>1386 - INVENTORY @ COST-COMPUTER SUPP</v>
      </c>
      <c s="4"/>
      <c s="12">
        <v>20724</v>
      </c>
      <c s="10"/>
    </row>
    <row ht="15" hidden="1" outlineLevel="1" s="13" customFormat="1">
      <c s="18"/>
      <c s="16"/>
      <c s="17"/>
      <c s="4"/>
      <c s="4" t="str">
        <f>CONCATENATE("1388", " - ", "INVENTORY @ COST-MUSIC")</f>
        <v>1388 - INVENTORY @ COST-MUSIC</v>
      </c>
      <c s="4"/>
      <c s="12">
        <v>1965</v>
      </c>
      <c s="10"/>
    </row>
    <row ht="15" hidden="1" outlineLevel="1" s="13" customFormat="1">
      <c s="18"/>
      <c s="16"/>
      <c s="17"/>
      <c s="4"/>
      <c s="4" t="str">
        <f>CONCATENATE("1390", " - ", "INVENTORY @ COST- BEACHSIDE")</f>
        <v>1390 - INVENTORY @ COST- BEACHSIDE</v>
      </c>
      <c s="4"/>
      <c s="12">
        <v>21351</v>
      </c>
      <c s="10"/>
    </row>
    <row ht="15" hidden="1" outlineLevel="1" s="13" customFormat="1">
      <c s="18"/>
      <c s="16"/>
      <c s="17"/>
      <c s="4"/>
      <c s="4" t="str">
        <f>CONCATENATE("1392", " - ", "INVENTORY @ COST-GRAD MERCH")</f>
        <v>1392 - INVENTORY @ COST-GRAD MERCH</v>
      </c>
      <c s="4"/>
      <c s="12">
        <v>4652</v>
      </c>
      <c s="10"/>
    </row>
    <row ht="15" hidden="1" outlineLevel="1" s="13" customFormat="1">
      <c s="18"/>
      <c s="16"/>
      <c s="17"/>
      <c s="4"/>
      <c s="4" t="str">
        <f>CONCATENATE("1395", " - ", "INVENTORY @ COST-CUSTOMER SERV")</f>
        <v>1395 - INVENTORY @ COST-CUSTOMER SERV</v>
      </c>
      <c s="4"/>
      <c s="12">
        <v>18</v>
      </c>
      <c s="10"/>
    </row>
    <row ht="15" hidden="1" outlineLevel="1" s="13" customFormat="1">
      <c s="18"/>
      <c s="16"/>
      <c s="17"/>
      <c s="4"/>
      <c s="4" t="str">
        <f>CONCATENATE("7100", " - ", "INVENTORY @ RETAIL-CONTRA")</f>
        <v>7100 - INVENTORY @ RETAIL-CONTRA</v>
      </c>
      <c s="4"/>
      <c s="12">
        <v>-4702041</v>
      </c>
      <c s="10"/>
    </row>
    <row ht="15" hidden="1" outlineLevel="1" s="13" customFormat="1">
      <c s="18"/>
      <c s="16"/>
      <c s="17"/>
      <c s="4"/>
      <c s="4" t="str">
        <f>CONCATENATE("7101", " - ", "INVENTORY @ RETAIL-NEW TEXT")</f>
        <v>7101 - INVENTORY @ RETAIL-NEW TEXT</v>
      </c>
      <c s="4"/>
      <c s="12">
        <v>1460707</v>
      </c>
      <c s="10"/>
    </row>
    <row ht="15" hidden="1" outlineLevel="1" s="13" customFormat="1">
      <c s="18"/>
      <c s="16"/>
      <c s="17"/>
      <c s="4"/>
      <c s="4" t="str">
        <f>CONCATENATE("7102", " - ", "INVENTORY @ RETAIL-USED TEXT")</f>
        <v>7102 - INVENTORY @ RETAIL-USED TEXT</v>
      </c>
      <c s="4"/>
      <c s="12">
        <v>488204</v>
      </c>
      <c s="10"/>
    </row>
    <row ht="15" hidden="1" outlineLevel="1" s="13" customFormat="1">
      <c s="18"/>
      <c s="16"/>
      <c s="17"/>
      <c s="4"/>
      <c s="4" t="str">
        <f>CONCATENATE("7103", " - ", "INVENTORY @ RETAIL-RENTAL TEXT")</f>
        <v>7103 - INVENTORY @ RETAIL-RENTAL TEXT</v>
      </c>
      <c s="4"/>
      <c s="12">
        <v>-15347</v>
      </c>
      <c s="10"/>
    </row>
    <row ht="15" hidden="1" outlineLevel="1" s="13" customFormat="1">
      <c s="18"/>
      <c s="16"/>
      <c s="17"/>
      <c s="4"/>
      <c s="4" t="str">
        <f>CONCATENATE("7104", " - ", "INVENTORY @ RETAIL-DIGITAL TEX")</f>
        <v>7104 - INVENTORY @ RETAIL-DIGITAL TEX</v>
      </c>
      <c s="4"/>
      <c s="12">
        <v>193878</v>
      </c>
      <c s="10"/>
    </row>
    <row ht="15" hidden="1" outlineLevel="1" s="13" customFormat="1">
      <c s="18"/>
      <c s="16"/>
      <c s="17"/>
      <c s="4"/>
      <c s="4" t="str">
        <f>CONCATENATE("7111", " - ", "INVENTORY @ RETAIL-NO VALUE TE")</f>
        <v>7111 - INVENTORY @ RETAIL-NO VALUE TE</v>
      </c>
      <c s="4"/>
      <c s="12">
        <v>838</v>
      </c>
      <c s="10"/>
    </row>
    <row ht="15" hidden="1" outlineLevel="1" s="13" customFormat="1">
      <c s="18"/>
      <c s="16"/>
      <c s="17"/>
      <c s="4"/>
      <c s="4" t="str">
        <f>CONCATENATE("7113", " - ", "INVENTORY @ RETAIL-TRADE BOOKS")</f>
        <v>7113 - INVENTORY @ RETAIL-TRADE BOOKS</v>
      </c>
      <c s="4"/>
      <c s="12">
        <v>8905</v>
      </c>
      <c s="10"/>
    </row>
    <row ht="15" hidden="1" outlineLevel="1" s="13" customFormat="1">
      <c s="18"/>
      <c s="16"/>
      <c s="17"/>
      <c s="4"/>
      <c s="4" t="str">
        <f>CONCATENATE("7114", " - ", "INVENTORY @ RETAIL-REMAINDERS")</f>
        <v>7114 - INVENTORY @ RETAIL-REMAINDERS</v>
      </c>
      <c s="4"/>
      <c s="12">
        <v>-103</v>
      </c>
      <c s="10"/>
    </row>
    <row ht="15" hidden="1" outlineLevel="1" s="13" customFormat="1">
      <c s="18"/>
      <c s="16"/>
      <c s="17"/>
      <c s="4"/>
      <c s="4" t="str">
        <f>CONCATENATE("7117", " - ", "INVENTORY @ RETAIL-DORM/HOUSEW")</f>
        <v>7117 - INVENTORY @ RETAIL-DORM/HOUSEW</v>
      </c>
      <c s="4"/>
      <c s="12">
        <v>-148</v>
      </c>
      <c s="10"/>
    </row>
    <row ht="15" hidden="1" outlineLevel="1" s="13" customFormat="1">
      <c s="18"/>
      <c s="16"/>
      <c s="17"/>
      <c s="4"/>
      <c s="4" t="str">
        <f>CONCATENATE("7118", " - ", "INVENTORY @ RETAIL-STUDY GUIDE")</f>
        <v>7118 - INVENTORY @ RETAIL-STUDY GUIDE</v>
      </c>
      <c s="4"/>
      <c s="12">
        <v>7082</v>
      </c>
      <c s="10"/>
    </row>
    <row ht="15" hidden="1" outlineLevel="1" s="13" customFormat="1">
      <c s="18"/>
      <c s="16"/>
      <c s="17"/>
      <c s="4"/>
      <c s="4" t="str">
        <f>CONCATENATE("7119", " - ", "INVENTORY @ RETAIL-BOOK RELATE")</f>
        <v>7119 - INVENTORY @ RETAIL-BOOK RELATE</v>
      </c>
      <c s="4"/>
      <c s="12">
        <v>-34</v>
      </c>
      <c s="10"/>
    </row>
    <row ht="15" hidden="1" outlineLevel="1" s="13" customFormat="1">
      <c s="18"/>
      <c s="16"/>
      <c s="17"/>
      <c s="4"/>
      <c s="4" t="str">
        <f>CONCATENATE("7125", " - ", "INVENTORY @ RETAIL-TEST FORMS")</f>
        <v>7125 - INVENTORY @ RETAIL-TEST FORMS</v>
      </c>
      <c s="4"/>
      <c s="12">
        <v>57799</v>
      </c>
      <c s="10"/>
    </row>
    <row ht="15" hidden="1" outlineLevel="1" s="13" customFormat="1">
      <c s="18"/>
      <c s="16"/>
      <c s="17"/>
      <c s="4"/>
      <c s="4" t="str">
        <f>CONCATENATE("7126", " - ", "INVENTORY @ RETAIL-WRITING INS")</f>
        <v>7126 - INVENTORY @ RETAIL-WRITING INS</v>
      </c>
      <c s="4"/>
      <c s="12">
        <v>70325</v>
      </c>
      <c s="10"/>
    </row>
    <row ht="15" hidden="1" outlineLevel="1" s="13" customFormat="1">
      <c s="18"/>
      <c s="16"/>
      <c s="17"/>
      <c s="4"/>
      <c s="4" t="str">
        <f>CONCATENATE("7127", " - ", "INVENTORY @ RETAIL-SCHOOL SUPP")</f>
        <v>7127 - INVENTORY @ RETAIL-SCHOOL SUPP</v>
      </c>
      <c s="4"/>
      <c s="12">
        <v>116071</v>
      </c>
      <c s="10"/>
    </row>
    <row ht="15" hidden="1" outlineLevel="1" s="13" customFormat="1">
      <c s="18"/>
      <c s="16"/>
      <c s="17"/>
      <c s="4"/>
      <c s="4" t="str">
        <f>CONCATENATE("7128", " - ", "INVENTORY @ RETAIL-ART/TECH")</f>
        <v>7128 - INVENTORY @ RETAIL-ART/TECH</v>
      </c>
      <c s="4"/>
      <c s="12">
        <v>136448</v>
      </c>
      <c s="10"/>
    </row>
    <row ht="15" hidden="1" outlineLevel="1" s="13" customFormat="1">
      <c s="18"/>
      <c s="16"/>
      <c s="17"/>
      <c s="4"/>
      <c s="4" t="str">
        <f>CONCATENATE("7131", " - ", "INVENTORY @ RETAIL-FOOD")</f>
        <v>7131 - INVENTORY @ RETAIL-FOOD</v>
      </c>
      <c s="4"/>
      <c s="12">
        <v>9289</v>
      </c>
      <c s="10"/>
    </row>
    <row ht="15" hidden="1" outlineLevel="1" s="13" customFormat="1">
      <c s="18"/>
      <c s="16"/>
      <c s="17"/>
      <c s="4"/>
      <c s="4" t="str">
        <f>CONCATENATE("7132", " - ", "INVENTORY @ RETAIL-JUICE")</f>
        <v>7132 - INVENTORY @ RETAIL-JUICE</v>
      </c>
      <c s="4"/>
      <c s="12">
        <v>-1024</v>
      </c>
      <c s="10"/>
    </row>
    <row ht="15" hidden="1" outlineLevel="1" s="13" customFormat="1">
      <c s="18"/>
      <c s="16"/>
      <c s="17"/>
      <c s="4"/>
      <c s="4" t="str">
        <f>CONCATENATE("7133", " - ", "INVENTORY @ RETAIL-CANDY")</f>
        <v>7133 - INVENTORY @ RETAIL-CANDY</v>
      </c>
      <c s="4"/>
      <c s="12">
        <v>4059</v>
      </c>
      <c s="10"/>
    </row>
    <row ht="15" hidden="1" outlineLevel="1" s="13" customFormat="1">
      <c s="18"/>
      <c s="16"/>
      <c s="17"/>
      <c s="4"/>
      <c s="4" t="str">
        <f>CONCATENATE("7134", " - ", "INVENTORY @ RETAIL-SODA")</f>
        <v>7134 - INVENTORY @ RETAIL-SODA</v>
      </c>
      <c s="4"/>
      <c s="12">
        <v>1099</v>
      </c>
      <c s="10"/>
    </row>
    <row ht="15" hidden="1" outlineLevel="1" s="13" customFormat="1">
      <c s="18"/>
      <c s="16"/>
      <c s="17"/>
      <c s="4"/>
      <c s="4" t="str">
        <f>CONCATENATE("7135", " - ", "INVENTORY @ RETAIL-HEALTH &amp; BE")</f>
        <v>7135 - INVENTORY @ RETAIL-HEALTH &amp; BE</v>
      </c>
      <c s="4"/>
      <c s="12">
        <v>1319</v>
      </c>
      <c s="10"/>
    </row>
    <row ht="15" hidden="1" outlineLevel="1" s="13" customFormat="1">
      <c s="18"/>
      <c s="16"/>
      <c s="17"/>
      <c s="4"/>
      <c s="4" t="str">
        <f>CONCATENATE("7137", " - ", "INVENTORY @ RETAIL-WATER")</f>
        <v>7137 - INVENTORY @ RETAIL-WATER</v>
      </c>
      <c s="4"/>
      <c s="12">
        <v>1626</v>
      </c>
      <c s="10"/>
    </row>
    <row ht="15" hidden="1" outlineLevel="1" s="13" customFormat="1">
      <c s="18"/>
      <c s="16"/>
      <c s="17"/>
      <c s="4"/>
      <c s="4" t="str">
        <f>CONCATENATE("7140", " - ", "INVENTORY @ RETAIL-LOGO CLOTHI")</f>
        <v>7140 - INVENTORY @ RETAIL-LOGO CLOTHI</v>
      </c>
      <c s="4"/>
      <c s="12">
        <v>1123557</v>
      </c>
      <c s="10"/>
    </row>
    <row ht="15" hidden="1" outlineLevel="1" s="13" customFormat="1">
      <c s="18"/>
      <c s="16"/>
      <c s="17"/>
      <c s="4"/>
      <c s="4" t="str">
        <f>CONCATENATE("7141", " - ", "INVENTORY @ RETAIL-LOGO GIFTS")</f>
        <v>7141 - INVENTORY @ RETAIL-LOGO GIFTS</v>
      </c>
      <c s="4"/>
      <c s="12">
        <v>384209</v>
      </c>
      <c s="10"/>
    </row>
    <row ht="15" hidden="1" outlineLevel="1" s="13" customFormat="1">
      <c s="18"/>
      <c s="16"/>
      <c s="17"/>
      <c s="4"/>
      <c s="4" t="str">
        <f>CONCATENATE("7142", " - ", "INVENTORY @ RETAIL-EVERYDAY GI")</f>
        <v>7142 - INVENTORY @ RETAIL-EVERYDAY GI</v>
      </c>
      <c s="4"/>
      <c s="12">
        <v>180760</v>
      </c>
      <c s="10"/>
    </row>
    <row ht="15" hidden="1" outlineLevel="1" s="13" customFormat="1">
      <c s="18"/>
      <c s="16"/>
      <c s="17"/>
      <c s="4"/>
      <c s="4" t="str">
        <f>CONCATENATE("7143", " - ", "INVENTORY @ RETAIL-CARDS")</f>
        <v>7143 - INVENTORY @ RETAIL-CARDS</v>
      </c>
      <c s="4"/>
      <c s="12">
        <v>-1217</v>
      </c>
      <c s="10"/>
    </row>
    <row ht="15" hidden="1" outlineLevel="1" s="13" customFormat="1">
      <c s="18"/>
      <c s="16"/>
      <c s="17"/>
      <c s="4"/>
      <c s="4" t="str">
        <f>CONCATENATE("7144", " - ", "INVENTORY @ RETAIL-ACCESSORIES")</f>
        <v>7144 - INVENTORY @ RETAIL-ACCESSORIES</v>
      </c>
      <c s="4"/>
      <c s="12">
        <v>39738</v>
      </c>
      <c s="10"/>
    </row>
    <row ht="15" hidden="1" outlineLevel="1" s="13" customFormat="1">
      <c s="18"/>
      <c s="16"/>
      <c s="17"/>
      <c s="4"/>
      <c s="4" t="str">
        <f>CONCATENATE("7145", " - ", "INVENTORY @ RETAIL-SPECIAL ORD")</f>
        <v>7145 - INVENTORY @ RETAIL-SPECIAL ORD</v>
      </c>
      <c s="4"/>
      <c s="12">
        <v>4774</v>
      </c>
      <c s="10"/>
    </row>
    <row ht="15" hidden="1" outlineLevel="1" s="13" customFormat="1">
      <c s="18"/>
      <c s="16"/>
      <c s="17"/>
      <c s="4"/>
      <c s="4" t="str">
        <f>CONCATENATE("7181", " - ", "PURCHASES @ RETAIL-ELECTRONICS")</f>
        <v>7181 - PURCHASES @ RETAIL-ELECTRONICS</v>
      </c>
      <c s="4"/>
      <c s="12">
        <v>42931</v>
      </c>
      <c s="10"/>
    </row>
    <row ht="15" hidden="1" outlineLevel="1" s="13" customFormat="1">
      <c s="18"/>
      <c s="16"/>
      <c s="17"/>
      <c s="4"/>
      <c s="4" t="str">
        <f>CONCATENATE("7182", " - ", "INVENTORY @ RETAIL-COMPUTER HA")</f>
        <v>7182 - INVENTORY @ RETAIL-COMPUTER HA</v>
      </c>
      <c s="4"/>
      <c s="12">
        <v>270842</v>
      </c>
      <c s="10"/>
    </row>
    <row ht="15" hidden="1" outlineLevel="1" s="13" customFormat="1">
      <c s="18"/>
      <c s="16"/>
      <c s="17"/>
      <c s="4"/>
      <c s="4" t="str">
        <f>CONCATENATE("7183", " - ", "INVENTORY @ RETAIL-COMPUTER EQ")</f>
        <v>7183 - INVENTORY @ RETAIL-COMPUTER EQ</v>
      </c>
      <c s="4"/>
      <c s="12">
        <v>60555.000000000007</v>
      </c>
      <c s="10"/>
    </row>
    <row ht="15" hidden="1" outlineLevel="1" s="13" customFormat="1">
      <c s="18"/>
      <c s="16"/>
      <c s="17"/>
      <c s="4"/>
      <c s="4" t="str">
        <f>CONCATENATE("7184", " - ", "INVENTORY @ RETAIL-SOFTWARE LI")</f>
        <v>7184 - INVENTORY @ RETAIL-SOFTWARE LI</v>
      </c>
      <c s="4"/>
      <c s="12">
        <v>5697</v>
      </c>
      <c s="10"/>
    </row>
    <row ht="15" hidden="1" outlineLevel="1" s="13" customFormat="1">
      <c s="18"/>
      <c s="16"/>
      <c s="17"/>
      <c s="4"/>
      <c s="4" t="str">
        <f>CONCATENATE("7185", " - ", "INVENTORY @ RETAIL-SOFTWARE")</f>
        <v>7185 - INVENTORY @ RETAIL-SOFTWARE</v>
      </c>
      <c s="4"/>
      <c s="12">
        <v>4934</v>
      </c>
      <c s="10"/>
    </row>
    <row ht="15" hidden="1" outlineLevel="1" s="13" customFormat="1">
      <c s="18"/>
      <c s="16"/>
      <c s="17"/>
      <c s="4"/>
      <c s="4" t="str">
        <f>CONCATENATE("7186", " - ", "INVENTORY @ RETAIL-COMPUTER SU")</f>
        <v>7186 - INVENTORY @ RETAIL-COMPUTER SU</v>
      </c>
      <c s="4"/>
      <c s="12">
        <v>32935</v>
      </c>
      <c s="10"/>
    </row>
    <row ht="15" hidden="1" outlineLevel="1" s="13" customFormat="1">
      <c s="18"/>
      <c s="16"/>
      <c s="17"/>
      <c s="4"/>
      <c s="4" t="str">
        <f>CONCATENATE("7188", " - ", "INVENTORY @ RETAIL-MUSIC")</f>
        <v>7188 - INVENTORY @ RETAIL-MUSIC</v>
      </c>
      <c s="4"/>
      <c s="12">
        <v>2563</v>
      </c>
      <c s="10"/>
    </row>
    <row ht="15" hidden="1" outlineLevel="1" s="13" customFormat="1">
      <c s="18"/>
      <c s="16"/>
      <c s="17"/>
      <c s="4"/>
      <c s="4" t="str">
        <f>CONCATENATE("7192", " - ", "INVENTORY @ RETAIL-GRAD MERCH")</f>
        <v>7192 - INVENTORY @ RETAIL-GRAD MERCH</v>
      </c>
      <c s="4"/>
      <c s="12">
        <v>8891</v>
      </c>
      <c s="10"/>
    </row>
    <row ht="15" hidden="1" outlineLevel="1" s="13" customFormat="1">
      <c s="18"/>
      <c s="16"/>
      <c s="17"/>
      <c s="4"/>
      <c s="4" t="str">
        <f>CONCATENATE("7195", " - ", "INVENTORY @ RETAIL-CUSTOMER SE")</f>
        <v>7195 - INVENTORY @ RETAIL-CUSTOMER SE</v>
      </c>
      <c s="4"/>
      <c s="12">
        <v>-121</v>
      </c>
      <c s="10"/>
    </row>
    <row ht="8.25" customHeight="1">
      <c r="B130" s="2"/>
      <c s="9"/>
      <c s="3"/>
      <c s="7"/>
      <c s="7"/>
      <c s="20"/>
      <c s="8"/>
    </row>
    <row collapsed="1" s="5" customFormat="1">
      <c r="B131" s="2"/>
      <c s="9"/>
      <c s="3" t="s">
        <v>18</v>
      </c>
      <c s="3"/>
      <c s="3"/>
      <c s="11">
        <f>SUM(OSRRefG20x_0)</f>
        <v>69331.649999999994</v>
      </c>
      <c s="2"/>
    </row>
    <row ht="15" hidden="1" outlineLevel="1" s="13" customFormat="1">
      <c s="18"/>
      <c s="16"/>
      <c s="17"/>
      <c s="22"/>
      <c s="4" t="str">
        <f>CONCATENATE("1410", " - ", "PREPAID-GENERAL INSURANCE")</f>
        <v>1410 - PREPAID-GENERAL INSURANCE</v>
      </c>
      <c s="4"/>
      <c s="12">
        <v>53741.939999999995</v>
      </c>
      <c s="10"/>
    </row>
    <row ht="15" hidden="1" outlineLevel="1" s="13" customFormat="1">
      <c s="18"/>
      <c s="16"/>
      <c s="17"/>
      <c s="22"/>
      <c s="4" t="str">
        <f>CONCATENATE("1418", " - ", "PREPAID-WORKERS COMP. INSURANC")</f>
        <v>1418 - PREPAID-WORKERS COMP. INSURANC</v>
      </c>
      <c s="4"/>
      <c s="12">
        <v>-7690.2700000000004</v>
      </c>
      <c s="10"/>
    </row>
    <row ht="15" hidden="1" outlineLevel="1" s="13" customFormat="1">
      <c s="18"/>
      <c s="16"/>
      <c s="17"/>
      <c s="22"/>
      <c s="4" t="str">
        <f>CONCATENATE("1432", " - ", "PREPAID EXPENSES")</f>
        <v>1432 - PREPAID EXPENSES</v>
      </c>
      <c s="4"/>
      <c s="12">
        <v>0</v>
      </c>
      <c s="10"/>
    </row>
    <row ht="15" hidden="1" outlineLevel="1" s="13" customFormat="1">
      <c s="18"/>
      <c s="16"/>
      <c s="17"/>
      <c s="22"/>
      <c s="4" t="str">
        <f>CONCATENATE("1435", " - ", "PREP.PURCHASES-WHOLESALE BOOKS")</f>
        <v>1435 - PREP.PURCHASES-WHOLESALE BOOKS</v>
      </c>
      <c s="4"/>
      <c s="12">
        <v>23279.98</v>
      </c>
      <c s="10"/>
    </row>
    <row ht="8.25" customHeight="1">
      <c r="B136" s="2"/>
      <c s="9"/>
      <c s="3"/>
      <c s="7"/>
      <c s="7"/>
      <c s="20"/>
      <c s="8"/>
    </row>
    <row thickBot="1" s="5" customFormat="1">
      <c r="B137" s="2"/>
      <c s="24" t="s">
        <v>7</v>
      </c>
      <c s="6"/>
      <c s="6"/>
      <c s="6"/>
      <c s="27">
        <f>+G9+G31+G54+G131</f>
        <v>18103180.439999998</v>
      </c>
      <c s="2"/>
    </row>
    <row ht="8.25" customHeight="1" thickBot="1"/>
    <row>
      <c r="B139" s="2"/>
      <c s="26" t="s">
        <v>2</v>
      </c>
      <c s="15"/>
      <c s="21"/>
      <c s="21"/>
      <c s="37"/>
      <c s="8"/>
    </row>
    <row collapsed="1" s="5" customFormat="1">
      <c r="B140" s="2"/>
      <c s="9"/>
      <c s="3" t="s">
        <v>3</v>
      </c>
      <c s="3"/>
      <c s="3"/>
      <c s="11">
        <f>SUM(OSRRefG26x_0)</f>
        <v>27356112.059999999</v>
      </c>
      <c s="2"/>
    </row>
    <row ht="15" hidden="1" outlineLevel="1" s="13" customFormat="1">
      <c s="18"/>
      <c s="16"/>
      <c s="17"/>
      <c s="4"/>
      <c s="4" t="str">
        <f>CONCATENATE("1620", " - ", "CAPITAL IMPROVEMENTS-BOOKSTORE")</f>
        <v>1620 - CAPITAL IMPROVEMENTS-BOOKSTORE</v>
      </c>
      <c s="4"/>
      <c s="12">
        <v>24205.889999999999</v>
      </c>
      <c s="10"/>
    </row>
    <row ht="15" hidden="1" outlineLevel="1" s="13" customFormat="1">
      <c s="18"/>
      <c s="16"/>
      <c s="17"/>
      <c s="4"/>
      <c s="4" t="str">
        <f>CONCATENATE("1630", " - ", "CAPITAL IMPROVEMENTS-FOOD SVC.")</f>
        <v>1630 - CAPITAL IMPROVEMENTS-FOOD SVC.</v>
      </c>
      <c s="4"/>
      <c s="12">
        <v>207625.04999999999</v>
      </c>
      <c s="10"/>
    </row>
    <row ht="15" hidden="1" outlineLevel="1" s="13" customFormat="1">
      <c s="18"/>
      <c s="16"/>
      <c s="17"/>
      <c s="4"/>
      <c s="4" t="str">
        <f>CONCATENATE("1710", " - ", "FIXED ASSETS-BKSTR BLDG")</f>
        <v>1710 - FIXED ASSETS-BKSTR BLDG</v>
      </c>
      <c s="4"/>
      <c s="12">
        <v>7154220</v>
      </c>
      <c s="10"/>
    </row>
    <row ht="15" hidden="1" outlineLevel="1" s="13" customFormat="1">
      <c s="18"/>
      <c s="16"/>
      <c s="17"/>
      <c s="4"/>
      <c s="4" t="str">
        <f>CONCATENATE("1715", " - ", "FIXED ASSETS-VENDOR PARKING RE")</f>
        <v>1715 - FIXED ASSETS-VENDOR PARKING RE</v>
      </c>
      <c s="4"/>
      <c s="12">
        <v>37663.740000000005</v>
      </c>
      <c s="10"/>
    </row>
    <row ht="15" hidden="1" outlineLevel="1" s="13" customFormat="1">
      <c s="18"/>
      <c s="16"/>
      <c s="17"/>
      <c s="4"/>
      <c s="4" t="str">
        <f>CONCATENATE("1720", " - ", "FIXED ASSETS-FOOD SVC LEASEHOL")</f>
        <v>1720 - FIXED ASSETS-FOOD SVC LEASEHOL</v>
      </c>
      <c s="4"/>
      <c s="12">
        <v>12763092.469999999</v>
      </c>
      <c s="10"/>
    </row>
    <row ht="15" hidden="1" outlineLevel="1" s="13" customFormat="1">
      <c s="18"/>
      <c s="16"/>
      <c s="17"/>
      <c s="4"/>
      <c s="4" t="str">
        <f>CONCATENATE("1725", " - ", "FIXED ASSETS-ADMIN EQUIPMENT")</f>
        <v>1725 - FIXED ASSETS-ADMIN EQUIPMENT</v>
      </c>
      <c s="4"/>
      <c s="12">
        <v>916867.65000000002</v>
      </c>
      <c s="10"/>
    </row>
    <row ht="15" hidden="1" outlineLevel="1" s="13" customFormat="1">
      <c s="18"/>
      <c s="16"/>
      <c s="17"/>
      <c s="4"/>
      <c s="4" t="str">
        <f>CONCATENATE("1730", " - ", "FIXED ASSETS-BKSTR EQUIPMENT")</f>
        <v>1730 - FIXED ASSETS-BKSTR EQUIPMENT</v>
      </c>
      <c s="4"/>
      <c s="12">
        <v>2727429.27</v>
      </c>
      <c s="10"/>
    </row>
    <row ht="15" hidden="1" outlineLevel="1" s="13" customFormat="1">
      <c s="18"/>
      <c s="16"/>
      <c s="17"/>
      <c s="4"/>
      <c s="4" t="str">
        <f>CONCATENATE("1740", " - ", "FIXED ASSETS-FOOD SERVICE EQUI")</f>
        <v>1740 - FIXED ASSETS-FOOD SERVICE EQUI</v>
      </c>
      <c s="4"/>
      <c s="12">
        <v>3228676.0300000003</v>
      </c>
      <c s="10"/>
    </row>
    <row ht="15" hidden="1" outlineLevel="1" s="13" customFormat="1">
      <c s="18"/>
      <c s="16"/>
      <c s="17"/>
      <c s="4"/>
      <c s="4" t="str">
        <f>CONCATENATE("1750", " - ", "FIXED ASSETS-ADMIN FURN+FIXTUR")</f>
        <v>1750 - FIXED ASSETS-ADMIN FURN+FIXTUR</v>
      </c>
      <c s="4"/>
      <c s="12">
        <v>108112.53</v>
      </c>
      <c s="10"/>
    </row>
    <row ht="15" hidden="1" outlineLevel="1" s="13" customFormat="1">
      <c s="18"/>
      <c s="16"/>
      <c s="17"/>
      <c s="4"/>
      <c s="4" t="str">
        <f>CONCATENATE("1755", " - ", "FIXED ASSETS-BKSTR FURN+FIXTUR")</f>
        <v>1755 - FIXED ASSETS-BKSTR FURN+FIXTUR</v>
      </c>
      <c s="4"/>
      <c s="12">
        <v>123574.20000000001</v>
      </c>
      <c s="10"/>
    </row>
    <row ht="15" hidden="1" outlineLevel="1" s="13" customFormat="1">
      <c s="18"/>
      <c s="16"/>
      <c s="17"/>
      <c s="4"/>
      <c s="4" t="str">
        <f>CONCATENATE("1760", " - ", "FIXED ASSETS-FOOD SVC OFFICE E")</f>
        <v>1760 - FIXED ASSETS-FOOD SVC OFFICE E</v>
      </c>
      <c s="4"/>
      <c s="12">
        <v>17910.529999999999</v>
      </c>
      <c s="10"/>
    </row>
    <row ht="15" hidden="1" outlineLevel="1" s="13" customFormat="1">
      <c s="18"/>
      <c s="16"/>
      <c s="17"/>
      <c s="4"/>
      <c s="4" t="str">
        <f>CONCATENATE("1785", " - ", "FIXED ASSETS-BKSTR VEHICLES")</f>
        <v>1785 - FIXED ASSETS-BKSTR VEHICLES</v>
      </c>
      <c s="4"/>
      <c s="12">
        <v>10879.74</v>
      </c>
      <c s="10"/>
    </row>
    <row ht="15" hidden="1" outlineLevel="1" s="13" customFormat="1">
      <c s="18"/>
      <c s="16"/>
      <c s="17"/>
      <c s="4"/>
      <c s="4" t="str">
        <f>CONCATENATE("1790", " - ", "FIXED ASSETS-FOOD SVC VEHICLES")</f>
        <v>1790 - FIXED ASSETS-FOOD SVC VEHICLES</v>
      </c>
      <c s="4"/>
      <c s="12">
        <v>35854.959999999999</v>
      </c>
      <c s="10"/>
    </row>
    <row s="5" customFormat="1">
      <c r="B154" s="2"/>
      <c s="9"/>
      <c s="3" t="s">
        <v>4</v>
      </c>
      <c s="3"/>
      <c s="3"/>
      <c s="11">
        <v>-19848922.800000001</v>
      </c>
      <c s="2"/>
    </row>
    <row thickBot="1" s="5" customFormat="1">
      <c r="B155" s="2"/>
      <c s="24" t="s">
        <v>19</v>
      </c>
      <c s="6"/>
      <c s="6"/>
      <c s="6"/>
      <c s="27">
        <f>+G140+G154</f>
        <v>7507189.2599999979</v>
      </c>
      <c s="2"/>
    </row>
    <row ht="8.25" customHeight="1"/>
    <row thickBot="1" s="5" customFormat="1">
      <c r="B157" s="14" t="s">
        <v>5</v>
      </c>
      <c s="19"/>
      <c s="19"/>
      <c s="19"/>
      <c s="19"/>
      <c s="39">
        <f>+G137+G155</f>
        <v>25610369.699999996</v>
      </c>
      <c s="2"/>
    </row>
    <row thickTop="1" s="5" customFormat="1">
      <c r="G158" s="35"/>
    </row>
    <row thickBot="1" s="5" customFormat="1">
      <c r="B159" s="14" t="s">
        <v>296</v>
      </c>
      <c s="14"/>
      <c s="14"/>
      <c s="14"/>
      <c s="14"/>
      <c s="14"/>
      <c s="2"/>
    </row>
    <row s="5" customFormat="1">
      <c r="B160" s="2"/>
      <c s="26" t="s">
        <v>8</v>
      </c>
      <c s="15"/>
      <c s="15"/>
      <c s="15"/>
      <c s="36"/>
      <c s="2"/>
    </row>
    <row collapsed="1" s="5" customFormat="1">
      <c r="B161" s="2"/>
      <c s="9"/>
      <c s="3" t="s">
        <v>303</v>
      </c>
      <c s="3"/>
      <c s="3"/>
      <c s="11">
        <f>--494497.11</f>
        <v>494497.10999999999</v>
      </c>
      <c s="2"/>
    </row>
    <row ht="15" hidden="1" outlineLevel="2" s="13" customFormat="1">
      <c s="18"/>
      <c s="16"/>
      <c s="17"/>
      <c s="22"/>
      <c s="4" t="str">
        <f>CONCATENATE("2000", " - ", "A/P - CLEARING")</f>
        <v>2000 - A/P - CLEARING</v>
      </c>
      <c r="G162" s="12">
        <f>0</f>
        <v>0</v>
      </c>
      <c s="10"/>
    </row>
    <row ht="15" hidden="1" outlineLevel="2" s="13" customFormat="1">
      <c s="18"/>
      <c s="16"/>
      <c s="17"/>
      <c s="22"/>
      <c s="4" t="str">
        <f>CONCATENATE("2001", " - ", "A/P - MERCHANDISE")</f>
        <v>2001 - A/P - MERCHANDISE</v>
      </c>
      <c r="G163" s="12">
        <f>--1284.73</f>
        <v>1284.73</v>
      </c>
      <c s="10"/>
    </row>
    <row ht="15" hidden="1" outlineLevel="2" s="13" customFormat="1">
      <c s="18"/>
      <c s="16"/>
      <c s="17"/>
      <c s="22"/>
      <c s="4" t="str">
        <f>CONCATENATE("2003", " - ", "A/P - FOOD SVC.")</f>
        <v>2003 - A/P - FOOD SVC.</v>
      </c>
      <c r="G164" s="12">
        <f>--134159.99</f>
        <v>134159.98999999999</v>
      </c>
      <c s="10"/>
    </row>
    <row ht="15" hidden="1" outlineLevel="2" s="13" customFormat="1">
      <c s="18"/>
      <c s="16"/>
      <c s="17"/>
      <c s="22"/>
      <c s="4" t="str">
        <f>CONCATENATE("2004", " - ", "A/P - GENERAL")</f>
        <v>2004 - A/P - GENERAL</v>
      </c>
      <c r="G165" s="12">
        <f>--231993.35</f>
        <v>231993.35000000001</v>
      </c>
      <c s="10"/>
    </row>
    <row ht="15" hidden="1" outlineLevel="2" s="13" customFormat="1">
      <c s="18"/>
      <c s="16"/>
      <c s="17"/>
      <c s="22"/>
      <c s="4" t="str">
        <f>CONCATENATE("2013", " - ", "A/P - UNIVERSITY")</f>
        <v>2013 - A/P - UNIVERSITY</v>
      </c>
      <c r="G166" s="12">
        <f>--126912.44</f>
        <v>126912.44</v>
      </c>
      <c s="10"/>
    </row>
    <row ht="15" hidden="1" outlineLevel="2" s="13" customFormat="1">
      <c s="18"/>
      <c s="16"/>
      <c s="17"/>
      <c s="22"/>
      <c s="4" t="str">
        <f>CONCATENATE("2015", " - ", "A/P - CUST.REFUNDS")</f>
        <v>2015 - A/P - CUST.REFUNDS</v>
      </c>
      <c r="G167" s="12">
        <f>--146.6</f>
        <v>146.59999999999999</v>
      </c>
      <c s="10"/>
    </row>
    <row collapsed="1" s="5" customFormat="1">
      <c r="B168" s="2"/>
      <c s="9"/>
      <c s="3" t="s">
        <v>304</v>
      </c>
      <c s="3"/>
      <c s="3"/>
      <c s="11">
        <f>--1724683.61</f>
        <v>1724683.6100000001</v>
      </c>
      <c s="2"/>
    </row>
    <row ht="15" hidden="1" outlineLevel="2" s="13" customFormat="1">
      <c s="18"/>
      <c s="16"/>
      <c s="17"/>
      <c s="22"/>
      <c s="4" t="str">
        <f>CONCATENATE("2231", " - ", "ACCRUED PAYROLL")</f>
        <v>2231 - ACCRUED PAYROLL</v>
      </c>
      <c r="G169" s="12">
        <f>0</f>
        <v>0</v>
      </c>
      <c s="10"/>
    </row>
    <row ht="15" hidden="1" outlineLevel="2" s="13" customFormat="1">
      <c s="18"/>
      <c s="16"/>
      <c s="17"/>
      <c s="22"/>
      <c s="4" t="str">
        <f>CONCATENATE("2232", " - ", "ACCRUED VACATION")</f>
        <v>2232 - ACCRUED VACATION</v>
      </c>
      <c r="G170" s="12">
        <f>--527087.43</f>
        <v>527087.43000000005</v>
      </c>
      <c s="10"/>
    </row>
    <row ht="15" hidden="1" outlineLevel="2" s="13" customFormat="1">
      <c s="18"/>
      <c s="16"/>
      <c s="17"/>
      <c s="22"/>
      <c s="4" t="str">
        <f>CONCATENATE("2233", " - ", "ACCRUED SICK LEAVE")</f>
        <v>2233 - ACCRUED SICK LEAVE</v>
      </c>
      <c r="G171" s="12">
        <f>--715695.53</f>
        <v>715695.53000000003</v>
      </c>
      <c s="10"/>
    </row>
    <row ht="15" hidden="1" outlineLevel="2" s="13" customFormat="1">
      <c s="18"/>
      <c s="16"/>
      <c s="17"/>
      <c s="22"/>
      <c s="4" t="str">
        <f>CONCATENATE("2300", " - ", "SICK LEAVE PAYABLE")</f>
        <v>2300 - SICK LEAVE PAYABLE</v>
      </c>
      <c r="G172" s="12">
        <f>--481900.65</f>
        <v>481900.65000000002</v>
      </c>
      <c s="10"/>
    </row>
    <row collapsed="1" s="5" customFormat="1">
      <c r="B173" s="2"/>
      <c s="9"/>
      <c s="3" t="s">
        <v>305</v>
      </c>
      <c s="3"/>
      <c s="3"/>
      <c s="11">
        <f>--39342.41</f>
        <v>39342.410000000003</v>
      </c>
      <c s="2"/>
    </row>
    <row ht="15" hidden="1" outlineLevel="2" s="13" customFormat="1">
      <c s="18"/>
      <c s="16"/>
      <c s="17"/>
      <c s="22"/>
      <c s="4" t="str">
        <f>CONCATENATE("2219", " - ", "UNEMPLOYMENT INSURANCE")</f>
        <v>2219 - UNEMPLOYMENT INSURANCE</v>
      </c>
      <c r="G174" s="12">
        <f>--19766.94</f>
        <v>19766.939999999999</v>
      </c>
      <c s="10"/>
    </row>
    <row ht="15" hidden="1" outlineLevel="2" s="13" customFormat="1">
      <c s="18"/>
      <c s="16"/>
      <c s="17"/>
      <c s="22"/>
      <c s="4" t="str">
        <f>CONCATENATE("2221", " - ", "ACCRUED GROUP INSURANCE")</f>
        <v>2221 - ACCRUED GROUP INSURANCE</v>
      </c>
      <c r="G175" s="12">
        <f>-3970.66</f>
        <v>-3970.6599999999999</v>
      </c>
      <c s="10"/>
    </row>
    <row ht="15" hidden="1" outlineLevel="2" s="13" customFormat="1">
      <c s="18"/>
      <c s="16"/>
      <c s="17"/>
      <c s="22"/>
      <c s="4" t="str">
        <f>CONCATENATE("2222", " - ", "LIFE INSURANCE")</f>
        <v>2222 - LIFE INSURANCE</v>
      </c>
      <c r="G176" s="12">
        <f>--371.3</f>
        <v>371.30000000000001</v>
      </c>
      <c s="10"/>
    </row>
    <row ht="15" hidden="1" outlineLevel="2" s="13" customFormat="1">
      <c s="18"/>
      <c s="16"/>
      <c s="17"/>
      <c s="22"/>
      <c s="4" t="str">
        <f>CONCATENATE("2224", " - ", "MISCELLANEOUS INSURANCE")</f>
        <v>2224 - MISCELLANEOUS INSURANCE</v>
      </c>
      <c r="G177" s="12">
        <f>--3168</f>
        <v>3168</v>
      </c>
      <c s="10"/>
    </row>
    <row ht="15" hidden="1" outlineLevel="2" s="13" customFormat="1">
      <c s="18"/>
      <c s="16"/>
      <c s="17"/>
      <c s="22"/>
      <c s="4" t="str">
        <f>CONCATENATE("2225", " - ", "ACCRUED P.E.R.S.")</f>
        <v>2225 - ACCRUED P.E.R.S.</v>
      </c>
      <c r="G178" s="12">
        <f>--7158.81</f>
        <v>7158.8100000000004</v>
      </c>
      <c s="10"/>
    </row>
    <row ht="15" hidden="1" outlineLevel="2" s="13" customFormat="1">
      <c s="18"/>
      <c s="16"/>
      <c s="17"/>
      <c s="22"/>
      <c s="4" t="str">
        <f>CONCATENATE("2229", " - ", "ACCRUED RETIREMENT STAFF HOURL")</f>
        <v>2229 - ACCRUED RETIREMENT STAFF HOURL</v>
      </c>
      <c r="G179" s="12">
        <f>--8763.14</f>
        <v>8763.1399999999994</v>
      </c>
      <c s="10"/>
    </row>
    <row ht="15" hidden="1" outlineLevel="2" s="13" customFormat="1">
      <c s="18"/>
      <c s="16"/>
      <c s="17"/>
      <c s="22"/>
      <c s="4" t="str">
        <f>CONCATENATE("2230", " - ", "P/R DEDUCTIONS-PARKING")</f>
        <v>2230 - P/R DEDUCTIONS-PARKING</v>
      </c>
      <c r="G180" s="12">
        <f>-2617.7</f>
        <v>-2617.6999999999998</v>
      </c>
      <c s="10"/>
    </row>
    <row ht="15" hidden="1" outlineLevel="2" s="13" customFormat="1">
      <c s="18"/>
      <c s="16"/>
      <c s="17"/>
      <c s="22"/>
      <c s="4" t="str">
        <f>CONCATENATE("2234", " - ", "ACCRUED FLEXIBLE BENEFITS")</f>
        <v>2234 - ACCRUED FLEXIBLE BENEFITS</v>
      </c>
      <c r="G181" s="12">
        <f>--6702.58</f>
        <v>6702.5799999999999</v>
      </c>
      <c s="10"/>
    </row>
    <row ht="15" hidden="1" outlineLevel="2" s="13" customFormat="1">
      <c s="18"/>
      <c s="16"/>
      <c s="17"/>
      <c s="22"/>
      <c s="4" t="str">
        <f>CONCATENATE("2235", " - ", "UNITED WAY-EMPL.CONTIBUTION")</f>
        <v>2235 - UNITED WAY-EMPL.CONTIBUTION</v>
      </c>
      <c r="G182" s="12">
        <f>0</f>
        <v>0</v>
      </c>
      <c s="10"/>
    </row>
    <row collapsed="1" s="5" customFormat="1">
      <c r="B183" s="2"/>
      <c s="9"/>
      <c s="3" t="s">
        <v>306</v>
      </c>
      <c s="3"/>
      <c s="3"/>
      <c s="11">
        <f>--84813.46</f>
        <v>84813.460000000006</v>
      </c>
      <c s="2"/>
    </row>
    <row ht="15" hidden="1" outlineLevel="2" s="13" customFormat="1">
      <c s="18"/>
      <c s="16"/>
      <c s="17"/>
      <c s="22"/>
      <c s="4" t="str">
        <f>CONCATENATE("2111", " - ", "SALES TAX-BOOKSTORE")</f>
        <v>2111 - SALES TAX-BOOKSTORE</v>
      </c>
      <c r="G184" s="12">
        <f>--10436.81</f>
        <v>10436.809999999999</v>
      </c>
      <c s="10"/>
    </row>
    <row ht="15" hidden="1" outlineLevel="2" s="13" customFormat="1">
      <c s="18"/>
      <c s="16"/>
      <c s="17"/>
      <c s="22"/>
      <c s="4" t="str">
        <f>CONCATENATE("2112", " - ", "SALES TAX-FOOD SERVICE")</f>
        <v>2112 - SALES TAX-FOOD SERVICE</v>
      </c>
      <c r="G185" s="12">
        <f>--73355.68</f>
        <v>73355.679999999993</v>
      </c>
      <c s="10"/>
    </row>
    <row ht="15" hidden="1" outlineLevel="2" s="13" customFormat="1">
      <c s="18"/>
      <c s="16"/>
      <c s="17"/>
      <c s="22"/>
      <c s="4" t="str">
        <f>CONCATENATE("2113", " - ", "USE TAX")</f>
        <v>2113 - USE TAX</v>
      </c>
      <c r="G186" s="12">
        <f>--17.97</f>
        <v>17.969999999999999</v>
      </c>
      <c s="10"/>
    </row>
    <row ht="15" hidden="1" outlineLevel="2" s="13" customFormat="1">
      <c s="18"/>
      <c s="16"/>
      <c s="17"/>
      <c s="22"/>
      <c s="4" t="str">
        <f>CONCATENATE("2114", " - ", "CA ELECT.WASTE RECYL.4-14 IN")</f>
        <v>2114 - CA ELECT.WASTE RECYL.4-14 IN</v>
      </c>
      <c r="G187" s="12">
        <f>-160</f>
        <v>-160</v>
      </c>
      <c s="10"/>
    </row>
    <row ht="15" hidden="1" outlineLevel="2" s="13" customFormat="1">
      <c s="18"/>
      <c s="16"/>
      <c s="17"/>
      <c s="22"/>
      <c s="4" t="str">
        <f>CONCATENATE("2115", " - ", "CA ELECT.WASTE RECYL 15-34 IN")</f>
        <v>2115 - CA ELECT.WASTE RECYL 15-34 IN</v>
      </c>
      <c r="G188" s="12">
        <f>--1163</f>
        <v>1163</v>
      </c>
      <c s="10"/>
    </row>
    <row ht="15" hidden="1" outlineLevel="2" s="13" customFormat="1">
      <c s="18"/>
      <c s="16"/>
      <c s="17"/>
      <c s="22"/>
      <c s="4" t="str">
        <f>CONCATENATE("2116", " - ", "CA ELECT.WASTE RECYCL.35 IN+")</f>
        <v>2116 - CA ELECT.WASTE RECYCL.35 IN+</v>
      </c>
      <c r="G189" s="12">
        <f t="shared" si="0" ref="G189:G193">0</f>
        <v>0</v>
      </c>
      <c s="10"/>
    </row>
    <row ht="15" hidden="1" outlineLevel="2" s="13" customFormat="1">
      <c s="18"/>
      <c s="16"/>
      <c s="17"/>
      <c s="22"/>
      <c s="4" t="str">
        <f>CONCATENATE("2215", " - ", "ACCRUED FEDERAL WITHHOLDING TA")</f>
        <v>2215 - ACCRUED FEDERAL WITHHOLDING TA</v>
      </c>
      <c r="G190" s="12">
        <f t="shared" si="0"/>
        <v>0</v>
      </c>
      <c s="10"/>
    </row>
    <row ht="15" hidden="1" outlineLevel="2" s="13" customFormat="1">
      <c s="18"/>
      <c s="16"/>
      <c s="17"/>
      <c s="22"/>
      <c s="4" t="str">
        <f>CONCATENATE("2216", " - ", "ACCRUED F.I.C.A.")</f>
        <v>2216 - ACCRUED F.I.C.A.</v>
      </c>
      <c r="G191" s="12">
        <f t="shared" si="0"/>
        <v>0</v>
      </c>
      <c s="10"/>
    </row>
    <row ht="15" hidden="1" outlineLevel="2" s="13" customFormat="1">
      <c s="18"/>
      <c s="16"/>
      <c s="17"/>
      <c s="22"/>
      <c s="4" t="str">
        <f>CONCATENATE("2217", " - ", "STATE WITHHOLDING TAXES")</f>
        <v>2217 - STATE WITHHOLDING TAXES</v>
      </c>
      <c r="G192" s="12">
        <f t="shared" si="0"/>
        <v>0</v>
      </c>
      <c s="10"/>
    </row>
    <row ht="15" hidden="1" outlineLevel="2" s="13" customFormat="1">
      <c s="18"/>
      <c s="16"/>
      <c s="17"/>
      <c s="22"/>
      <c s="4" t="str">
        <f>CONCATENATE("2218", " - ", "STATE DISABILITY PAYABLE")</f>
        <v>2218 - STATE DISABILITY PAYABLE</v>
      </c>
      <c r="G193" s="12">
        <f t="shared" si="0"/>
        <v>0</v>
      </c>
      <c s="10"/>
    </row>
    <row collapsed="1" s="5" customFormat="1">
      <c r="B194" s="2"/>
      <c s="9"/>
      <c s="3" t="s">
        <v>307</v>
      </c>
      <c s="3"/>
      <c s="3"/>
      <c s="11">
        <f>--260688.12</f>
        <v>260688.12</v>
      </c>
      <c s="2"/>
    </row>
    <row ht="15" hidden="1" outlineLevel="2" s="13" customFormat="1">
      <c s="18"/>
      <c s="16"/>
      <c s="17"/>
      <c s="22"/>
      <c s="4" t="str">
        <f>CONCATENATE("2422", " - ", """I DECLARE"" CAMPUS FUNDRAISING")</f>
        <v>2422 - "I DECLARE" CAMPUS FUNDRAISING</v>
      </c>
      <c r="G195" s="12">
        <f>--5</f>
        <v>5</v>
      </c>
      <c s="10"/>
    </row>
    <row ht="15" hidden="1" outlineLevel="2" s="13" customFormat="1">
      <c s="18"/>
      <c s="16"/>
      <c s="17"/>
      <c s="22"/>
      <c s="4" t="str">
        <f>CONCATENATE("2424", " - ", "CLEARING-ATHLETIC PROGRAM SALE")</f>
        <v>2424 - CLEARING-ATHLETIC PROGRAM SALE</v>
      </c>
      <c r="G196" s="12">
        <f>--430</f>
        <v>430</v>
      </c>
      <c s="10"/>
    </row>
    <row ht="15" hidden="1" outlineLevel="2" s="13" customFormat="1">
      <c s="18"/>
      <c s="16"/>
      <c s="17"/>
      <c s="22"/>
      <c s="4" t="str">
        <f>CONCATENATE("2425", " - ", "NBC REWARDS")</f>
        <v>2425 - NBC REWARDS</v>
      </c>
      <c r="G197" s="12">
        <f>--2663.85</f>
        <v>2663.8499999999999</v>
      </c>
      <c s="10"/>
    </row>
    <row ht="15" hidden="1" outlineLevel="2" s="13" customFormat="1">
      <c s="18"/>
      <c s="16"/>
      <c s="17"/>
      <c s="22"/>
      <c s="4" t="str">
        <f>CONCATENATE("2426", " - ", "UNCLEARED CKS/UNCLAIMED MONIES")</f>
        <v>2426 - UNCLEARED CKS/UNCLAIMED MONIES</v>
      </c>
      <c r="G198" s="12">
        <f>-3388.84</f>
        <v>-3388.8400000000001</v>
      </c>
      <c s="10"/>
    </row>
    <row ht="15" hidden="1" outlineLevel="2" s="13" customFormat="1">
      <c s="18"/>
      <c s="16"/>
      <c s="17"/>
      <c s="22"/>
      <c s="4" t="str">
        <f>CONCATENATE("2430", " - ", "CLEARING-REGAL ENT.MOVIE TKT.")</f>
        <v>2430 - CLEARING-REGAL ENT.MOVIE TKT.</v>
      </c>
      <c r="G199" s="12">
        <f>-490</f>
        <v>-490</v>
      </c>
      <c s="10"/>
    </row>
    <row ht="15" hidden="1" outlineLevel="2" s="13" customFormat="1">
      <c s="18"/>
      <c s="16"/>
      <c s="17"/>
      <c s="22"/>
      <c s="4" t="str">
        <f>CONCATENATE("2432", " - ", "CLEARING-AMC THEATRE TICKETS")</f>
        <v>2432 - CLEARING-AMC THEATRE TICKETS</v>
      </c>
      <c r="G200" s="12">
        <f>-2.5</f>
        <v>-2.5</v>
      </c>
      <c s="10"/>
    </row>
    <row ht="15" hidden="1" outlineLevel="2" s="13" customFormat="1">
      <c s="18"/>
      <c s="16"/>
      <c s="17"/>
      <c s="22"/>
      <c s="4" t="str">
        <f>CONCATENATE("2437", " - ", "CLEARING-CINEMARK MOVIE")</f>
        <v>2437 - CLEARING-CINEMARK MOVIE</v>
      </c>
      <c r="G201" s="12">
        <f>-165</f>
        <v>-165</v>
      </c>
      <c s="10"/>
    </row>
    <row ht="15" hidden="1" outlineLevel="2" s="13" customFormat="1">
      <c s="18"/>
      <c s="16"/>
      <c s="17"/>
      <c s="22"/>
      <c s="4" t="str">
        <f>CONCATENATE("2440", " - ", "CLEARING-A/R")</f>
        <v>2440 - CLEARING-A/R</v>
      </c>
      <c r="G202" s="12">
        <f>--1329.31</f>
        <v>1329.3099999999999</v>
      </c>
      <c s="10"/>
    </row>
    <row ht="15" hidden="1" outlineLevel="2" s="13" customFormat="1">
      <c s="18"/>
      <c s="16"/>
      <c s="17"/>
      <c s="22"/>
      <c s="4" t="str">
        <f>CONCATENATE("2441", " - ", "DEPOSIT-BEACH CLUB")</f>
        <v>2441 - DEPOSIT-BEACH CLUB</v>
      </c>
      <c r="G203" s="12">
        <f>--395357.61</f>
        <v>395357.60999999999</v>
      </c>
      <c s="10"/>
    </row>
    <row ht="15" hidden="1" outlineLevel="2" s="13" customFormat="1">
      <c s="18"/>
      <c s="16"/>
      <c s="17"/>
      <c s="22"/>
      <c s="4" t="str">
        <f>CONCATENATE("2447", " - ", "PROMO A/C DEPOSIT")</f>
        <v>2447 - PROMO A/C DEPOSIT</v>
      </c>
      <c r="G204" s="12">
        <f>--11260.89</f>
        <v>11260.889999999999</v>
      </c>
      <c s="10"/>
    </row>
    <row ht="15" hidden="1" outlineLevel="2" s="13" customFormat="1">
      <c s="18"/>
      <c s="16"/>
      <c s="17"/>
      <c s="22"/>
      <c s="4" t="str">
        <f>CONCATENATE("2448", " - ", "ACCRUED OVERPAYMENTS")</f>
        <v>2448 - ACCRUED OVERPAYMENTS</v>
      </c>
      <c r="G205" s="12">
        <f>0</f>
        <v>0</v>
      </c>
      <c s="10"/>
    </row>
    <row ht="15" hidden="1" outlineLevel="2" s="13" customFormat="1">
      <c s="18"/>
      <c s="16"/>
      <c s="17"/>
      <c s="22"/>
      <c s="4" t="str">
        <f>CONCATENATE("2449", " - ", "MISCELLANEOUS DEFERRED INCOME")</f>
        <v>2449 - MISCELLANEOUS DEFERRED INCOME</v>
      </c>
      <c r="G206" s="12">
        <f>-17438.21</f>
        <v>-17438.209999999999</v>
      </c>
      <c s="10"/>
    </row>
    <row ht="15" hidden="1" outlineLevel="2" s="13" customFormat="1">
      <c s="18"/>
      <c s="16"/>
      <c s="17"/>
      <c s="22"/>
      <c s="4" t="str">
        <f>CONCATENATE("2450", " - ", "CLEARING-DESIGN DEPT-ACTIVITY")</f>
        <v>2450 - CLEARING-DESIGN DEPT-ACTIVITY</v>
      </c>
      <c r="G207" s="12">
        <f>--2858.7</f>
        <v>2858.6999999999998</v>
      </c>
      <c s="10"/>
    </row>
    <row ht="15" hidden="1" outlineLevel="2" s="13" customFormat="1">
      <c s="18"/>
      <c s="16"/>
      <c s="17"/>
      <c s="22"/>
      <c s="4" t="str">
        <f>CONCATENATE("2454", " - ", "CLEARING-CARLS/EL POLLO/PANDA")</f>
        <v>2454 - CLEARING-CARLS/EL POLLO/PANDA</v>
      </c>
      <c r="G208" s="12">
        <f>-1039.12</f>
        <v>-1039.1199999999999</v>
      </c>
      <c s="10"/>
    </row>
    <row ht="15" hidden="1" outlineLevel="2" s="13" customFormat="1">
      <c s="18"/>
      <c s="16"/>
      <c s="17"/>
      <c s="22"/>
      <c s="4" t="str">
        <f>CONCATENATE("2455", " - ", "CLEARING-LIBRARY MICROFILMS")</f>
        <v>2455 - CLEARING-LIBRARY MICROFILMS</v>
      </c>
      <c r="G209" s="12">
        <f>--8845</f>
        <v>8845</v>
      </c>
      <c s="10"/>
    </row>
    <row ht="15" hidden="1" outlineLevel="2" s="13" customFormat="1">
      <c s="18"/>
      <c s="16"/>
      <c s="17"/>
      <c s="22"/>
      <c s="4" t="str">
        <f>CONCATENATE("2456", " - ", "CLEARING-ART LAB")</f>
        <v>2456 - CLEARING-ART LAB</v>
      </c>
      <c r="G210" s="12">
        <f>--3974.55</f>
        <v>3974.5500000000002</v>
      </c>
      <c s="10"/>
    </row>
    <row ht="15" hidden="1" outlineLevel="2" s="13" customFormat="1">
      <c s="18"/>
      <c s="16"/>
      <c s="17"/>
      <c s="22"/>
      <c s="4" t="str">
        <f>CONCATENATE("2460", " - ", "CLEARING-BOARD INCOME")</f>
        <v>2460 - CLEARING-BOARD INCOME</v>
      </c>
      <c r="G211" s="12">
        <f>-560433.19</f>
        <v>-560433.18999999994</v>
      </c>
      <c s="10"/>
    </row>
    <row ht="15" hidden="1" outlineLevel="2" s="13" customFormat="1">
      <c s="18"/>
      <c s="16"/>
      <c s="17"/>
      <c s="22"/>
      <c s="4" t="str">
        <f>CONCATENATE("2461", " - ", "CLEARING-PARKING FOR B/C")</f>
        <v>2461 - CLEARING-PARKING FOR B/C</v>
      </c>
      <c r="G212" s="12">
        <f>--295.54</f>
        <v>295.54000000000002</v>
      </c>
      <c s="10"/>
    </row>
    <row ht="15" hidden="1" outlineLevel="2" s="13" customFormat="1">
      <c s="18"/>
      <c s="16"/>
      <c s="17"/>
      <c s="22"/>
      <c s="4" t="str">
        <f>CONCATENATE("2462", " - ", "CLEARING-TEXTBOOK SCHOLARSHIP")</f>
        <v>2462 - CLEARING-TEXTBOOK SCHOLARSHIP</v>
      </c>
      <c r="G213" s="12">
        <f>--1365</f>
        <v>1365</v>
      </c>
      <c s="10"/>
    </row>
    <row ht="15" hidden="1" outlineLevel="2" s="13" customFormat="1">
      <c s="18"/>
      <c s="16"/>
      <c s="17"/>
      <c s="22"/>
      <c s="4" t="str">
        <f>CONCATENATE("2464", " - ", "CLEARING-SAS COMPUTER LAB")</f>
        <v>2464 - CLEARING-SAS COMPUTER LAB</v>
      </c>
      <c r="G214" s="12">
        <f>--2128.13</f>
        <v>2128.1300000000001</v>
      </c>
      <c s="10"/>
    </row>
    <row ht="15" hidden="1" outlineLevel="2" s="13" customFormat="1">
      <c s="18"/>
      <c s="16"/>
      <c s="17"/>
      <c s="22"/>
      <c s="4" t="str">
        <f>CONCATENATE("2465", " - ", "CLEARING-LEARNING ASSISTANCE C")</f>
        <v>2465 - CLEARING-LEARNING ASSISTANCE C</v>
      </c>
      <c r="G215" s="12">
        <f>--3.2</f>
        <v>3.2000000000000002</v>
      </c>
      <c s="10"/>
    </row>
    <row ht="15" hidden="1" outlineLevel="2" s="13" customFormat="1">
      <c s="18"/>
      <c s="16"/>
      <c s="17"/>
      <c s="22"/>
      <c s="4" t="str">
        <f>CONCATENATE("2532", " - ", "ACCRUED LIAB.-THESIS BINDING/M")</f>
        <v>2532 - ACCRUED LIAB.-THESIS BINDING/M</v>
      </c>
      <c r="G216" s="12">
        <f>--107.21</f>
        <v>107.20999999999999</v>
      </c>
      <c s="10"/>
    </row>
    <row ht="15" hidden="1" outlineLevel="2" s="13" customFormat="1">
      <c s="18"/>
      <c s="16"/>
      <c s="17"/>
      <c s="22"/>
      <c s="4" t="str">
        <f>CONCATENATE("2537", " - ", "OTHER ACCRUED LIABILITIES")</f>
        <v>2537 - OTHER ACCRUED LIABILITIES</v>
      </c>
      <c r="G217" s="12">
        <f>--381820.99</f>
        <v>381820.98999999999</v>
      </c>
      <c s="10"/>
    </row>
    <row ht="15" hidden="1" outlineLevel="2" s="13" customFormat="1">
      <c s="18"/>
      <c s="16"/>
      <c s="17"/>
      <c s="22"/>
      <c s="4" t="str">
        <f>CONCATENATE("2538", " - ", "ACCRUED INVENTORY ADJUSTMENT")</f>
        <v>2538 - ACCRUED INVENTORY ADJUSTMENT</v>
      </c>
      <c r="G218" s="12">
        <f>--31200</f>
        <v>31200</v>
      </c>
      <c s="10"/>
    </row>
    <row ht="15" hidden="1" outlineLevel="2" s="13" customFormat="1">
      <c s="18"/>
      <c s="16"/>
      <c s="17"/>
      <c s="22"/>
      <c s="4" t="str">
        <f>CONCATENATE("3800", " - ", "RETAINED EARNINGS-OPERATIONS")</f>
        <v>3800 - RETAINED EARNINGS-OPERATIONS</v>
      </c>
      <c r="G219" s="12">
        <f>0</f>
        <v>0</v>
      </c>
      <c s="10"/>
    </row>
    <row thickBot="1" s="5" customFormat="1">
      <c r="B220" s="2"/>
      <c s="24" t="s">
        <v>9</v>
      </c>
      <c s="6"/>
      <c s="6"/>
      <c s="6"/>
      <c s="27">
        <f>SUM(OSRRefG34x_0)</f>
        <v>2604024.7100000004</v>
      </c>
      <c s="2"/>
    </row>
    <row ht="8.25" customHeight="1" thickBot="1"/>
    <row>
      <c r="B222" s="2"/>
      <c s="26" t="s">
        <v>10</v>
      </c>
      <c s="15"/>
      <c s="21"/>
      <c s="21"/>
      <c s="37"/>
      <c s="8"/>
    </row>
    <row collapsed="1" s="5" customFormat="1">
      <c r="B223" s="2"/>
      <c s="9"/>
      <c s="3" t="s">
        <v>308</v>
      </c>
      <c s="3"/>
      <c s="3"/>
      <c s="11">
        <f>SUM(OSRRefG40_0x_0)</f>
        <v>829664.33999999997</v>
      </c>
      <c s="2"/>
    </row>
    <row ht="15" hidden="1" outlineLevel="1" s="13" customFormat="1">
      <c r="B224" s="10"/>
      <c s="41"/>
      <c s="4"/>
      <c s="4" t="str">
        <f>CONCATENATE("2739", " - ", "ACCRUED POST RETIREMENT BENEFI")</f>
        <v>2739 - ACCRUED POST RETIREMENT BENEFI</v>
      </c>
      <c s="4"/>
      <c s="12">
        <f>--829664.34</f>
        <v>829664.33999999997</v>
      </c>
      <c s="10"/>
    </row>
    <row collapsed="1" s="5" customFormat="1">
      <c r="B225" s="2"/>
      <c s="9"/>
      <c s="3" t="s">
        <v>309</v>
      </c>
      <c s="3"/>
      <c s="3"/>
      <c s="11">
        <f>SUM(OSRRefG40_1x_0)</f>
        <v>3178148.1000000001</v>
      </c>
      <c s="2"/>
    </row>
    <row ht="15" hidden="1" outlineLevel="1" s="13" customFormat="1">
      <c r="B226" s="10"/>
      <c s="41"/>
      <c s="4"/>
      <c s="4" t="str">
        <f>CONCATENATE("2303", " - ", "NOTES PAYABLE-CHANCELLORS OFFI")</f>
        <v>2303 - NOTES PAYABLE-CHANCELLORS OFFI</v>
      </c>
      <c s="4"/>
      <c s="12">
        <f>--3178148.1</f>
        <v>3178148.1000000001</v>
      </c>
      <c s="10"/>
    </row>
    <row collapsed="1" s="5" customFormat="1">
      <c r="B227" s="2"/>
      <c s="9"/>
      <c s="3" t="s">
        <v>310</v>
      </c>
      <c s="3"/>
      <c s="3"/>
      <c s="11">
        <f>SUM(OSRRefG40_2x_0)</f>
        <v>3539063.6200000001</v>
      </c>
      <c s="2"/>
    </row>
    <row ht="15" hidden="1" outlineLevel="1" s="13" customFormat="1">
      <c r="B228" s="10"/>
      <c s="41"/>
      <c s="4"/>
      <c s="4" t="str">
        <f>CONCATENATE("2226", " - ", "ACCRUED PERS/PEPRA UNFUNDED LI")</f>
        <v>2226 - ACCRUED PERS/PEPRA UNFUNDED LI</v>
      </c>
      <c s="4"/>
      <c s="12">
        <f>--3539063.62</f>
        <v>3539063.6200000001</v>
      </c>
      <c s="10"/>
    </row>
    <row thickBot="1" s="5" customFormat="1">
      <c r="B229" s="2"/>
      <c s="24" t="s">
        <v>11</v>
      </c>
      <c s="6"/>
      <c s="6"/>
      <c s="6"/>
      <c s="27">
        <f>SUM(OSRRefG40x_0)</f>
        <v>7546876.0600000005</v>
      </c>
      <c s="2"/>
    </row>
    <row ht="8.25" customHeight="1"/>
    <row s="5" customFormat="1">
      <c r="B231" s="33" t="s">
        <v>12</v>
      </c>
      <c s="23"/>
      <c s="23"/>
      <c s="23"/>
      <c s="23"/>
      <c s="32">
        <f>+G220+G229</f>
        <v>10150900.770000001</v>
      </c>
      <c s="2"/>
    </row>
    <row ht="8.25" customHeight="1" thickBot="1" s="5" customFormat="1">
      <c r="G232" s="35"/>
    </row>
    <row s="5" customFormat="1">
      <c r="B233" s="2"/>
      <c s="26" t="s">
        <v>298</v>
      </c>
      <c s="15"/>
      <c s="15"/>
      <c s="15"/>
      <c s="36"/>
      <c s="2"/>
    </row>
    <row>
      <c s="29"/>
      <c s="8"/>
      <c s="44"/>
      <c s="7" t="s">
        <v>13</v>
      </c>
      <c s="7"/>
      <c s="7"/>
      <c s="20">
        <f>--898524.22</f>
        <v>898524.21999999997</v>
      </c>
      <c s="8"/>
    </row>
    <row>
      <c s="29"/>
      <c s="8"/>
      <c s="44"/>
      <c s="7" t="s">
        <v>311</v>
      </c>
      <c s="7"/>
      <c s="7"/>
      <c s="20">
        <f>--14157144.47</f>
        <v>14157144.470000001</v>
      </c>
      <c s="8"/>
    </row>
    <row>
      <c s="29"/>
      <c s="8"/>
      <c s="44"/>
      <c s="7" t="s">
        <v>312</v>
      </c>
      <c s="7"/>
      <c s="7"/>
      <c s="20">
        <f>--403800.24</f>
        <v>403800.23999999999</v>
      </c>
      <c s="8"/>
    </row>
    <row thickBot="1" s="5" customFormat="1">
      <c r="B237" s="2"/>
      <c s="24" t="s">
        <v>299</v>
      </c>
      <c s="6"/>
      <c s="6"/>
      <c s="6"/>
      <c s="27">
        <f>SUM(G233:G236)</f>
        <v>15459468.930000002</v>
      </c>
      <c s="2"/>
    </row>
    <row ht="8.25" customHeight="1"/>
    <row>
      <c r="B239" s="33" t="s">
        <v>297</v>
      </c>
      <c s="23"/>
      <c s="23"/>
      <c s="38"/>
      <c s="38"/>
      <c s="32">
        <f>+G237</f>
        <v>15459468.930000002</v>
      </c>
      <c s="8"/>
    </row>
    <row ht="8.25" customHeight="1"/>
    <row thickBot="1">
      <c r="B241" s="14" t="s">
        <v>301</v>
      </c>
      <c s="19"/>
      <c s="19"/>
      <c s="28"/>
      <c s="28"/>
      <c s="39">
        <f>+G231+G239</f>
        <v>25610369.700000003</v>
      </c>
      <c s="8"/>
    </row>
    <row ht="8.25" customHeight="1" thickTop="1"/>
    <row ht="11.3" s="45" customFormat="1">
      <c s="42"/>
      <c s="25">
        <v>43847.439579548613</v>
      </c>
      <c s="25"/>
      <c s="25"/>
      <c s="25"/>
      <c s="25"/>
      <c s="52">
        <f>ROUND(G157-G241, 0)</f>
        <v>0</v>
      </c>
    </row>
    <row ht="11.3" s="45" customFormat="1">
      <c s="42"/>
      <c s="43" t="s">
        <v>302</v>
      </c>
      <c s="34"/>
      <c s="34"/>
      <c s="31"/>
      <c s="31"/>
      <c s="50"/>
    </row>
  </sheetData>
  <mergeCells count="1">
    <mergeCell ref="B243:F243"/>
  </mergeCells>
  <conditionalFormatting sqref="G243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7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40"/>
      <c s="40"/>
      <c s="51"/>
      <c s="49" t="s">
        <v>15</v>
      </c>
      <c s="48"/>
      <c s="46"/>
    </row>
    <row>
      <c r="C3" s="40"/>
      <c s="40"/>
      <c s="51"/>
      <c s="49" t="s">
        <v>14</v>
      </c>
      <c s="48"/>
      <c s="46"/>
    </row>
    <row>
      <c r="C4" s="30"/>
      <c s="30"/>
      <c s="30"/>
      <c s="49" t="s">
        <v>300</v>
      </c>
      <c s="48"/>
      <c s="46"/>
    </row>
    <row>
      <c r="C5" s="30"/>
      <c s="30"/>
      <c s="30"/>
      <c s="49" t="e">
        <f>_xll.OneStop.ReportPlayer.OSRFunctions.OSRGet("Period","PeriodEnd")</f>
        <v>#NAME?</v>
      </c>
      <c s="48"/>
      <c s="46"/>
    </row>
    <row r="7" thickBot="1">
      <c r="B7" s="14" t="s">
        <v>0</v>
      </c>
      <c s="19"/>
      <c s="19"/>
      <c s="28"/>
      <c s="28"/>
      <c s="53"/>
      <c s="8"/>
    </row>
    <row>
      <c r="B8" s="2"/>
      <c s="26" t="s">
        <v>6</v>
      </c>
      <c s="15"/>
      <c s="21"/>
      <c s="21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8"/>
      <c s="16"/>
      <c s="17"/>
      <c s="22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8"/>
      <c s="16"/>
      <c s="17"/>
      <c s="22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8"/>
      <c s="16"/>
      <c s="17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8"/>
      <c s="16"/>
      <c s="17"/>
      <c s="22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4" t="s">
        <v>7</v>
      </c>
      <c s="6"/>
      <c s="6"/>
      <c s="6"/>
      <c s="27" t="e">
        <f>+G9+G13+G16+G19</f>
        <v>#NAME?</v>
      </c>
      <c s="2"/>
    </row>
    <row ht="8.25" customHeight="1" thickBot="1"/>
    <row>
      <c r="B24" s="2"/>
      <c s="26" t="s">
        <v>2</v>
      </c>
      <c s="15"/>
      <c s="21"/>
      <c s="21"/>
      <c s="37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8"/>
      <c s="16"/>
      <c s="17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4" t="s">
        <v>19</v>
      </c>
      <c s="6"/>
      <c s="6"/>
      <c s="6"/>
      <c s="27" t="e">
        <f>+G25+G27</f>
        <v>#NAME?</v>
      </c>
      <c s="2"/>
    </row>
    <row ht="8.25" customHeight="1"/>
    <row thickBot="1" s="5" customFormat="1">
      <c r="B30" s="14" t="s">
        <v>5</v>
      </c>
      <c s="19"/>
      <c s="19"/>
      <c s="19"/>
      <c s="19"/>
      <c s="39" t="e">
        <f>+G22+G28</f>
        <v>#NAME?</v>
      </c>
      <c s="2"/>
    </row>
    <row thickTop="1" s="5" customFormat="1">
      <c r="G31" s="35"/>
    </row>
    <row thickBot="1" s="5" customFormat="1">
      <c r="B32" s="14" t="s">
        <v>296</v>
      </c>
      <c s="14"/>
      <c s="14"/>
      <c s="14"/>
      <c s="14"/>
      <c s="14"/>
      <c s="2"/>
    </row>
    <row s="5" customFormat="1">
      <c r="B33" s="2"/>
      <c s="26" t="s">
        <v>8</v>
      </c>
      <c s="15"/>
      <c s="15"/>
      <c s="15"/>
      <c s="36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8"/>
      <c s="16"/>
      <c s="17"/>
      <c s="22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4" t="s">
        <v>9</v>
      </c>
      <c s="6"/>
      <c s="6"/>
      <c s="6"/>
      <c s="27" t="e">
        <f>SUM(_xll.OneStop.ReportPlayer.OSRFunctions.OSRRef(G34))</f>
        <v>#NAME?</v>
      </c>
      <c s="2"/>
    </row>
    <row ht="8.25" customHeight="1" thickBot="1"/>
    <row>
      <c r="B38" s="2"/>
      <c s="26" t="s">
        <v>10</v>
      </c>
      <c s="15"/>
      <c s="21"/>
      <c s="21"/>
      <c s="37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4" t="s">
        <v>11</v>
      </c>
      <c s="6"/>
      <c s="6"/>
      <c s="6"/>
      <c s="27" t="e">
        <f>SUM(_xll.OneStop.ReportPlayer.OSRFunctions.OSRRef(G40))</f>
        <v>#NAME?</v>
      </c>
      <c s="2"/>
    </row>
    <row ht="8.25" customHeight="1"/>
    <row s="5" customFormat="1">
      <c r="B43" s="33" t="s">
        <v>12</v>
      </c>
      <c s="23"/>
      <c s="23"/>
      <c s="23"/>
      <c s="23"/>
      <c s="32" t="e">
        <f>+G36+G41</f>
        <v>#NAME?</v>
      </c>
      <c s="2"/>
    </row>
    <row ht="8.25" customHeight="1" thickBot="1" s="5" customFormat="1">
      <c r="G44" s="35"/>
    </row>
    <row s="5" customFormat="1">
      <c r="B45" s="2"/>
      <c s="26" t="s">
        <v>298</v>
      </c>
      <c s="15"/>
      <c s="15"/>
      <c s="15"/>
      <c s="36"/>
      <c s="2"/>
    </row>
    <row>
      <c s="29"/>
      <c s="8"/>
      <c s="44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44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44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4" t="s">
        <v>299</v>
      </c>
      <c s="6"/>
      <c s="6"/>
      <c s="6"/>
      <c s="27" t="e">
        <f>SUM(G45:G48)</f>
        <v>#NAME?</v>
      </c>
      <c s="2"/>
    </row>
    <row ht="8.25" customHeight="1"/>
    <row>
      <c r="B51" s="33" t="s">
        <v>297</v>
      </c>
      <c s="23"/>
      <c s="23"/>
      <c s="38"/>
      <c s="38"/>
      <c s="32" t="e">
        <f>+G49</f>
        <v>#NAME?</v>
      </c>
      <c s="8"/>
    </row>
    <row ht="8.25" customHeight="1"/>
    <row thickBot="1">
      <c r="B53" s="14" t="s">
        <v>301</v>
      </c>
      <c s="19"/>
      <c s="19"/>
      <c s="28"/>
      <c s="28"/>
      <c s="39" t="e">
        <f>+G43+G51</f>
        <v>#NAME?</v>
      </c>
      <c s="8"/>
    </row>
    <row ht="8.25" customHeight="1" thickTop="1"/>
    <row ht="11.3" s="45" customFormat="1">
      <c s="42"/>
      <c s="25" t="e">
        <f>_xll.OneStop.ReportPlayer.OSRFunctions.OSRGet("CurrentDate","Date")</f>
        <v>#NAME?</v>
      </c>
      <c s="25"/>
      <c s="25"/>
      <c s="25"/>
      <c s="25"/>
      <c s="52" t="e">
        <f>ROUND(G30-G53, 0)</f>
        <v>#NAME?</v>
      </c>
    </row>
    <row ht="11.3" s="45" customFormat="1">
      <c s="42"/>
      <c s="43" t="e">
        <f>_xll.OneStop.ReportPlayer.OSRFunctions.OSRGet("User","UserId")</f>
        <v>#NAME?</v>
      </c>
      <c s="34"/>
      <c s="34"/>
      <c s="31"/>
      <c s="31"/>
      <c s="50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7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40"/>
      <c s="40"/>
      <c s="51"/>
      <c s="49" t="s">
        <v>15</v>
      </c>
      <c s="48"/>
      <c s="46"/>
    </row>
    <row>
      <c r="C3" s="40"/>
      <c s="40"/>
      <c s="51"/>
      <c s="49" t="s">
        <v>14</v>
      </c>
      <c s="48"/>
      <c s="46"/>
    </row>
    <row>
      <c r="C4" s="30"/>
      <c s="30"/>
      <c s="30"/>
      <c s="49" t="s">
        <v>300</v>
      </c>
      <c s="48"/>
      <c s="46"/>
    </row>
    <row>
      <c r="C5" s="30"/>
      <c s="30"/>
      <c s="30"/>
      <c s="49" t="e">
        <f>_xll.OneStop.ReportPlayer.OSRFunctions.OSRGet("Period","PeriodEnd")</f>
        <v>#NAME?</v>
      </c>
      <c s="48"/>
      <c s="46"/>
    </row>
    <row r="7" thickBot="1">
      <c r="B7" s="14" t="s">
        <v>0</v>
      </c>
      <c s="19"/>
      <c s="19"/>
      <c s="28"/>
      <c s="28"/>
      <c s="53"/>
      <c s="8"/>
    </row>
    <row>
      <c r="B8" s="2"/>
      <c s="26" t="s">
        <v>6</v>
      </c>
      <c s="15"/>
      <c s="21"/>
      <c s="21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8"/>
      <c s="16"/>
      <c s="17"/>
      <c s="22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8"/>
      <c s="16"/>
      <c s="17"/>
      <c s="22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8"/>
      <c s="16"/>
      <c s="17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8"/>
      <c s="16"/>
      <c s="17"/>
      <c s="22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4" t="s">
        <v>7</v>
      </c>
      <c s="6"/>
      <c s="6"/>
      <c s="6"/>
      <c s="27" t="e">
        <f>+G9+G13+G16+G19</f>
        <v>#NAME?</v>
      </c>
      <c s="2"/>
    </row>
    <row ht="8.25" customHeight="1" thickBot="1"/>
    <row>
      <c r="B24" s="2"/>
      <c s="26" t="s">
        <v>2</v>
      </c>
      <c s="15"/>
      <c s="21"/>
      <c s="21"/>
      <c s="37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8"/>
      <c s="16"/>
      <c s="17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4" t="s">
        <v>19</v>
      </c>
      <c s="6"/>
      <c s="6"/>
      <c s="6"/>
      <c s="27" t="e">
        <f>+G25+G27</f>
        <v>#NAME?</v>
      </c>
      <c s="2"/>
    </row>
    <row ht="8.25" customHeight="1"/>
    <row thickBot="1" s="5" customFormat="1">
      <c r="B30" s="14" t="s">
        <v>5</v>
      </c>
      <c s="19"/>
      <c s="19"/>
      <c s="19"/>
      <c s="19"/>
      <c s="39" t="e">
        <f>+G22+G28</f>
        <v>#NAME?</v>
      </c>
      <c s="2"/>
    </row>
    <row thickTop="1" s="5" customFormat="1">
      <c r="G31" s="35"/>
    </row>
    <row thickBot="1" s="5" customFormat="1">
      <c r="B32" s="14" t="s">
        <v>296</v>
      </c>
      <c s="14"/>
      <c s="14"/>
      <c s="14"/>
      <c s="14"/>
      <c s="14"/>
      <c s="2"/>
    </row>
    <row s="5" customFormat="1">
      <c r="B33" s="2"/>
      <c s="26" t="s">
        <v>8</v>
      </c>
      <c s="15"/>
      <c s="15"/>
      <c s="15"/>
      <c s="36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8"/>
      <c s="16"/>
      <c s="17"/>
      <c s="22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4" t="s">
        <v>9</v>
      </c>
      <c s="6"/>
      <c s="6"/>
      <c s="6"/>
      <c s="27" t="e">
        <f>SUM(_xll.OneStop.ReportPlayer.OSRFunctions.OSRRef(G34))</f>
        <v>#NAME?</v>
      </c>
      <c s="2"/>
    </row>
    <row ht="8.25" customHeight="1" thickBot="1"/>
    <row>
      <c r="B38" s="2"/>
      <c s="26" t="s">
        <v>10</v>
      </c>
      <c s="15"/>
      <c s="21"/>
      <c s="21"/>
      <c s="37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4" t="s">
        <v>11</v>
      </c>
      <c s="6"/>
      <c s="6"/>
      <c s="6"/>
      <c s="27" t="e">
        <f>SUM(_xll.OneStop.ReportPlayer.OSRFunctions.OSRRef(G40))</f>
        <v>#NAME?</v>
      </c>
      <c s="2"/>
    </row>
    <row ht="8.25" customHeight="1"/>
    <row s="5" customFormat="1">
      <c r="B43" s="33" t="s">
        <v>12</v>
      </c>
      <c s="23"/>
      <c s="23"/>
      <c s="23"/>
      <c s="23"/>
      <c s="32" t="e">
        <f>+G36+G41</f>
        <v>#NAME?</v>
      </c>
      <c s="2"/>
    </row>
    <row ht="8.25" customHeight="1" thickBot="1" s="5" customFormat="1">
      <c r="G44" s="35"/>
    </row>
    <row s="5" customFormat="1">
      <c r="B45" s="2"/>
      <c s="26" t="s">
        <v>298</v>
      </c>
      <c s="15"/>
      <c s="15"/>
      <c s="15"/>
      <c s="36"/>
      <c s="2"/>
    </row>
    <row>
      <c s="29"/>
      <c s="8"/>
      <c s="44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44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44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4" t="s">
        <v>299</v>
      </c>
      <c s="6"/>
      <c s="6"/>
      <c s="6"/>
      <c s="27" t="e">
        <f>SUM(G45:G48)</f>
        <v>#NAME?</v>
      </c>
      <c s="2"/>
    </row>
    <row ht="8.25" customHeight="1"/>
    <row>
      <c r="B51" s="33" t="s">
        <v>297</v>
      </c>
      <c s="23"/>
      <c s="23"/>
      <c s="38"/>
      <c s="38"/>
      <c s="32" t="e">
        <f>+G49</f>
        <v>#NAME?</v>
      </c>
      <c s="8"/>
    </row>
    <row ht="8.25" customHeight="1"/>
    <row thickBot="1">
      <c r="B53" s="14" t="s">
        <v>301</v>
      </c>
      <c s="19"/>
      <c s="19"/>
      <c s="28"/>
      <c s="28"/>
      <c s="39" t="e">
        <f>+G43+G51</f>
        <v>#NAME?</v>
      </c>
      <c s="8"/>
    </row>
    <row ht="8.25" customHeight="1" thickTop="1"/>
    <row ht="11.3" s="45" customFormat="1">
      <c s="42"/>
      <c s="25" t="e">
        <f>_xll.OneStop.ReportPlayer.OSRFunctions.OSRGet("CurrentDate","Date")</f>
        <v>#NAME?</v>
      </c>
      <c s="25"/>
      <c s="25"/>
      <c s="25"/>
      <c s="25"/>
      <c s="52" t="e">
        <f>ROUND(G30-G53, 0)</f>
        <v>#NAME?</v>
      </c>
    </row>
    <row ht="11.3" s="45" customFormat="1">
      <c s="42"/>
      <c s="43" t="e">
        <f>_xll.OneStop.ReportPlayer.OSRFunctions.OSRGet("User","UserId")</f>
        <v>#NAME?</v>
      </c>
      <c s="34"/>
      <c s="34"/>
      <c s="31"/>
      <c s="31"/>
      <c s="50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